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harge List" sheetId="1" r:id="rId4"/>
    <sheet state="visible" name="Sheet6" sheetId="2" r:id="rId5"/>
    <sheet state="visible" name="Can Expunge" sheetId="3" r:id="rId6"/>
    <sheet state="visible" name="Abbreviated Jotform Charge List" sheetId="4" r:id="rId7"/>
    <sheet state="visible" name="Jotform - Charges" sheetId="5" r:id="rId8"/>
    <sheet state="visible" name="Cannot Expunge" sheetId="6" r:id="rId9"/>
    <sheet state="visible" name="Lookup Charge Eligibility" sheetId="7" r:id="rId10"/>
  </sheets>
  <definedNames/>
  <calcPr/>
</workbook>
</file>

<file path=xl/comments1.xml><?xml version="1.0" encoding="utf-8"?>
<comments xmlns:r="http://schemas.openxmlformats.org/officeDocument/2006/relationships" xmlns="http://schemas.openxmlformats.org/spreadsheetml/2006/main">
  <authors>
    <author/>
  </authors>
  <commentList>
    <comment authorId="0" ref="A84">
      <text>
        <t xml:space="preserve">Same as automobiles/vehicles above.
	-William Crumpler</t>
      </text>
    </comment>
    <comment authorId="0" ref="A75">
      <text>
        <t xml:space="preserve">There's just a lot of different things covered under this statute, and I don't know how best to separate it all. They all have the same expungement wait time, so it doesn't matter for that, but I'm worried it will make it hard for people to search without some degree of specificity.
	-William Crumpler</t>
      </text>
    </comment>
    <comment authorId="0" ref="A44">
      <text>
        <t xml:space="preserve">Is this the same thing as internet trading in child pornography (mentioned as an un-expungeable crime in the KS expungement statute)? The statute numbers are different, but I can't find reference to internet trading in child pornography anywhere else in the desk manual.
	-William Crumpler</t>
      </text>
    </comment>
  </commentList>
</comments>
</file>

<file path=xl/comments2.xml><?xml version="1.0" encoding="utf-8"?>
<comments xmlns:r="http://schemas.openxmlformats.org/officeDocument/2006/relationships" xmlns="http://schemas.openxmlformats.org/spreadsheetml/2006/main">
  <authors>
    <author/>
  </authors>
  <commentList>
    <comment authorId="0" ref="B7">
      <text>
        <t xml:space="preserve">What is the difference between a nongrid felony (referenced in 21-6614 (a) (1)) and an off-grid felony (referenced in 21-614 (c))? The KLS chart of expungement eligibility doesn't list nongrid felonies anywhere.
	-William Crumpler</t>
      </text>
    </comment>
    <comment authorId="0" ref="K7">
      <text>
        <t xml:space="preserve">Does this mean that if the violation occurred before 07/01/93 there is no waiting period to apply for expungement? Or does it mean that expungement is not available? Or does it then just fall under one of the Felony A/B/C/D/E classifications and default to those wait times?
	-William Crumpler</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Instructions: Fill out this table for the crimes listed in K.S.A. 21-6614(e) (https://www.ksrevisor.org/statutes/chapters/ch21/021_066_0014.html). Use the links included in that page to find the specific statute and language. For repealed statutes, use https://law.justia.com/codes/kansas/2011/Chapter21/ to find the statute language.
	-William Crumpler</t>
      </text>
    </comment>
  </commentList>
</comments>
</file>

<file path=xl/sharedStrings.xml><?xml version="1.0" encoding="utf-8"?>
<sst xmlns="http://schemas.openxmlformats.org/spreadsheetml/2006/main" count="25762" uniqueCount="9561">
  <si>
    <t>Statute Description</t>
  </si>
  <si>
    <t>Statute Number</t>
  </si>
  <si>
    <t>Severity Level/Class</t>
  </si>
  <si>
    <t>Attempt</t>
  </si>
  <si>
    <t>Conspiracy</t>
  </si>
  <si>
    <t>Solicitation</t>
  </si>
  <si>
    <t>Person/NonPerson</t>
  </si>
  <si>
    <t>Registration</t>
  </si>
  <si>
    <t>Eligible for Expungement?</t>
  </si>
  <si>
    <t>Years</t>
  </si>
  <si>
    <t>Years (Attempt)</t>
  </si>
  <si>
    <t>Years (Conspiracy)</t>
  </si>
  <si>
    <t>Years (Solicitation)</t>
  </si>
  <si>
    <t>Statute # + Shortened Statute Name</t>
  </si>
  <si>
    <t>Shortened Statute Name</t>
  </si>
  <si>
    <t>Unique Shortened Statute Names</t>
  </si>
  <si>
    <t>Accountants; Individual practicing certified public accountancy without a valid permit</t>
  </si>
  <si>
    <t>1-316(a)</t>
  </si>
  <si>
    <t>U</t>
  </si>
  <si>
    <t>C</t>
  </si>
  <si>
    <t>~</t>
  </si>
  <si>
    <t>Nonperson</t>
  </si>
  <si>
    <t>Abandonment; Of child less than 16</t>
  </si>
  <si>
    <t>21-5605(a)</t>
  </si>
  <si>
    <t>Person</t>
  </si>
  <si>
    <t>Abortion; Abortion or attempt to abort a viable unborn child; 1st offense</t>
  </si>
  <si>
    <t>65-6703(a)</t>
  </si>
  <si>
    <t>A</t>
  </si>
  <si>
    <t>B</t>
  </si>
  <si>
    <t>Abortion; Abortion or attempt to abort a viable unborn child; 2nd or subs. Conviction</t>
  </si>
  <si>
    <t>Abortion; Failure to perform medical tests and maintain records as provided in (c ); 1st offense</t>
  </si>
  <si>
    <t>65-6703(c)</t>
  </si>
  <si>
    <t>Abortion; Failure to perform medical tests and maintain records as provided in (c); 2nd or subs. offense</t>
  </si>
  <si>
    <t>Abortion; Failure to provide written determination as provided in (b) to pregnant woman no less than 30 minutes prior to initiation of abortion; 1st offense</t>
  </si>
  <si>
    <t>65-6703(b)</t>
  </si>
  <si>
    <t>Abortion; Failure to provide written determination as provided in (b) to pregnant woman no less than 30 minutes prior to initiation of abortion; 2nd or subs. offense</t>
  </si>
  <si>
    <t>Abortion; Intentional and knowing or reckless abortion on unemancipated minor</t>
  </si>
  <si>
    <t>65-6705(k)</t>
  </si>
  <si>
    <t>Abortion; Partial birth abortion on viable fetus prohibited unless exceptions apply</t>
  </si>
  <si>
    <t>65-6721(a)</t>
  </si>
  <si>
    <t>Abortion; Penalty for unauthorized "pain-capable" child abortion; Second or subs conviction</t>
  </si>
  <si>
    <t>65-6724</t>
  </si>
  <si>
    <t>Abortion; Perform or attempt to perform dismemberment abortion; 1st conviction</t>
  </si>
  <si>
    <t>65-6743(a)(1)</t>
  </si>
  <si>
    <t>Abortion; Perform or attempt to perform dismemberment abortion; 2nd conviction</t>
  </si>
  <si>
    <t>Abortion; Performing an abortion with knowledge that woman is seeking abortion solely on account of the sex of the unborn child; 1st conviction</t>
  </si>
  <si>
    <t>65-6726(a)</t>
  </si>
  <si>
    <t>Abortion; Performing an abortion with knowledge that woman is seeking abortion solely on account of the sex of the unborn child; 2nd or subs. conviction</t>
  </si>
  <si>
    <t>Abortion; Willful or knowing disclosure of the identity of a minor petitioning the court pursuant to this section or disclosure of any court record relating to such proceeding</t>
  </si>
  <si>
    <t>65-6705(l)(1)</t>
  </si>
  <si>
    <t>Abortion; Willfully/knowingly permit or encourage disclosure of minor's identity or record</t>
  </si>
  <si>
    <t>65-6705(l)(2)</t>
  </si>
  <si>
    <t>Abuse of a Child; Knowingly inflicting cruel and inhuman corporal punishment upon any child under the age of 18 years</t>
  </si>
  <si>
    <t>21-5602(a)(2)</t>
  </si>
  <si>
    <t>N</t>
  </si>
  <si>
    <t>Abuse of a Child; Knowingly torture or cruelly beating or shaking any child under the age of 18 years which results in great bodily harm to the child</t>
  </si>
  <si>
    <t>21-5602(a)(1)</t>
  </si>
  <si>
    <t>Accountants; Firm practicing certified public accountancy as a certified public accounting firm or C.P.A. firm without registering</t>
  </si>
  <si>
    <t>1-316(b)</t>
  </si>
  <si>
    <t>Accountants; Issue a report or financial statements that references the American institute of certified public accountants without holding a permit to practice</t>
  </si>
  <si>
    <t>1-316(e)</t>
  </si>
  <si>
    <t>Accountants; Use or assume title, abbreviation, designation, words, letters, sign, card or device likely to be confused with "certified public accountant." without valid Kansas certificate</t>
  </si>
  <si>
    <t>1-316(c)</t>
  </si>
  <si>
    <t>Accountants; Use professional or firm name or designation that is misleading as to any other matter</t>
  </si>
  <si>
    <t>1-316(d)(3)</t>
  </si>
  <si>
    <t>Accountants; Use professional or firm name or designation that is misleading as to the legal form of the firm</t>
  </si>
  <si>
    <t>1-316(d)(1)</t>
  </si>
  <si>
    <t>Accountants; Use professional or firm name or designation that is misleading as to the persons who are partners, officers, members, managers or shareholders of the firm</t>
  </si>
  <si>
    <t>1-316(d)(2)</t>
  </si>
  <si>
    <t>Addiction Counselor Licensure Act; Effective Sept. 1, 2011; Engage in the practice of addiction counseling as a clinical addiction counselor or represent that such person is a licensed clinical addiction counselor or substance abuse counselor without having such license</t>
  </si>
  <si>
    <t>65-6609(a)</t>
  </si>
  <si>
    <t>Addiction Counselor Licensure Act; Effective Sept. 1, 2011; Engage in the practice of addiction counseling or represent that such person is a licensed addiction counselor, substance abuse counselor or alcohol and drug counselor without having such license</t>
  </si>
  <si>
    <t>65-6609(b)</t>
  </si>
  <si>
    <t>Adding Dockage or Foreign Material to Grain; Knowingly recombining any dockage or foreign material once removed from grain with any grain intended to be marketed</t>
  </si>
  <si>
    <t>21-5837(a)(2)</t>
  </si>
  <si>
    <t>Adding Dockage or Foreign Material to Grain; Knowingly; grain intended to be marketed</t>
  </si>
  <si>
    <t>21-5837(a)(1)</t>
  </si>
  <si>
    <t>Adoption; Advertise that one will adopt, find an adoptive home for a child or otherwise place a child for adoption, if not a licensed child placement agency</t>
  </si>
  <si>
    <t>59-2123(a)(1)</t>
  </si>
  <si>
    <t>Adoption; Employee or agent of the department of social and rehabilitation services, a child-placing agency or a district court who intentionally destroys any information required to be filed under this section</t>
  </si>
  <si>
    <t>59-2130(e)</t>
  </si>
  <si>
    <t>Adoption; Failure of professional providing services related to the placement of children to comply with the provisions of the interstate compact for the placement of children</t>
  </si>
  <si>
    <t>59-2120</t>
  </si>
  <si>
    <t>Adoption; Knowingly failing to list all consideration or disbursements</t>
  </si>
  <si>
    <t>59-2121(b)</t>
  </si>
  <si>
    <t>Adoption; Offer to adopt, find a home for or otherwise place a child as an inducement to a woman to come to such person's maternity center during pregnancy or after delivery</t>
  </si>
  <si>
    <t>59-2123(a)(2)</t>
  </si>
  <si>
    <t>Adoption; Offer to adopt, find a home for or otherwise place a child as an inducement to any parent, guardian or custodian of a child to place such child in such person's home, institution or establishment</t>
  </si>
  <si>
    <t>59-2123(a)(3)</t>
  </si>
  <si>
    <t>Adoption; Receive or accept clearly excessive fees or expenses</t>
  </si>
  <si>
    <t>59-2121(a)</t>
  </si>
  <si>
    <t>Adult Care Home Licensure Act; Abuse, neglect, or cruel treatment of any resident</t>
  </si>
  <si>
    <t>39-939(b)</t>
  </si>
  <si>
    <t>Adult Care Home Licensure Act; Admit to resident status, any person who is known to suffer from any disease or condition for which the home is not authorized to provide care</t>
  </si>
  <si>
    <t>39-939(c)</t>
  </si>
  <si>
    <t>Adult Care Home Licensure Act; House, care for or permit any resident to stay in any unapproved room, area, or detached building</t>
  </si>
  <si>
    <t>39-939(a)</t>
  </si>
  <si>
    <t>Adult Care Home Licensure Act; Knowingly file false or incomplete records or reports</t>
  </si>
  <si>
    <t>39-940(b)(3)</t>
  </si>
  <si>
    <t>Adult Care Home Licensure Act; Make false entries in forms for application, reports, records or inspections</t>
  </si>
  <si>
    <t>39-940(b)(1)</t>
  </si>
  <si>
    <t>Adult Care Home Licensure Act; Omit information required or make false report concerning adult care home</t>
  </si>
  <si>
    <t>39-940(b)(2)</t>
  </si>
  <si>
    <t>Adult Care Home Licensure Act; Unauthorized disclosure of criminal history record</t>
  </si>
  <si>
    <t>39-970(f)(5)</t>
  </si>
  <si>
    <t>Adult Care Homes; Representing a person as an operator without registration under the act</t>
  </si>
  <si>
    <t>39-975(a)</t>
  </si>
  <si>
    <t>Adultery; Engaging in sexual intercourse or sodomy; when offender is married</t>
  </si>
  <si>
    <t>21-5511(a)(1)</t>
  </si>
  <si>
    <t>R</t>
  </si>
  <si>
    <t>Adultery; Engaging in sexual intercourse or sodomy; when offender is not married but knows other person is married</t>
  </si>
  <si>
    <t>21-5511(a)(2)</t>
  </si>
  <si>
    <t>Aggravated Abandonment; Of a child less than 16 resulting in great bodily harm</t>
  </si>
  <si>
    <t>21-5605(b)</t>
  </si>
  <si>
    <t>Aggravated Arson; Arson resulting in great bodily harm or disfigurement to a firefighter or law enforcement officer</t>
  </si>
  <si>
    <t>21-5812(b)(2)</t>
  </si>
  <si>
    <t>Aggravated Arson; Arson to building or property in which there is a human being; resulting in no substantial risk of bodily harm</t>
  </si>
  <si>
    <t>21-5812(b)(1)</t>
  </si>
  <si>
    <t>Aggravated Arson; Arson to building or property in which there is a human being; resulting in substantial risk of bodily harm</t>
  </si>
  <si>
    <t>Aggravated Assault; On a state, county, city, university or campus law enforcement officer while disguised in any manner designed to conceal identity</t>
  </si>
  <si>
    <t>21-5412(d)(2)</t>
  </si>
  <si>
    <t>Aggravated Assault; On a state, county, city, university or campus law enforcement officer with a deadly weapon</t>
  </si>
  <si>
    <t>21-5412(d)(1)</t>
  </si>
  <si>
    <t>Aggravated Assault; On a state, county, city, university or campus law enforcement officer with the intent to commit a felony</t>
  </si>
  <si>
    <t>21-5412(d)(3)</t>
  </si>
  <si>
    <t>Aggravated Assault; While disguised in any manner designed to conceal identity</t>
  </si>
  <si>
    <t>21-5412(b)(2)</t>
  </si>
  <si>
    <t>Aggravated Assault; With a deadly weapon</t>
  </si>
  <si>
    <t>21-5412(b)(1)</t>
  </si>
  <si>
    <t>Aggravated Assault; With intent to commit any felony</t>
  </si>
  <si>
    <t>21-5412(b)(3)</t>
  </si>
  <si>
    <t>Aggravated Battery; Attorney while engaged in performance of duty</t>
  </si>
  <si>
    <t>21-5413(d)(1)(D)</t>
  </si>
  <si>
    <t>Y</t>
  </si>
  <si>
    <t>Aggravated Battery; Campus or university police officer; knowingly causing bodily harm with a motor vehicle</t>
  </si>
  <si>
    <t>21-5413(d)(3)(B)</t>
  </si>
  <si>
    <t>Aggravated Battery; Campus or university police officer; knowingly causing great bodily harm or disfigurement</t>
  </si>
  <si>
    <t>21-5413(d)(1)(B)</t>
  </si>
  <si>
    <t>Aggravated Battery; Community corrections or court services officer while engaged in performance of duty</t>
  </si>
  <si>
    <t>21-5413(d)(1)(E)</t>
  </si>
  <si>
    <t>Aggravated Battery; Judge while engaged in performance of duty</t>
  </si>
  <si>
    <t>21-5413(d)(1)(C)</t>
  </si>
  <si>
    <t>Aggravated Battery; State, county or city law enforcement officer; knowingly causing bodily harm with a motor vehicle</t>
  </si>
  <si>
    <t>21-5413(d)(3)(A)</t>
  </si>
  <si>
    <t>Aggravated Battery; State, county or city law enforcement officer; knowingly causing great bodily harm or disfigurement</t>
  </si>
  <si>
    <t>21-5413(d)(1)(A)</t>
  </si>
  <si>
    <t>21-5413(d)(2)(D)</t>
  </si>
  <si>
    <t>Aggravated Battery; Campus or university police officer; knowingly causing bodily harm with a deadly weapon; physical contact done in a rude, insulting or angry manner, with a deadly weapon or in a manner whereby great bodily harm, disfigurement or death can be inflicted</t>
  </si>
  <si>
    <t>21-5413(d)(2)(B)</t>
  </si>
  <si>
    <t>21-5413(d)(2)(E)</t>
  </si>
  <si>
    <t>21-5413(d)(2)(C)</t>
  </si>
  <si>
    <t>Aggravated Battery; Knowingly causing great bodily harm or disfigurement</t>
  </si>
  <si>
    <t>21-5413(b)(1)(A)</t>
  </si>
  <si>
    <t>Aggravated Battery; State, county or city law enforcement officer; knowingly causing bodily harm with a deadly weapon; physical contact done in a rude, insulting or angry manner, with a deadly weapon or in a manner whereby great bodily harm, disfigurement or death can be inflicted</t>
  </si>
  <si>
    <t>21-5413(d)(2)(A)</t>
  </si>
  <si>
    <t>Aggravated Battery; Committing an act described in K.S.A. 8-1567 (DUI) when great bodily harm or disfigurement results</t>
  </si>
  <si>
    <t>21-5413(b)(3)(A)</t>
  </si>
  <si>
    <t>Aggravated Battery; Recklessly causing great bodily harm or disfigurement</t>
  </si>
  <si>
    <t>21-5413(b)(2)(A)</t>
  </si>
  <si>
    <t>Aggravated Battery; Knowingly causing bodily harm to another with a deadly weapon, or in a manner whereby great bodily harm, disfigurement or death can be inflicted</t>
  </si>
  <si>
    <t>21-5413(b)(1)(B)</t>
  </si>
  <si>
    <t>Aggravated Battery; Knowingly causing physical contact when done in a rude, insulting or angry manner with a deadly weapon, or in a manner whereby great bodily harm, disfigurement or death can be inflicted</t>
  </si>
  <si>
    <t>21-5413(b)(1)(C)</t>
  </si>
  <si>
    <t>Aggravated Battery; Committing an act described in K.S.A. 8-1567 (DUI) when bodily harm results and great bodily harm, disfigurement or death can result</t>
  </si>
  <si>
    <t>21-5413(b)(3)(B)</t>
  </si>
  <si>
    <t>Aggravated Battery; Recklessly causing bodily harm to another with a deadly weapon, or in a manner whereby great bodily harm, disfigurement or death can be inflicted</t>
  </si>
  <si>
    <t>21-5413(b)(2)(B)</t>
  </si>
  <si>
    <t>Aggravated Burglary; Without authority, enter a vehicle, aircraft, watercraft, railroad car or other means of conveyance in which there is a human being with intent to commit a felony, theft or sexually motivated crime therein</t>
  </si>
  <si>
    <t>21-5807(b)(3)</t>
  </si>
  <si>
    <t>Aggravated Burglary; Without authority, enter into or remain within any building, or other structure which is not a dwelling in which there is a human being, with intent to commit a felony, theft or sexually motivated crime therein</t>
  </si>
  <si>
    <t>21-5807(b)(2)</t>
  </si>
  <si>
    <t>Aggravated Burglary; Without authority, enter into or remain within any dwelling in which there is a human being, with intent to commit a felony, theft or sexually motivated crime therein</t>
  </si>
  <si>
    <t>21-5807(b)(1)</t>
  </si>
  <si>
    <t>Aggravated Criminal Damage to Property; By means other than fire or explosive; Knowingly damage, deface, destroy, or substantially impair the use of any property without consent; value or amount of damage exceeds $5,000, committed with intent to obtain scrap metal</t>
  </si>
  <si>
    <t>21-5813(b)</t>
  </si>
  <si>
    <t>Aggravated Criminal Sodomy; Causing child under 14 to engage in sodomy with person or animal; offender less than 18</t>
  </si>
  <si>
    <t>21-5504(b)(2)</t>
  </si>
  <si>
    <t>Aggravated Criminal Sodomy; Commit, attempt, conspire or solicit to commit; Cause child under 14 to engage in sodomy with person or animal; offender 18 or older</t>
  </si>
  <si>
    <t>Off-grid</t>
  </si>
  <si>
    <t>OG</t>
  </si>
  <si>
    <t>Aggravated Criminal Sodomy; Commit, attempt, conspire or solicit to commit; With child under 14; offender 18 or older</t>
  </si>
  <si>
    <t>21-5504(b)(1)</t>
  </si>
  <si>
    <t>Aggravated Criminal Sodomy; Committed with child under 14; offender less than 18</t>
  </si>
  <si>
    <t>Aggravated Criminal Sodomy; Nonconsensual; victim overcome by force or fear</t>
  </si>
  <si>
    <t>21-5504(b)(3)(A)</t>
  </si>
  <si>
    <t>Aggravated Criminal Sodomy; Nonconsensual; victim unconscious or physically powerless</t>
  </si>
  <si>
    <t>21-5504(b)(3)(B)</t>
  </si>
  <si>
    <t>Aggravated Criminal Sodomy; Victim incapable of consent due to mental deficiency or disease, or apparently under the effects of alcoholic liquor, narcotic, drug or other substance</t>
  </si>
  <si>
    <t>21-5504(b)(3)(C)</t>
  </si>
  <si>
    <t>Aggravated Criminal Threat; When public, commercial or industrial building, place of assembly or facility of transportation is evacuated, locked down or disrupted as to regular, ongoing activities as result of threat</t>
  </si>
  <si>
    <t>21-5415(b)</t>
  </si>
  <si>
    <t>Aggravated Endangering a Child; Cause or permit a child to be in an environment where drug paraphernalia or volatile, toxic or flammable chemicals are stored for manufacturing methamphetamine</t>
  </si>
  <si>
    <t>21-5601(b)(3)</t>
  </si>
  <si>
    <t>Aggravated Endangering a Child; Cause or permit a child to be in an environment where methamphetamine is distributed or possessed with intent to distribute, manufactured or attempted to be manufactured</t>
  </si>
  <si>
    <t>21-5601(b)(2)</t>
  </si>
  <si>
    <t>Aggravated Endangering a Child; Recklessly cause or permit a child under 18 to be in a situation where the child's life, body or health is endangered</t>
  </si>
  <si>
    <t>21-5601(b)(1)</t>
  </si>
  <si>
    <t>Aggravated Endangering the Food Supply; Knowingly endangering with intent to cause damage to plants or animals or economic harm or social unrest</t>
  </si>
  <si>
    <t>21-6317(b)(1)</t>
  </si>
  <si>
    <t>Aggravated Endangering the Food Supply; Knowingly endangering with intent to cause illness or injury or death to human being(s)</t>
  </si>
  <si>
    <t>21-6317(b)(2)</t>
  </si>
  <si>
    <t>Aggravated Escape From Custody; By use of or threat of violence against any person while held by a person 18 or over who is being held on charge or adjudication of a misdemeanor or felony</t>
  </si>
  <si>
    <t>21-5911(b)(2)(F)</t>
  </si>
  <si>
    <t>Aggravated Escape From Custody; By use of or threat of violence against any person while held on a charge or adjudication as a juvenile offender where act, if committed by adult, would be a felony</t>
  </si>
  <si>
    <t>21-5911(b)(2)(B)</t>
  </si>
  <si>
    <t>Aggravated Escape From Custody; By use of or threat of violence against any person while held on a charge or conviction of any crime</t>
  </si>
  <si>
    <t>21-5911(b)(2)(A)</t>
  </si>
  <si>
    <t>Aggravated Escape From Custody; By use of or threat of violence against any person while held prior to or upon a finding of probable cause for evaluation as a sexually violent predator</t>
  </si>
  <si>
    <t>21-5911(b)(2)(C)</t>
  </si>
  <si>
    <t>Aggravated Escape From Custody; By use of or threat of violence against any person while held upon a commitment to the state security hospital</t>
  </si>
  <si>
    <t>21-5911(b)(2)(E)</t>
  </si>
  <si>
    <t>Aggravated Escape From Custody; By use of or threat of violence against any person while held upon commitment to a treatment facility as a sexually violent predator</t>
  </si>
  <si>
    <t>21-5911(b)(2)(D)</t>
  </si>
  <si>
    <t>Aggravated Escape From Custody; By use of or threat of violence against any person while held upon incarceration at a state correctional institution in the custody of secretary of corrections</t>
  </si>
  <si>
    <t>21-5911(b)(2)(G)</t>
  </si>
  <si>
    <t>Aggravated Escape From Custody; While held in custody by a person 18 or over who is being held on an adjudication of a felony</t>
  </si>
  <si>
    <t>21-5911(b)(1)(F)</t>
  </si>
  <si>
    <t>Aggravated Escape From Custody; While held on charge, adjudication or arrest as a juvenile offender where act, if committed by adult, would be a felony</t>
  </si>
  <si>
    <t>21-5911(b)(1)(B)</t>
  </si>
  <si>
    <t>Aggravated Escape From Custody; While held on charge, conviction of or arrest for a felony</t>
  </si>
  <si>
    <t>21-5911(b)(1)(A)</t>
  </si>
  <si>
    <t>Aggravated Escape From Custody; While held prior to or upon finding of probable cause for evaluation as a sexually violent predator</t>
  </si>
  <si>
    <t>21-5911(b)(1)(C)</t>
  </si>
  <si>
    <t>Aggravated Escape From Custody; While held upon a commitment to the state security hospital as provided in K.S.A. 22-3428, based on a finding that the person committed an act constituting a felony</t>
  </si>
  <si>
    <t>21-5911(b)(1)(E)</t>
  </si>
  <si>
    <t>Aggravated Escape From Custody; While held upon commitment to treatment facility as a sexually violent predator</t>
  </si>
  <si>
    <t>21-5911(b)(1)(D)</t>
  </si>
  <si>
    <t>Aggravated Escape From Custody; While held upon incarceration at a state correctional institution in the custody of the secretary of corrections</t>
  </si>
  <si>
    <t>21-5911(b)(1)(G)</t>
  </si>
  <si>
    <t>Aggravated Failure to Appear; Knowingly incurring a forfeiture of an appearance bond and failing to surrender oneself within 30 days of forfeiture or conviction by one who is charged with or convicted of a felony</t>
  </si>
  <si>
    <t>21-5915(b)</t>
  </si>
  <si>
    <t>Aggravated False Impersonation; Acknowledging the execution of any conveyance of property, or any other instrument which by law may be recorded</t>
  </si>
  <si>
    <t>21-5917(b)(3)</t>
  </si>
  <si>
    <t>Aggravated False Impersonation; Any other act in the course of a suit, proceeding or prosecution whereby the person who is represented or impersonated may be made liable for payment of any debt, damages, costs or sum of money, or such person's rights or interests may be in any manner affected</t>
  </si>
  <si>
    <t>21-5917(b)(4)</t>
  </si>
  <si>
    <t>Aggravated False Impersonation; Becoming bail or security, or acknowledging or executing any bond or other instrument as bail or security, for any party in any proceeding</t>
  </si>
  <si>
    <t>21-5917(b)(1)</t>
  </si>
  <si>
    <t>Aggravated False Impersonation; Confessing any judgment</t>
  </si>
  <si>
    <t>21-5917(b)(2)</t>
  </si>
  <si>
    <t>Aggravated Human Trafficking; Commit, attempt, conspire or solicit to commit; Human trafficking committed for the purpose of sexual gratification; victim under 14; offender 18 or older</t>
  </si>
  <si>
    <t>21-5426(b)(2)</t>
  </si>
  <si>
    <t>Aggravated Human Trafficking; Commit, attempt, conspire or solicit to commit; Human trafficking involving kidnapping or attempted kidnapping; victim under 14; offender 18 or older</t>
  </si>
  <si>
    <t>21-5426(b)(1)</t>
  </si>
  <si>
    <t>Aggravated Human Trafficking; Commit, attempt, conspire or solicit to commit; Human trafficking resulting in a death; victim under 14; offender 18 or older</t>
  </si>
  <si>
    <t>21-5426(b)(3)</t>
  </si>
  <si>
    <t>Aggravated Human Trafficking; Commit, attempt, conspire or solicit to commit; Involve, recruit, harbor, transport, provide or obtain a person under 14 for forced labor, involuntary servitude or sexual gratification; offender 18 yrs of age or older</t>
  </si>
  <si>
    <t>21-5426(b)(4)</t>
  </si>
  <si>
    <t>Aggravated Human Trafficking; Human trafficking committed for the purpose of sexual gratification</t>
  </si>
  <si>
    <t>Aggravated Human Trafficking; Human trafficking involving kidnapping or attempted kidnapping</t>
  </si>
  <si>
    <t>Aggravated Human Trafficking; Human trafficking resulting in a death</t>
  </si>
  <si>
    <t>Aggravated Human Trafficking; Involve, recruit, harbor, transport, provide or obtain a person under 18 for forced labor, involuntary servitude or sexual gratification</t>
  </si>
  <si>
    <t>Aggravated Incest; Lewd fondling/touching with a relative 16 or 17</t>
  </si>
  <si>
    <t>21-5604(b)(2)(B)</t>
  </si>
  <si>
    <t>Aggravated Incest; Marriage to a person who is less than 18 and a known relative</t>
  </si>
  <si>
    <t>21-5604(b)(1)</t>
  </si>
  <si>
    <t>Aggravated Incest; Sexual intercourse or sodomy with a person who is 16 or more years of age but under 18 years of age and who is known to the offender to be related to the offender as any of the following biological, step or adoptive relatives: Child, grandchild of any degree, brother, sister, half-brother, half-sister, uncle, aunt, nephew or niece</t>
  </si>
  <si>
    <t>21-5604(b)(2)(A)</t>
  </si>
  <si>
    <t>Aggravated Incest; Sexual intercourse or sodomy with a person who is 16 or more years of age but under 18 years of age and who is known to the offender to be related to the offender as any of the following biological, step or adoptive relatives: Child, grandchild of any degree, brother, sister, half-brother, half-sister, uncle, aunt, nephew or niece; victim is offender's biological, step or adoptive child</t>
  </si>
  <si>
    <t>Aggravated Indecent Liberties with a Child; Causing child to engage in lewd fondling/touching without consent; child 14 or more but less than 16</t>
  </si>
  <si>
    <t>21-5506(b)(2)(B)</t>
  </si>
  <si>
    <t>Aggravated Indecent Liberties with a Child; Commit, attempt, conspire or solicit to commit; Lewd fondling/touching; child less than 14; offender 18 or older</t>
  </si>
  <si>
    <t>21-5506(b)(3)(A)</t>
  </si>
  <si>
    <t>Aggravated Indecent Liberties with a Child; Commit, attempt, conspire or solicit to commit; Soliciting the child to engage in any lewd fondling/touching; child less than 14; offender 18 or older</t>
  </si>
  <si>
    <t>21-5506(b)(3)(B)</t>
  </si>
  <si>
    <t>Aggravated Indecent Liberties with a Child; Lewd fondling/touching; child less than 14; offender less than 18</t>
  </si>
  <si>
    <t>Aggravated Indecent Liberties with a Child; Nonconsensual lewd fondling/touching; child 14 or more but less than 16</t>
  </si>
  <si>
    <t>21-5506(b)(2)(A)</t>
  </si>
  <si>
    <t>Aggravated Indecent Liberties with a Child; Sexual intercourse; child 14 or more but less than 16</t>
  </si>
  <si>
    <t>21-5506(b)(1)</t>
  </si>
  <si>
    <t>Aggravated Indecent Liberties with a Child; Soliciting the child to engage in any lewd fondling/touching; child less than 14; offender less than 18</t>
  </si>
  <si>
    <t>Aggravated Indecent Solicitation of a Child; Inviting to enter secluded place; child less than 14</t>
  </si>
  <si>
    <t>21-5508(b)(2)</t>
  </si>
  <si>
    <t>Aggravated Indecent Solicitation of a Child; To commit or submit to unlawful sexual act; child less than 14</t>
  </si>
  <si>
    <t>21-5508(b)(1)</t>
  </si>
  <si>
    <t>Aggravated Interference with Parental Custody; Commission of interference with parental custody by one who commits the crime for hire</t>
  </si>
  <si>
    <t>21-5409(b)(2)(B)</t>
  </si>
  <si>
    <t>Aggravated Interference with Parental Custody; Commission of interference with parental custody by one who detains or conceals the child in an unknown place, whether inside or outside the state</t>
  </si>
  <si>
    <t>21-5409(b)(2)(F)</t>
  </si>
  <si>
    <t>Aggravated Interference with Parental Custody; Commission of interference with parental custody by one who has previously been convicted of the crime</t>
  </si>
  <si>
    <t>21-5409(b)(2)(A)</t>
  </si>
  <si>
    <t>Aggravated Interference with Parental Custody; Commission of interference with parental custody by one who takes the child outside the state without consent of one with custody or the court</t>
  </si>
  <si>
    <t>21-5409(b)(2)(C)</t>
  </si>
  <si>
    <t>Aggravated Interference with Parental Custody; Commission of interference with parental custody by one who, after lawfully taking the child outside the state while exercising visitation rights or parenting time, refuses to return the child at the expiration of that time</t>
  </si>
  <si>
    <t>21-5409(b)(2)(D)</t>
  </si>
  <si>
    <t>Aggravated Interference with Parental Custody; Commission of interference with parental custody by one who, at the expiration of any visitation rights or parenting time outside the state, refuses to return or impedes the return of the child</t>
  </si>
  <si>
    <t>21-5409(b)(2)(E)</t>
  </si>
  <si>
    <t>Aggravated Interference with Parental Custody; Hiring one to commit crime of interference with parental custody</t>
  </si>
  <si>
    <t>21-5409(b)(1)</t>
  </si>
  <si>
    <t>Aggravated Interference with Public Business; Interference when in possession of firearm or weapon</t>
  </si>
  <si>
    <t>21-5922(b)</t>
  </si>
  <si>
    <t>Aggravated Intimidation of a Witness or Victim; By one who has prior conviction for corruptly influencing a witness, or a violation of this act or any similar crime</t>
  </si>
  <si>
    <t>21-5909(b)(3)</t>
  </si>
  <si>
    <t>Aggravated Intimidation of a Witness or Victim; Committed for pecuniary gain or for any other consideration by a person acting upon the request of another person</t>
  </si>
  <si>
    <t>21-5909(b)(5)</t>
  </si>
  <si>
    <t>Aggravated Intimidation of a Witness or Victim; Express or implied threat of force or violence against a witness, victim or other person or the property of any witness, victim or other person</t>
  </si>
  <si>
    <t>21-5909(b)(1)</t>
  </si>
  <si>
    <t>Aggravated Intimidation of a Witness or Victim; In furtherance of a conspiracy</t>
  </si>
  <si>
    <t>21-5909(b)(2)</t>
  </si>
  <si>
    <t>Aggravated Intimidation of a Witness or Victim; Witness or victim is under 18</t>
  </si>
  <si>
    <t>21-5909(b)(4)</t>
  </si>
  <si>
    <t>Aggravated Kidnapping; Bodily harm inflicted upon the person kidnapped</t>
  </si>
  <si>
    <t>21-5408(b)</t>
  </si>
  <si>
    <t>Aggravated Robbery; Armed with a dangerous weapon or inflicts bodily harm upon a person during robbery</t>
  </si>
  <si>
    <t>21-5420(b)</t>
  </si>
  <si>
    <t>Aggravated Sexual Battery; Intentional nonconsensual touching; child 16 or more; victim incapable of giving consent because of mental deficiency or disease or under effect of any alcoholic liquor, narcotic, drug or other substance</t>
  </si>
  <si>
    <t>21-5505(b)(3)</t>
  </si>
  <si>
    <t>Aggravated Sexual Battery; Intentional nonconsensual touching; child 16 or more; victim overcome by force or fear</t>
  </si>
  <si>
    <t>21-5505(b)(1)</t>
  </si>
  <si>
    <t>Aggravated Sexual Battery; Intentional nonconsensual touching; child 16 or more; victim unconscious or physically powerless</t>
  </si>
  <si>
    <t>21-5505(b)(2)</t>
  </si>
  <si>
    <t>Aggravated Tampering with a Traffic Signal; Tampering which creates an unreasonable risk of an accident causing death or great bodily injury of any person</t>
  </si>
  <si>
    <t>21-5817(b)</t>
  </si>
  <si>
    <t>Aggravated unlawful transmission of a visual depiction of a child; Knowingly transmitting a visual depiction of a child 12 or more years of age but less than 18 years of age in a state of nudity for pecuniary gain</t>
  </si>
  <si>
    <t>21-5611(b)(1)(B)</t>
  </si>
  <si>
    <t>Aggravated unlawful transmission of a visual depiction of a child; Knowingly transmitting a visual depiction of a child 12 or more years of age but less than 18 years of age in a state of nudity for pecuniary gain; 2nd or subsequent offense</t>
  </si>
  <si>
    <t>Aggravated unlawful transmission of a visual depiction of a child; Knowingly transmitting a visual depiction of a child 12 or more years of age but less than 18 years of age in a state of nudity with the intent to exhibit or transmit such visual depiction to more than one person</t>
  </si>
  <si>
    <t>21-5611(b)(1)(C)</t>
  </si>
  <si>
    <t>Aggravated unlawful transmission of a visual depiction of a child; Knowingly transmitting a visual depiction of a child 12 or more years of age but less than 18 years of age in a state of nudity with the intent to exhibit or transmit such visual depiction to more than one person; 2nd or subsequent offense</t>
  </si>
  <si>
    <t>Aggravated unlawful transmission of a visual depiction of a child; Knowingly transmitting a visual depiction of a child 12 or more years of age but less than 18 years of age in a state of nudity with the intent to harass, embarrass, intimidate, defame or otherwise inflict emotional, psychological or physical harm</t>
  </si>
  <si>
    <t>21-5611(b)(1)(A)</t>
  </si>
  <si>
    <t>Aggravated unlawful transmission of a visual depiction of a child; Knowingly transmitting a visual depiction of a child 12 or more years of age but less than 18 years of age in a state of nudity with the intent to harass, embarrass, intimidate, defame or otherwise inflict emotional, psychological or physical harm; 2nd or subsequent offense</t>
  </si>
  <si>
    <t>Aggravated Weapons Violation by a Convicted Felon; Violation of subsections (a)(1) through (a)(3) of K.S.A. 21-6301 or K.S.A. 21-6302 by a person who within 5 yrs preceding the violation, has been convicted of a nonperson felony or released from imprisonment for such nonperson felony</t>
  </si>
  <si>
    <t>21-6305(a)(1)</t>
  </si>
  <si>
    <t>Aggravated Weapons Violation by a Convicted Felon; Violation of subsections (a)(1) through (a)(3) of K.S.A. 21-6301 or subsections (a)(1) through (a)(4) of K.S.A. 21-6302 by a person who has been convicted of a person felony or has been released from imprisonment for such and has not had the conviction expunged or been pardoned for such crime</t>
  </si>
  <si>
    <t>21-6305(a)(2)</t>
  </si>
  <si>
    <t>Aggravated Weapons Violation by a Convicted Felon; Violation of subsections (a)(4) through (a)(6) of K.S.A. 21-6301 or subsection (a)(5) of K.S.A. 21-6302 by a person who has been convicted of a person felony or has been released from imprisonment for such and has not had the conviction expunged or been pardoned for such crime</t>
  </si>
  <si>
    <t>Aggravated Weapons Violation by a Convicted Felon; Violation of subsections (a)(4) through (a)(6) of K.S.A. 21-6301 or subsection (a)(5) of K.S.A. 21-6302 by a person who within 5 yrs preceding the violation, has been convicted of a nonperson felony or released from imprisonment for such nonperson felony</t>
  </si>
  <si>
    <t>Agricultural Chemical Act of 1947; Detach, alter, deface, or destroy, any label or labeling required; add substance to, or take substance from, an agricultural chemical which may defeat the purposes of this act</t>
  </si>
  <si>
    <t>2-2203(b)(1)</t>
  </si>
  <si>
    <t>Agricultural Chemical Act of 1947; Distribution/sale of any agricultural chemical which is adulterated or misbranded</t>
  </si>
  <si>
    <t>2-2203(a)(7)</t>
  </si>
  <si>
    <t>Agricultural Chemical Act of 1947; Distribution/sale of any agricultural chemical with different composition from what is represented in connection with its registration, unless authorized by the secretary</t>
  </si>
  <si>
    <t>2-2203(a)(3)</t>
  </si>
  <si>
    <t>Agricultural Chemical Act of 1947; Distribution/sale of any agricultural chemical, not in the registrant's or manufacturer's unbroken immediate container and properly labeled</t>
  </si>
  <si>
    <t>2-2203(a)(4)</t>
  </si>
  <si>
    <t>Agricultural Chemical Act of 1947; Distribution/sale of any improperly labeled agricultural chemical which contains any substance or substances in quantities highly toxic to man</t>
  </si>
  <si>
    <t>2-2203(a)(5)</t>
  </si>
  <si>
    <t>Agricultural Chemical Act of 1947; Distribution/sale of certain chemicals without distinctly coloring such as required</t>
  </si>
  <si>
    <t>2-2203(a)(6)</t>
  </si>
  <si>
    <t>Agricultural Chemical Act of 1947; Distribution/sale; agricultural chemical, with claims or directions differing in substance from representations made in its registration</t>
  </si>
  <si>
    <t>2-2203(a)(2)</t>
  </si>
  <si>
    <t>Agricultural Chemical Act of 1947; Distribution/sale; unregistered agricultural chemical</t>
  </si>
  <si>
    <t>2-2203(a)(1)</t>
  </si>
  <si>
    <t>Agricultural Chemical Act of 1947; Use for his or her own advantage or to reveal, other than to authorized persons, any information relative to formulas of products acquired by authority of K.S.A. 2-2204</t>
  </si>
  <si>
    <t>2-2203(b)(2)</t>
  </si>
  <si>
    <t>Agricultural Corporations; Knowingly submit false or materially misleading information or statements; fail or refuse to submit information and statements as required</t>
  </si>
  <si>
    <t>17-5902(b)</t>
  </si>
  <si>
    <t>Agricultural Liming Materials Act; Sale of agricultural liming material containing toxic materials in quantities injurious to plants or animals</t>
  </si>
  <si>
    <t>2-2904(b)</t>
  </si>
  <si>
    <t>Agricultural Liming Materials Act; Sale of noncompliant agricultural liming material</t>
  </si>
  <si>
    <t>2-2904(a)</t>
  </si>
  <si>
    <t>Agricultural Seeds; Sale/Distribution of; alter or deface any label so that the information is false or misleading or to mutilate any label</t>
  </si>
  <si>
    <t>2-1421(b)(1)</t>
  </si>
  <si>
    <t>Agricultural Seeds; Sale/Distribution of; certification of Seeds/Plant Parts; issue, make, use or circulate any certification, or evidence of certification, without authority and approval</t>
  </si>
  <si>
    <t>2-1438</t>
  </si>
  <si>
    <t>Agricultural Seeds; Sale/Distribution of; disseminate any false or misleading advertisements concerning agricultural seed</t>
  </si>
  <si>
    <t>2-1421(b)(2)</t>
  </si>
  <si>
    <t>Agricultural Seeds; Sale/Distribution of; fail to comply with a stop sale order, or to move or otherwise handle or dispose of any quantity of seed held under a stop sale order, or a stop sale tag attached</t>
  </si>
  <si>
    <t>2-1421(b)(5)</t>
  </si>
  <si>
    <t>Agricultural Seeds; Sale/Distribution of; hinder or obstruct the secretary or an authorized representative of the secretary in the performance of official duties</t>
  </si>
  <si>
    <t>2-1421(b)(4)</t>
  </si>
  <si>
    <t>Agricultural Seeds; Sale/Distribution of; issue any statement, invoice or declaration as to the variety of any agricultural seed which is false or misleading</t>
  </si>
  <si>
    <t>2-1421(b)(3)</t>
  </si>
  <si>
    <t>Agricultural Seeds; Sale/Distribution of; sale, offer for sale or advertise ag. seeds by variety name not certified by an official seed certifying agency, if such certification is required</t>
  </si>
  <si>
    <t>2-1421(a)(8)</t>
  </si>
  <si>
    <t>Agricultural Seeds; Sale/Distribution of; sale, offer for sale or advertise ag. seeds containing more than 1% of weed seeds by weight, unless an exception herein applies</t>
  </si>
  <si>
    <t>2-1421(a)(6)</t>
  </si>
  <si>
    <t>Agricultural Seeds; Sale/Distribution of; Sale, offer for sale or advertise ag. seeds containing noxious weed seeds</t>
  </si>
  <si>
    <t>2-1421(a)(4)</t>
  </si>
  <si>
    <t>Agricultural Seeds; Sale/Distribution of; sale, offer for sale or advertise ag. seeds containing restricted weed seeds in excess of the quantity prescribed by subsection (k) of K.S.A. 2-1415</t>
  </si>
  <si>
    <t>2-1421(a)(5)</t>
  </si>
  <si>
    <t>Agricultural Seeds; Sale/Distribution of; Sale, offer for sale or advertise ag. seeds having a false, misleading or incomplete label</t>
  </si>
  <si>
    <t>2-1421(a)(3)</t>
  </si>
  <si>
    <t>Agricultural Seeds; Sale/Distribution of; sale, offer for sale or advertise ag. seeds labeled, advertised or represented to be certified or registered unless so certified or registered</t>
  </si>
  <si>
    <t>2-1421(a)(7)</t>
  </si>
  <si>
    <t>Agricultural Seeds; Sale/Distribution of; Sale, offer for sale or advertise ag. seeds not properly labeled</t>
  </si>
  <si>
    <t>2-1421(a)(2)</t>
  </si>
  <si>
    <t>Agricultural Seeds; Sale/Distribution of; sale, offer for sale or advertise ag. seeds without having registered with the secretary as required by K.S.A. 2-1421a</t>
  </si>
  <si>
    <t>2-1421(a)(9)</t>
  </si>
  <si>
    <t>Agricultural Seeds; Sale/Distribution of; sale, offer for sale or advertise ag. seeds without testing to determine percentage of germination completed within a 9 month period immediately prior</t>
  </si>
  <si>
    <t>2-1421(a)(1)</t>
  </si>
  <si>
    <t>Agricultural Seeds; Sale/Distribution of; sale/exchange of untested or unlabeled agricultural seeds</t>
  </si>
  <si>
    <t>2-1416</t>
  </si>
  <si>
    <t>Agricultural Seeds; Sale/Distribution of; use the word "trace" as a substitute for any statement which is required</t>
  </si>
  <si>
    <t>2-1421(b)(6)</t>
  </si>
  <si>
    <t>Agricultural Seeds; Sale/Distribution of; use the word "type" in any labeling in connection with the name of any agricultural seed variety</t>
  </si>
  <si>
    <t>2-1421(b)(7)</t>
  </si>
  <si>
    <t>Aiding an Escape; Assist another to escape from such lawful custody</t>
  </si>
  <si>
    <t>21-5912(a)(1)</t>
  </si>
  <si>
    <t>Aiding an Escape; Assist another to escape from such lawful custody; KDOC employee/volunteer or KDOC contractor employee/volunteer</t>
  </si>
  <si>
    <t>Aiding an Escape; Introduce into an institution any object or thing adapted or designed for use in an escape</t>
  </si>
  <si>
    <t>21-5912(a)(3)</t>
  </si>
  <si>
    <t>Aiding an Escape; Introduce into an institution any object or thing adapted or designed for use in an escape; KDOC employee/volunteer or KDOC contractor employee/volunteer</t>
  </si>
  <si>
    <t>Aiding an Escape; Supply to another any object or thing adapted or designed for use in making an escape</t>
  </si>
  <si>
    <t>21-5912(a)(2)</t>
  </si>
  <si>
    <t>Aiding an Escape; Supply to another any object or thing adapted or designed for use in making an escape; KDOC employee/volunteer or KDOC contractor employee/volunteer</t>
  </si>
  <si>
    <t>AIDS &amp; Hepatitis B; Breach in confidentiality of Court ordered testing of certain offenders in custody of secretary of corrections or commissioner of juvenile justice authority</t>
  </si>
  <si>
    <t>65-6017(e)</t>
  </si>
  <si>
    <t>AIDS &amp; Hepatitis B; Disclosure of information made confidential and prohibited from disclosure under K.S.A. 65-6002 through 65-6004</t>
  </si>
  <si>
    <t>65-6005</t>
  </si>
  <si>
    <t>AIDS &amp; Hepatitis B; Unauthorized disclosure by corrections employees, of confidential information pertaining to infectious disease</t>
  </si>
  <si>
    <t>65-6016(a)</t>
  </si>
  <si>
    <t>AIDS &amp; Hepatitis B; Unauthorized disclosure of confidential results of tests or reports, or information therein, obtained under this act</t>
  </si>
  <si>
    <t>65-6010(b)</t>
  </si>
  <si>
    <t>AIDS &amp; Hepatitis B; Violate, refuse or neglect to obey any provision of K.S.A. 65-6001 through 65-6004</t>
  </si>
  <si>
    <t>Air Quality Act; Destroy, alter or conceal any record required to be maintained under this act</t>
  </si>
  <si>
    <t>65-3025(h)</t>
  </si>
  <si>
    <t>Air Quality Act; Knowingly violate an approval or permit issued under this act</t>
  </si>
  <si>
    <t>65-3025(b)</t>
  </si>
  <si>
    <t>Air Quality Act; Knowingly violate an order issued under this act</t>
  </si>
  <si>
    <t>65-3025(a)</t>
  </si>
  <si>
    <t>Air Quality Act; Knowingly violate any provision of K.S.A. 65-3025</t>
  </si>
  <si>
    <t>65-3025(d)</t>
  </si>
  <si>
    <t>Air Quality Act; Make any false material statement, representation or certification in any application, record, report, permit or other document filed, maintained or used for purposes of compliance with this act</t>
  </si>
  <si>
    <t>65-3025(g)</t>
  </si>
  <si>
    <t>Air Quality Act; Penalty for knowingly violating provisions of K.S.A. 65-3025</t>
  </si>
  <si>
    <t>65-3026(b)</t>
  </si>
  <si>
    <t>Air Quality Act; Refuse or hinder entry, inspection, sampling or examination or copying of records related to this act by an agent/employee of the secretary after identification of agent/employee and notice of the agent/employee purpose</t>
  </si>
  <si>
    <t>65-3025(e)</t>
  </si>
  <si>
    <t>Air Quality Act; Refuse or hinder entry, inspection, sampling or examination or copying of records related to this act by an identified agent/employee of the secretary after receiving notice of the agent/employee purpose</t>
  </si>
  <si>
    <t>Air Quality Act; Unauthorized violation of this act or any rule and regulation promulgated under this act</t>
  </si>
  <si>
    <t>65-3025(c)</t>
  </si>
  <si>
    <t>Air Quality Act; Violate any of the provisions of subsections (a) through (f) of K.S.A. 65-3025</t>
  </si>
  <si>
    <t>Air Quality Act; Violate of any provision of this act or any rule and regulation promulgated under this act, unless authorized by the secretary</t>
  </si>
  <si>
    <t>Air Quality Act; Violation of any provision of an approval or permit issued under this act</t>
  </si>
  <si>
    <t>Air Quality Act; Violation of any provision of an order issued under this act</t>
  </si>
  <si>
    <t>Aircraft &amp; Airfields; Navigate any aircraft or use any aircraft for instruction in the art of navigation, without a pilot's certificate</t>
  </si>
  <si>
    <t>3-202</t>
  </si>
  <si>
    <t>Aircraft &amp; Airfields; Operation Under Influence of Alcohol</t>
  </si>
  <si>
    <t>3-1002</t>
  </si>
  <si>
    <t>Aircraft &amp; Airfields; Operation Under Influence of Alcohol of Drugs; unreasonable refusal to consent to a chemical test of blood, breath or urine</t>
  </si>
  <si>
    <t>3-1004</t>
  </si>
  <si>
    <t>Aircraft &amp; Airfields; Operation Under Influence of Drugs</t>
  </si>
  <si>
    <t>3-1001</t>
  </si>
  <si>
    <t>Aircraft &amp; Airfields; Pilot to present license on demand</t>
  </si>
  <si>
    <t>3-204</t>
  </si>
  <si>
    <t>Aircraft &amp; Airfields; Violation of air commerce regulations</t>
  </si>
  <si>
    <t>3-203</t>
  </si>
  <si>
    <t>Alcohol Without Liquid Machine; Knowingly purchase, sell or offer for sale an alcohol without liquid machine</t>
  </si>
  <si>
    <t>21-6321(a)(2)</t>
  </si>
  <si>
    <t>Alcohol Without Liquid Machine; Knowingly use any alcohol without liquid machine to inhale alcohol vapor or otherwise introduce alcohol in any form into the human body</t>
  </si>
  <si>
    <t>21-6321(a)(1)</t>
  </si>
  <si>
    <t>Alcoholism &amp; Intoxication Treatment; Establish or operate a public or private treatment facility without a license</t>
  </si>
  <si>
    <t>65-4012</t>
  </si>
  <si>
    <t>Altering a Legislative Document; Knowingly mutilate, alter or change, otherwise than in the regular course of legislation, any act, bill or resolution introduced into or acted upon by either or both houses of the legislature of this state either before or after such act, bill or resolution has been signed by the governor</t>
  </si>
  <si>
    <t>21-5827(a)</t>
  </si>
  <si>
    <t>Amusement Ride Inspection; Knowing violation of safety rules by owner or operator</t>
  </si>
  <si>
    <t>44-1610(a)</t>
  </si>
  <si>
    <t>Amusement Ride Inspection; Violate availability of inspection records and safety instructions</t>
  </si>
  <si>
    <t>44-1610(b)</t>
  </si>
  <si>
    <t>Animals &amp; Nuisances; Sale of live bruecella abortus to unauthorized person</t>
  </si>
  <si>
    <t>21-1213(a)(7)</t>
  </si>
  <si>
    <t>Animals &amp; Nuisances; Sale of live bruecella abortus to unauthorized vendor</t>
  </si>
  <si>
    <t>21-1213(a)(8)</t>
  </si>
  <si>
    <t>Animals &amp; Nuisances; Sale of rabies vaccine to unauthorized person</t>
  </si>
  <si>
    <t>21-1213(a)(4)</t>
  </si>
  <si>
    <t>Animals &amp; Nuisances; Sale of rabies vaccine to unauthorized vendor</t>
  </si>
  <si>
    <t>21-1213(a)(5)</t>
  </si>
  <si>
    <t>Animals &amp; Nuisances; Unlawful injection of live bruecella abortus</t>
  </si>
  <si>
    <t>21-1213(a)(1)</t>
  </si>
  <si>
    <t>Animals &amp; Nuisances; Unlawful injection of rabies vaccine</t>
  </si>
  <si>
    <t>21-1213(a)(2)</t>
  </si>
  <si>
    <t>Animals &amp; Nuisances; Unlawful purchase of live bruecella abortus</t>
  </si>
  <si>
    <t>21-1213(a)(6)</t>
  </si>
  <si>
    <t>Animals &amp; Nuisances; Unlawful purchase of rabies vaccine</t>
  </si>
  <si>
    <t>21-1213(a)(3)</t>
  </si>
  <si>
    <t>Antiquities Commission; Penalties for violations of act</t>
  </si>
  <si>
    <t>74-5408</t>
  </si>
  <si>
    <t>Appearance Bonds; Apply for replacement or new driver's license prior to return of original one which was posted as bond; punished in accordance with 8-2116; 1st offense</t>
  </si>
  <si>
    <t>Appearance Bonds; Apply for replacement or new driver's license prior to return of original one which was posted as bond; punished in accordance with 8-2116; 2nd offense</t>
  </si>
  <si>
    <t>Appearance Bonds; Apply for replacement or new driver's license prior to return of original one which was posted as bond; punished in accordance with 8-2116; 3rd offense</t>
  </si>
  <si>
    <t>Appraisal Management Company Registration Act; Violation of the act or of any rule or regulation adopted thereto</t>
  </si>
  <si>
    <t>58-4723(c)</t>
  </si>
  <si>
    <t>Army &amp; Air National Guard; Employer refusing to permit employee/member of Guard to attend drill or annual muster, or perform active service, when so ordered by the commander in chief</t>
  </si>
  <si>
    <t>48-222</t>
  </si>
  <si>
    <t>Army &amp; Air National Guard; Penalty for unlawful acts affecting property</t>
  </si>
  <si>
    <t>48-219</t>
  </si>
  <si>
    <t>Arson Reporting; Fail to release information or evidence per K.S.A. 31-403(a) or to give notice and provide material developed from an inquiry into a fire loss as provided in K.S.A. 31-403(b)</t>
  </si>
  <si>
    <t>31-406</t>
  </si>
  <si>
    <t>Arson; Knowingly, by means of fire or explosive; damage a dwelling accidentally as a result of manufacture or attempted manufacture a controlled substance</t>
  </si>
  <si>
    <t>21-5812(a)(2)</t>
  </si>
  <si>
    <t>Arson; Knowingly, by means of fire or explosive; damage dwelling with intent to injure or defraud an insurer or lien holder</t>
  </si>
  <si>
    <t>21-5812(a)(1)(B)</t>
  </si>
  <si>
    <t>Arson; Knowingly, by means of fire or explosive; damage dwelling without consent of owner</t>
  </si>
  <si>
    <t>21-5812(a)(1)(A)</t>
  </si>
  <si>
    <t>Arson; Knowingly, by means of fire or explosive; damage structure not a dwelling accidentally as result of manufacture or attempted manufacture a controlled substance</t>
  </si>
  <si>
    <t>21-5812(a)(3)</t>
  </si>
  <si>
    <t>Arson; Knowingly, by means of fire or explosive; damage structure not a dwelling with intent to injure or defraud insurer or lien holder</t>
  </si>
  <si>
    <t>21-5812(a)(1)(D)</t>
  </si>
  <si>
    <t>Arson; Knowingly, by means of fire or explosive; damage structure not a dwelling without consent of owner</t>
  </si>
  <si>
    <t>21-5812(a)(1)(C)</t>
  </si>
  <si>
    <t>Asbestos Control; Asbestos projects; license required; 1st offense</t>
  </si>
  <si>
    <t>65-5302(a)</t>
  </si>
  <si>
    <t>Asbestos Control; Asbestos projects; license required; 2nd offense</t>
  </si>
  <si>
    <t>Asbestos Control; Certification of individuals required; 1st offense</t>
  </si>
  <si>
    <t>65-5308(a)</t>
  </si>
  <si>
    <t>Asbestos Control; Certification of individuals required; 2nd offense</t>
  </si>
  <si>
    <t>Asbestos Control; Records of asbestos projects required; contents; 1st offense</t>
  </si>
  <si>
    <t>65-5307(a)</t>
  </si>
  <si>
    <t>Asbestos Control; Records of asbestos projects required; contents; 2nd offense</t>
  </si>
  <si>
    <t>Asbestos Control; Required notification of secretary of project date; 1st offense</t>
  </si>
  <si>
    <t>65-5307(b)</t>
  </si>
  <si>
    <t>Asbestos Control; Required notification of secretary of project date; 2nd offense</t>
  </si>
  <si>
    <t>Assault of a Law Enforcement Officer; Uniformed or properly identified state, county or city law enforcement officer</t>
  </si>
  <si>
    <t>21-5412(c)(1)</t>
  </si>
  <si>
    <t>Assault of a Law Enforcement Officer; Uniformed or properly identified university or campus police officer</t>
  </si>
  <si>
    <t>21-5412(c)(2)</t>
  </si>
  <si>
    <t>Assault; Knowingly placing another person in reasonable apprehension of immediate bodily harm</t>
  </si>
  <si>
    <t>21-5412(a)</t>
  </si>
  <si>
    <t>Asset Seizure &amp; Forfeiture; Commencement of forfeiture proceedings; knowing failure of a trustee to comply with the provisions of this subsection</t>
  </si>
  <si>
    <t>60-4109(b)(6)</t>
  </si>
  <si>
    <t>Asset Seizure &amp; Forfeiture; Commencement of forfeiture proceedings; unauthorized disclosure of certain information by an employee of the seizing agency or the plaintiff's attorney</t>
  </si>
  <si>
    <t>60-4109(b)(10)</t>
  </si>
  <si>
    <t>Asset Seizure &amp; Forfeiture; Knowingly remove, conceal, withhold, destroy, or mutilate any subpoenaed documentary material with intent to avoid, evade, prevent, or obstruct compliance with subpoena</t>
  </si>
  <si>
    <t>60-4118(d)</t>
  </si>
  <si>
    <t>Assisting Suicide; Intentionally participating in a physical act by which another commits or attempts to commit suicide</t>
  </si>
  <si>
    <t>21-5407(a)(2)(B)</t>
  </si>
  <si>
    <t>Assisting Suicide; Intentionally providing the physical means by which another commits or attempts to commit suicide</t>
  </si>
  <si>
    <t>21-5407(a)(2)(A)</t>
  </si>
  <si>
    <t>Assisting Suicide; Knowingly, by force or duress, causing another to commit or attempt to commit suicide</t>
  </si>
  <si>
    <t>21-5407(a)(1)</t>
  </si>
  <si>
    <t>Athlete Agent Act; Furnish anything of value to a student-athlete before the student-athlete enters into the agency contract, with the intent to induce a student-athlete to enter into an agency contract</t>
  </si>
  <si>
    <t>44-1529(a)(1)(B)</t>
  </si>
  <si>
    <t>Athlete Agent Act; Furnish anything of value to any individual other than the student-athlete or another registered athlete agent, with the intent to induce a student-athlete to enter into an agency contract</t>
  </si>
  <si>
    <t>44-1529(a)(1)(C)</t>
  </si>
  <si>
    <t>Athlete Agent Act; Give any materially false or misleading information or makes a materially false promise or representation, with the intent to induce a student-athlete to enter into an agency contract</t>
  </si>
  <si>
    <t>44-1529(a)(1)(A)</t>
  </si>
  <si>
    <t>Athlete Agent Act; Intentionally fail to notify a student-athlete before the student-athlete signs or otherwise authenticates an agency contract for a particular sport that the signing or authentication may make the student-athlete ineligible to participate as a student-athlete in that sport</t>
  </si>
  <si>
    <t>44-1529(a)(2)(F)</t>
  </si>
  <si>
    <t>Athlete Agent Act; Intentionally fail to register when required by K.S.A. 2005 Supp. 44-1519</t>
  </si>
  <si>
    <t>44-1529(a)(2)(C)</t>
  </si>
  <si>
    <t>Athlete Agent Act; Intentionally initiates contact with a student-athlete while not registered under this act</t>
  </si>
  <si>
    <t>44-1529(a)(2)(A)</t>
  </si>
  <si>
    <t>Athlete Agent Act; Intentionally predate or postdate an agency contract</t>
  </si>
  <si>
    <t>44-1529(a)(2)(E)</t>
  </si>
  <si>
    <t>Athlete Agent Act; Intentionally provide materially false or misleading information in an application for registration or renewal of registration</t>
  </si>
  <si>
    <t>44-1529(a)(2)(D)</t>
  </si>
  <si>
    <t>Athlete Agent Act; Intentionally refuse or fail to retain or permit inspection of the records required to be retained by K.S.A. 2005 Supp. 44-1528</t>
  </si>
  <si>
    <t>44-1529(a)(2)(B)</t>
  </si>
  <si>
    <t>Athletic Trainers Licensure Act; Unlawful representation of oneself as an athletic trainer</t>
  </si>
  <si>
    <t>65-6903(a)</t>
  </si>
  <si>
    <t>Automobile Injury Reparations Act; Failure to display evidence of financial security upon demand by law enforcement; 1st violation</t>
  </si>
  <si>
    <t>40-3104(d)</t>
  </si>
  <si>
    <t>Automobile Injury Reparations Act; Failure to display evidence of financial security upon demand by law enforcement; 2nd or subs. conviction within 3 yrs</t>
  </si>
  <si>
    <t>Automobile Injury Reparations Act; Failure to maintain continuous financial security</t>
  </si>
  <si>
    <t>40-3118(b)</t>
  </si>
  <si>
    <t>Automobile Injury Reparations Act; Financial security for motor vehicle registration; false certification</t>
  </si>
  <si>
    <t>40-3118(i)</t>
  </si>
  <si>
    <t>Automobile Injury Reparations Act; Knowingly drive an uninsured motor vehicle upon a highway or upon property open to use by the public; 1st violation</t>
  </si>
  <si>
    <t>40-3104(c)</t>
  </si>
  <si>
    <t>Automobile Injury Reparations Act; Knowingly drive an uninsured motor vehicle upon a highway or upon property open to use by the public; 2nd or subs. conviction within 3 yrs</t>
  </si>
  <si>
    <t>Automobile Injury Reparations Act; Motor vehicle liability insurance coverage required</t>
  </si>
  <si>
    <t>40-3104(a)</t>
  </si>
  <si>
    <t>Automobile Injury Reparations Act; Motor vehicle liability insurance coverage required; 2nd or subs. conviction within 3 yrs</t>
  </si>
  <si>
    <t>Automobile Injury Reparations Act; Permitting uninsured motor vehicle to be operated upon a highway or upon property open to use by the public; 1st violation</t>
  </si>
  <si>
    <t>40-3104(b)</t>
  </si>
  <si>
    <t>Automobile Injury Reparations Act; Permitting uninsured motor vehicle to be operated upon a highway or upon property open to use by the public; 2nd or subs. conviction within 3 yrs</t>
  </si>
  <si>
    <t>Automobile Master Key Violation; Selling or offering to sell a motor vehicle master key knowingly designed to fit the ignition switch of more than 1 motor vehicle to an unauthorized person</t>
  </si>
  <si>
    <t>21-5833(a)(1)</t>
  </si>
  <si>
    <t>Automobile Master Key Violation; Unauthorized possession of a motor vehicle master key designed to fit the ignition switch of more than 1 motor vehicle</t>
  </si>
  <si>
    <t>21-5833(a)(2)</t>
  </si>
  <si>
    <t>Automobiles/Vehicles; Buying/selling a vehicle required to be registered, without passing of the certificate of title either at delivery or another agreed time not to exceed 60 days</t>
  </si>
  <si>
    <t>8-135(c)(7)</t>
  </si>
  <si>
    <t>Automobiles/Vehicles; Display/possession of fictitious, canceled, revoked, suspended or altered registration receipt, certificate of title, registration license plate, registration decal, accessible parking placard or accessible parking identification card</t>
  </si>
  <si>
    <t>8-142(Second)</t>
  </si>
  <si>
    <t>Automobiles/Vehicles; Effective Jan. 1, 2012;Failure to return disabled placards to department of revenue or disabled license plates to the county treasurer as required</t>
  </si>
  <si>
    <t>8-1,125(f)</t>
  </si>
  <si>
    <t>Automobiles/Vehicles; Fail or refuse to surrender any suspended, canceled or revoked registration receipt, certificate of title, registration license plate or registration decal upon demand</t>
  </si>
  <si>
    <t>8-142(Fourth)</t>
  </si>
  <si>
    <t>Automobiles/Vehicles; Failure to apply for a nonrepairable vehicle certificate</t>
  </si>
  <si>
    <t>8-135c(c)(7)</t>
  </si>
  <si>
    <t>Automobiles/Vehicles; Failure to comply with requirements pertaining to gross weight and operation of farm truck or truck tractor used with a trailer or semitrailer; signage required for farm truck or farm truck tractor used to transport a gross weight of more than 54,000 pounds</t>
  </si>
  <si>
    <t>8-142(Tenth)</t>
  </si>
  <si>
    <t>Automobiles/Vehicles; Failure to get rebuilt salvage title as required herein</t>
  </si>
  <si>
    <t>8-198(f)(3)(C)</t>
  </si>
  <si>
    <t>Automobiles/Vehicles; Failure to get salvage title as required herein</t>
  </si>
  <si>
    <t>8-198(d)(8)</t>
  </si>
  <si>
    <t>Automobiles/Vehicles; Failure to keep required records and comply with rules when registering a truck or truck tractor on the basis of operating not more than 6,000 miles</t>
  </si>
  <si>
    <t>8-142(Fifteenth)</t>
  </si>
  <si>
    <t>Automobiles/Vehicles; Failure to pay registration fee or fees when due</t>
  </si>
  <si>
    <t>8-143(d)</t>
  </si>
  <si>
    <t>Automobiles/Vehicles; Fair Trade Act; penalty for any violation of act</t>
  </si>
  <si>
    <t>8-607</t>
  </si>
  <si>
    <t>Automobiles/Vehicles; Fair Trade Act; sell or contract to sell motor vehicle or vehicles or other specific commodities to any dealer with condition that dealer finance the purchase or sale only with/through a designated person</t>
  </si>
  <si>
    <t>8-603</t>
  </si>
  <si>
    <t>Automobiles/Vehicles; False certification that one is qualified for disabled plate, placard, or identification card</t>
  </si>
  <si>
    <t>8-1,130(b)</t>
  </si>
  <si>
    <t>Automobiles/Vehicles; False representation that one is qualified for disabled plate, placard or identification card</t>
  </si>
  <si>
    <t>8-1,130(a)</t>
  </si>
  <si>
    <t>Automobiles/Vehicles; Knowingly make false statement concerning financial security in obtaining a permit to operate a salvage vehicle on the highways; failure to obtain permit as required by law</t>
  </si>
  <si>
    <t>8-198(h)</t>
  </si>
  <si>
    <t>Automobiles/Vehicles; Lend or permit use of a registration receipt, certificate of title, registration license plate or registration decal by one not so entitled</t>
  </si>
  <si>
    <t>8-142(Third)</t>
  </si>
  <si>
    <t>Automobiles/Vehicles; Licensure of Vehicle Sales &amp; Manufacture; selling motor vehicles without a license</t>
  </si>
  <si>
    <t>Automobiles/Vehicles; Operate more than 6,000 miles in any calendar year any truck or truck tractor registered and licensed to operate no more than 6,000 miles in such calendar year</t>
  </si>
  <si>
    <t>8-142(Fourteenth)</t>
  </si>
  <si>
    <t>Automobiles/Vehicles; Operation of a farm trailer carrying more than 6,000 pounds without being registered and the registration fees paid</t>
  </si>
  <si>
    <t>8-142(Thirteenth)</t>
  </si>
  <si>
    <t>Automobiles/Vehicles; Operation of a truck or truck tractor registered for a g/w &gt; 12,000 lbs. outside approved locations</t>
  </si>
  <si>
    <t>8-142(Eighth)</t>
  </si>
  <si>
    <t>Automobiles/Vehicles; Operation of a truck or truck tractor without carrying proper registration receipt  or without having marked said vehicle as required</t>
  </si>
  <si>
    <t>8-142(Twelfth)</t>
  </si>
  <si>
    <t>Automobiles/Vehicles; Operation of a vehicle not properly registered or without certificate of title or without registration decal affixed as required</t>
  </si>
  <si>
    <t>8-142(First)</t>
  </si>
  <si>
    <t>Automobiles/Vehicles; Operation of a vehicle or combination of vehicles on the national system of interstate and defense highways with a gross weight greater than permitted by the laws of the United States Congress</t>
  </si>
  <si>
    <t>8-142(Sixteenth)</t>
  </si>
  <si>
    <t>Automobiles/Vehicles; Operation of a vehicle whose weight with cargo is in excess of the gross weight for which the vehicle is registered</t>
  </si>
  <si>
    <t>8-142(Seventh)</t>
  </si>
  <si>
    <t>Automobiles/Vehicles; Operation of any truck or truck tractor without the current quarter of license fees being paid</t>
  </si>
  <si>
    <t>8-142(Eleventh)</t>
  </si>
  <si>
    <t>Automobiles/Vehicles; Operation of any vehicle without registration or a hunter's permit</t>
  </si>
  <si>
    <t>8-1,143(b)</t>
  </si>
  <si>
    <t>Automobiles/Vehicles; Operation of vehicle required to be registered, or transferring title to any such vehicle, without a certificate of title issued as required</t>
  </si>
  <si>
    <t>8-135(c)(6)</t>
  </si>
  <si>
    <t>Automobiles/Vehicles; Operation on the highways of this state a farm truck or farm trailer for purpose of transportation of other than authorized cargo</t>
  </si>
  <si>
    <t>8-142(Ninth)</t>
  </si>
  <si>
    <t>Automobiles/Vehicles; Possession of accessible parking identification device which is expired or been revoked or suspended by the secretary of revenue; 1st violation</t>
  </si>
  <si>
    <t>8-1,130a(a)</t>
  </si>
  <si>
    <t>Automobiles/Vehicles; Registering a vehicle in county other than the one in which the owner resides or has a bona fide place of business</t>
  </si>
  <si>
    <t>8-142(Sixth)</t>
  </si>
  <si>
    <t>Automobiles/Vehicles; Remove notice required to be attached to rebuilt vehicles</t>
  </si>
  <si>
    <t>8-199a</t>
  </si>
  <si>
    <t>Automobiles/Vehicles; Reporting requirement; failure to report unclaimed vehicle as required</t>
  </si>
  <si>
    <t>8-113a</t>
  </si>
  <si>
    <t>Automobiles/Vehicles; Sell / transfer ownership of any nonhighway vehicle or salvage vehicle without giving purchaser an assigned nonhighway certificate of title or salvage title</t>
  </si>
  <si>
    <t>8-199(a)</t>
  </si>
  <si>
    <t>Automobiles/Vehicles; Stop, stand or park a vehicle in an access aisle between or beside a designated accessible parking space</t>
  </si>
  <si>
    <t>8-1,129(a)(5)</t>
  </si>
  <si>
    <t>Automobiles/Vehicles; Stop, stand or park a vehicle so that it blocks a disabled parking stall</t>
  </si>
  <si>
    <t>8-1,129(a)(3)</t>
  </si>
  <si>
    <t>Automobiles/Vehicles; Stop, stand or park a vehicle so that it blocks an access aisle</t>
  </si>
  <si>
    <t>8-1,129(a)(4)</t>
  </si>
  <si>
    <t>Automobiles/Vehicles; Stop, stand or park a vehicle so that it blocks an access entrance</t>
  </si>
  <si>
    <t>8-1,129(a)(2)</t>
  </si>
  <si>
    <t>Automobiles/Vehicles; Stop, stand or park a vehicle, in handicap accessible parking without displaying required special license plate, permanent placard or disabled veteran license plate and an individual identification card, or a valid temporary placard</t>
  </si>
  <si>
    <t>8-1,129(a)(1)</t>
  </si>
  <si>
    <t>Automobiles/Vehicles; Swearing falsely to any affidavit required</t>
  </si>
  <si>
    <t>8-177</t>
  </si>
  <si>
    <t>Automobiles/Vehicles; Unauthorized utilization of any handicapped accessible parking I.D. device, issued to another, to park in any handicapped parking space; 1st violation</t>
  </si>
  <si>
    <t>8-1,130a(b)</t>
  </si>
  <si>
    <t>Automobiles/Vehicles; Unlawful operation of unregistered vehicle after transfer/sale</t>
  </si>
  <si>
    <t>8-135(b)</t>
  </si>
  <si>
    <t>Automobiles/Vehicles; Unlawful possession of license plate</t>
  </si>
  <si>
    <t>8-135(a)</t>
  </si>
  <si>
    <t>Automobiles/Vehicles; Unlawfully claiming motor vehicle is exempt from registration as a self-propelled crane</t>
  </si>
  <si>
    <t>Automobiles/Vehicles; Use a false/ fictitious name or address when applying for a certificate of title, registration of a vehicle or for renewal or duplicate; knowingly making false statement to conceal a material fact or otherwise commit a fraud in an application</t>
  </si>
  <si>
    <t>8-142(Fifth)</t>
  </si>
  <si>
    <t>Automobiles/Vehicles; Use of False or Fictitious Name on ID Application</t>
  </si>
  <si>
    <t>8-1327(a)(5)</t>
  </si>
  <si>
    <t>Automobiles/Vehicles; Various Vehicle Identification numbers; unlawful acts</t>
  </si>
  <si>
    <t>8-113</t>
  </si>
  <si>
    <t>Automobiles/Vehicles; VINs; custody of vehicle with VIN destroyed, removed, etc</t>
  </si>
  <si>
    <t>8-116(b)</t>
  </si>
  <si>
    <t>Automobiles/Vehicles; VINs; destroy, alter, remove, etc. VIN</t>
  </si>
  <si>
    <t>8-116(c)</t>
  </si>
  <si>
    <t>Automobiles/Vehicles; VINs; sale of vehicle with VIN destroyed, removed, etc</t>
  </si>
  <si>
    <t>8-116(a)</t>
  </si>
  <si>
    <t>Automobiles/Vehicles; Willful and false representation of qualifications to obtain disabled veterans registration and license plates or false use of such parking privilege</t>
  </si>
  <si>
    <t>8-161(d)</t>
  </si>
  <si>
    <t>Automobiles/Vehicles; Willful filing or knowingly presenting a fraudulent proration fleet registration application to gain refund or credit</t>
  </si>
  <si>
    <t>8-1,117</t>
  </si>
  <si>
    <t>Banking; Certified checks, drafts or orders in excess of amount on deposit</t>
  </si>
  <si>
    <t>Banking; Commissioner; prohibition of felon serving as director, officer or employee of bank</t>
  </si>
  <si>
    <t>9-1717(a)</t>
  </si>
  <si>
    <t>Banking; Commissioner; unauthorized disclosure of confidential information</t>
  </si>
  <si>
    <t>9-1712(b)</t>
  </si>
  <si>
    <t>Banking; Embezzlement with intent to injure or defraud</t>
  </si>
  <si>
    <t>9-2012(a)</t>
  </si>
  <si>
    <t>Banking; Failure by receiver to comply with state banking code by receiver</t>
  </si>
  <si>
    <t>Banking; Insolvent bank receiving deposits</t>
  </si>
  <si>
    <t>Banking; Make false report, statement or entry in the books</t>
  </si>
  <si>
    <t>Banking; Neglect to perform any duty required; permit violation of any of the provisions of this act; make a false statement; or be guilty of any misconduct or corruption in office</t>
  </si>
  <si>
    <t>Banking; Neglect to perform duties required or failure to conform to law</t>
  </si>
  <si>
    <t>Banking; Receiving deposits after authority revoked</t>
  </si>
  <si>
    <t>Banking; Unlawful to obstruct examination</t>
  </si>
  <si>
    <t>Banking; Unlawful to offer anything of value</t>
  </si>
  <si>
    <t>9-2013(a)(1)</t>
  </si>
  <si>
    <t>Banking; Unlawful to solicit anything of value</t>
  </si>
  <si>
    <t>9-2013(a)(2)</t>
  </si>
  <si>
    <t>Banking; Unlawfully engaging in the banking or trust company business</t>
  </si>
  <si>
    <t>Banking; Unlawfully transacting banking or trust business</t>
  </si>
  <si>
    <t>Banking; Willfully swear or affirm falsely; penalty as for perjury; in a felony trial</t>
  </si>
  <si>
    <t>Banking; Willfully swear or affirm falsely; penalty as for perjury; other than in a felony trial</t>
  </si>
  <si>
    <t>Barberry Eradication; Penalty for violation of act, K.S.A. 2-712 to 2-716</t>
  </si>
  <si>
    <t>2-717</t>
  </si>
  <si>
    <t>Barbers; Obtain or attempt to obtain a license for any other than the required fee, or for any other thing of value or by fraudulent misrepresentations</t>
  </si>
  <si>
    <t>65-1822(b)</t>
  </si>
  <si>
    <t>Barbers; Operate a barber school or barber college without a license</t>
  </si>
  <si>
    <t>65-1810(f)</t>
  </si>
  <si>
    <t>Barbers; Penalty for any violation of act</t>
  </si>
  <si>
    <t>65-1822(a)</t>
  </si>
  <si>
    <t>Barbers; Penalty for any violation of act unless otherwise provided</t>
  </si>
  <si>
    <t>65-1828(a)</t>
  </si>
  <si>
    <t>Barbers; Practice or attempt to practice by fraudulent misrepresentations</t>
  </si>
  <si>
    <t>65-1822(c)</t>
  </si>
  <si>
    <t>Battery; Attorney while engaged in performance of duty</t>
  </si>
  <si>
    <t>21-5413(c)(1)(D)</t>
  </si>
  <si>
    <t>21-5413(c)(2)(D)</t>
  </si>
  <si>
    <t>Battery; Campus or university police officer; knowingly or recklessly causing bodily harm</t>
  </si>
  <si>
    <t>21-5413(c)(2)(A)</t>
  </si>
  <si>
    <t>Battery; Campus/university police officer; Knowingly causing physical contact  in a rude, insulting or angry manner</t>
  </si>
  <si>
    <t>21-5413(c)(1)(A)</t>
  </si>
  <si>
    <t>Battery; City or county correctional officer/employee by a person confined in city holding facility or county jail</t>
  </si>
  <si>
    <t>21-5413(c)(3)(D)</t>
  </si>
  <si>
    <t>Battery; Community corrections or court services officer while engaged in performance of duty</t>
  </si>
  <si>
    <t>21-5413(c)(1)(E)</t>
  </si>
  <si>
    <t>21-5413(c)(2)(E)</t>
  </si>
  <si>
    <t>Battery; Judge while engaged in performance of duty</t>
  </si>
  <si>
    <t>21-5413(c)(1)(C)</t>
  </si>
  <si>
    <t>21-5413(c)(2)(C)</t>
  </si>
  <si>
    <t>Battery; Juvenile correctional facility officer/employee by a person confined in a JCF</t>
  </si>
  <si>
    <t>21-5413(c)(3)(B)</t>
  </si>
  <si>
    <t>Battery; Juvenile detention facility officer/employee by a person confined in a JDC</t>
  </si>
  <si>
    <t>21-5413(c)(3)(C)</t>
  </si>
  <si>
    <t>Battery; Knowingly causing physical contact with another person when done in a rude, insulting or angry manner</t>
  </si>
  <si>
    <t>21-5413(a)(2)</t>
  </si>
  <si>
    <t>Battery; Knowingly or recklessly causing bodily harm to another person</t>
  </si>
  <si>
    <t>21-5413(a)(1)</t>
  </si>
  <si>
    <t>Battery; Law enforcement officer; Knowingly causing physical contact in a rude, insulting or angry manner</t>
  </si>
  <si>
    <t>21-5413(c)(1)(B)</t>
  </si>
  <si>
    <t>Battery; Mental health employee</t>
  </si>
  <si>
    <t>21-5413(f)</t>
  </si>
  <si>
    <t>Battery; School employee</t>
  </si>
  <si>
    <t>21-5413(e)</t>
  </si>
  <si>
    <t>Battery; State correctional officer/employee by a person in custody of the Secretary of Corrections</t>
  </si>
  <si>
    <t>21-5413(c)(3)(A)</t>
  </si>
  <si>
    <t>Battery; State, county or city law enforcement officer; knowingly or recklessly causing bodily harm</t>
  </si>
  <si>
    <t>21-5413(c)(2)(B)</t>
  </si>
  <si>
    <t>Bigamy; Cohabitation in this state after marriage in another state or country under circumstances described in subsection (a)(1) or (a)(2)</t>
  </si>
  <si>
    <t>21-5609(a)(3)</t>
  </si>
  <si>
    <t>Bigamy; Marriage by a person who has another spouse living at the time of such marriage</t>
  </si>
  <si>
    <t>21-5609(a)(1)</t>
  </si>
  <si>
    <t>Bigamy; Marriage by an unmarried person to a person known to be the spouse of another</t>
  </si>
  <si>
    <t>21-5609(a)(2)</t>
  </si>
  <si>
    <t>Blackmail; Intentionally gain/attempt to gain anything of value or compel another to act against such person's will, by threatening to: Communicate information that would subject such person or another to public ridicule, contempt or degradation</t>
  </si>
  <si>
    <t>21-5428(a)(1)</t>
  </si>
  <si>
    <t>Blackmail; Intentionally gain/attempt to gain anything of value or compel another to act against such person's will, by threatening to: Disseminate videotape, photograph, film or image obtained in violation of K.S.A. 21-6101(a)(6)</t>
  </si>
  <si>
    <t>21-5428(a)(2)</t>
  </si>
  <si>
    <t>Board of Examiners In Fitting &amp; Dispensing of Hearing Aids; Penalty for violation of Act - 1st offense</t>
  </si>
  <si>
    <t>74-5824</t>
  </si>
  <si>
    <t>Board of Examiners In Fitting &amp; Dispensing of Hearing Aids; Penalty for violation of Act - 2nd or subs. offense</t>
  </si>
  <si>
    <t>Boating; Applications for license of vessels to indicate presence of marine toilets</t>
  </si>
  <si>
    <t>32-1155</t>
  </si>
  <si>
    <t>Boating; Boating without required lifesaving devices</t>
  </si>
  <si>
    <t>32-1129(a)</t>
  </si>
  <si>
    <t>Boating; Every motorboat of class 2 or 3 shall be provided with an efficient bell</t>
  </si>
  <si>
    <t>32-1119(e)</t>
  </si>
  <si>
    <t>Boating; Fail to have the carburetor or carburetors of engine using gasoline as fuel, equipped with coast guard approved flame arrester, backfire trap or other similar device, unless exempt</t>
  </si>
  <si>
    <t>32-1119(i)</t>
  </si>
  <si>
    <t>Boating; Fail to keep readily accessible and in good condition, coast guard approved fire extinguishers, capable of promptly and effectually extinguishing burning gasoline</t>
  </si>
  <si>
    <t>32-1119(g)</t>
  </si>
  <si>
    <t>Boating; Fail to keep readily accessible one coast guard approved lifesaving device for each person on board</t>
  </si>
  <si>
    <t>32-1119(f)</t>
  </si>
  <si>
    <t>Boating; Fail to provide means for properly and efficiently ventilating the bilges of the engine and fuel tank compartments, unless exempt</t>
  </si>
  <si>
    <t>32-1119(j)</t>
  </si>
  <si>
    <t>Boating; Failure of owner of a boat livery ensure that the equipment required pursuant to K.S.A. 32-1119 has been provided prior to permitting operation of any motorboat</t>
  </si>
  <si>
    <t>32-1148(b)</t>
  </si>
  <si>
    <t>Boating; Failure of owner of a boat livery to keep certain records for at least 6 months</t>
  </si>
  <si>
    <t>32-1148(a)</t>
  </si>
  <si>
    <t>Boating; Failure of vessel operator involved in a collision resulting in death or excessive property damage to file full description of the incident</t>
  </si>
  <si>
    <t>32-1177(b)</t>
  </si>
  <si>
    <t>Boating; Failure of vessel operator involved in a collision, accident or other casualty to render aid and provide contact information</t>
  </si>
  <si>
    <t>32-1177(a)</t>
  </si>
  <si>
    <t>Boating; Inspection certificate issued by the United States coast guard required for owner of any vessel operating on the waters of this state and carrying more than 20 passengers</t>
  </si>
  <si>
    <t>32-1127(b)</t>
  </si>
  <si>
    <t>Boating; Intentional, unauthorized, defacing, destroying, removing or altering of an identification number required for a vessel</t>
  </si>
  <si>
    <t>32-1115(a)(1)</t>
  </si>
  <si>
    <t>Boating; Lighting requirements for motorboats</t>
  </si>
  <si>
    <t>32-1119(b)</t>
  </si>
  <si>
    <t>Boating; Manipulation of any water skis, surfboard or similar device while under the influence of alcohol or drugs, or both</t>
  </si>
  <si>
    <t>32-1125(b)</t>
  </si>
  <si>
    <t>Boating; Motorboats of class 1, 2, or 3 shall be provided with an efficient whistle or other sound-producing mechanical appliance</t>
  </si>
  <si>
    <t>32-1119(d)</t>
  </si>
  <si>
    <t>Boating; Operate a motorboat or other vessel close to swimming areas, moored boats or vessels engaged in fishing, servicing buoys or markings, or similar activities, without reducing to no wake speed</t>
  </si>
  <si>
    <t>32-1119(n)</t>
  </si>
  <si>
    <t>Boating; Operate a motorboat towing a person or persons on water skis, surfboard, or similar device, without a wide angle rear view mirror properly placed to provide a maximum vision of the person or persons being towed, or an observer at least 12 yrs of age in the boat in addition to the operator</t>
  </si>
  <si>
    <t>32-1128(d)</t>
  </si>
  <si>
    <t>Boating; Operate a vessel towing a person or persons on water skis, surfboard, or similar device, or engage in water skiing, surfboarding, or similar activity during prohibited hours</t>
  </si>
  <si>
    <t>32-1128(a)</t>
  </si>
  <si>
    <t>Boating; Operate or give permission to operate a vessel which is not equipped as required by the laws of Kansas and rules and regulations of the secretary</t>
  </si>
  <si>
    <t>32-1119(m)</t>
  </si>
  <si>
    <t>Boating; Operate or manipulate a vessel, tow rope or other device, in such a way as to cause the water skis, surfboard, or similar device, or any person thereon to collide with or strike against any object or person</t>
  </si>
  <si>
    <t>32-1128(c)</t>
  </si>
  <si>
    <t>Boating; Operate or permit the operation of any motorboat or vessel propelled by sail without such vessel being numbered in accordance with this act</t>
  </si>
  <si>
    <t>32-1110</t>
  </si>
  <si>
    <t>Boating; Operation of any motorboat or vessel for pleasure riding or pull any water skis, surfboard or similar device in prohibited areas</t>
  </si>
  <si>
    <t>32-1125(c)</t>
  </si>
  <si>
    <t>Boating; Operation of any vessel on the waters of this state carrying more than 20 passengers without satisfying the United States coast guard stability test criteria for small passenger vessels in 46 C.F.R. 179</t>
  </si>
  <si>
    <t>32-1127(a)</t>
  </si>
  <si>
    <t>Boating; Operation of or mooring a vessel in prohibited areas; operation of a vessel for purposes other than fishing in designated fishing areas; operation of a vessel for purposes other than hunting in designated hunting areas</t>
  </si>
  <si>
    <t>32-1125(d)</t>
  </si>
  <si>
    <t>Boating; Permitting a person under 12 yrs of age to operate a motorboat without parental or other adult (over 17 yrs) direct supervision</t>
  </si>
  <si>
    <t>32-1125(e)</t>
  </si>
  <si>
    <t>Boating; Placing or stamping any serial number upon a vessel other than the one assigned to the vessel</t>
  </si>
  <si>
    <t>32-1115(a)(2)</t>
  </si>
  <si>
    <t>Boating; Reckless or negligent, operation of or manipulation of any motorboat or vessel, water skis, surfboard or similar device</t>
  </si>
  <si>
    <t>32-1125(a)</t>
  </si>
  <si>
    <t>Boating; Sanitation; toilet facilities</t>
  </si>
  <si>
    <t>32-1152</t>
  </si>
  <si>
    <t>Boating; Selling, bartering, exchanging or possessing any vessel where the original hull identification number has been destroyed, removed, altered or defaced</t>
  </si>
  <si>
    <t>32-1115(b)</t>
  </si>
  <si>
    <t>Boating; Unlawful sewage disposal</t>
  </si>
  <si>
    <t>32-1153</t>
  </si>
  <si>
    <t>Boating; Violating capacity limits of a vessel</t>
  </si>
  <si>
    <t>32-1126</t>
  </si>
  <si>
    <t>Boating; Water Activities; scuba diving; rules and regulations; buoy required</t>
  </si>
  <si>
    <t>32-1151</t>
  </si>
  <si>
    <t>Boating; Water Activities; Scuba diving; rules and regulations; diving in prohibited locations</t>
  </si>
  <si>
    <t>32-1150</t>
  </si>
  <si>
    <t>Boating; Willfully fail or refuse to stop, or flee or attempt to elude a pursuing law enforcement vehicle or vessel, when given a visual or audible signal to stop</t>
  </si>
  <si>
    <t>32-1125(f)</t>
  </si>
  <si>
    <t>Bonds &amp; Warrants; Cash-Basis law; clerks not to issue or sign orders</t>
  </si>
  <si>
    <t>10-1114</t>
  </si>
  <si>
    <t>Bonds &amp; Warrants; Cash-Basis law; creating indebtedness in excess of funds unlawful</t>
  </si>
  <si>
    <t>10-1113</t>
  </si>
  <si>
    <t>Bonds &amp; Warrants; Cash-Basis law; member of governing body of any municipality, knowingly voting for or in any manner aid or promote the entering into of any contract or the creation of any other indebtedness</t>
  </si>
  <si>
    <t>10-1116(c)</t>
  </si>
  <si>
    <t>Bonds &amp; Warrants; Cash-Basis law; treasurers not to pay orders</t>
  </si>
  <si>
    <t>10-1115</t>
  </si>
  <si>
    <t>Bonds &amp; Warrants; Diversion of interest and sinking funds for refunding bonds; misappropriation of such</t>
  </si>
  <si>
    <t>10-118a</t>
  </si>
  <si>
    <t>Bonds &amp; Warrants; Execution of unlawful or irregular warrants or warrant checks</t>
  </si>
  <si>
    <t>10-810</t>
  </si>
  <si>
    <t>Bonds &amp; Warrants; Failure of a county treasurer to forward moneys in the county treasury when requested</t>
  </si>
  <si>
    <t>10-130(d)(1)</t>
  </si>
  <si>
    <t>Bonds &amp; Warrants; Failure of state treasurer to pay certain funds or moneys as provided by law</t>
  </si>
  <si>
    <t>10-130a</t>
  </si>
  <si>
    <t>Bonds &amp; Warrants; Failure of the treasurer of a municipality or any county treasurer to make timely request for moneys</t>
  </si>
  <si>
    <t>10-130(d)(2)</t>
  </si>
  <si>
    <t>Bonds &amp; Warrants; Failure of the treasurer of a municipality to make timely remittance of moneys for redemption of bonds or to pay the interest thereon</t>
  </si>
  <si>
    <t>10-130(d)(3)</t>
  </si>
  <si>
    <t>Bonds &amp; Warrants; Failure to furnish statement</t>
  </si>
  <si>
    <t>10-110(a)</t>
  </si>
  <si>
    <t>Bonds &amp; Warrants; Failure to levy a sum sufficient to pay the interest on bonds as required</t>
  </si>
  <si>
    <t>10-113</t>
  </si>
  <si>
    <t>Bonds &amp; Warrants; Failure to make cancellation</t>
  </si>
  <si>
    <t>Bonds &amp; Warrants; Unlawful issue, diversion or misuse of bond proceeds or tax funds</t>
  </si>
  <si>
    <t>10-117</t>
  </si>
  <si>
    <t>Breach of Privacy; Disseminating any videotape photograph, film or image of another identifiable person 18 years of age or older who is nude or engaged in sexual activity and under circumstances in which such identifiable person had a reasonable expectation of privacy, with the intent to harass, threaten or intimidate such identifiable person, and such identifiable person did not consent to such dissemination</t>
  </si>
  <si>
    <t>21-6101(a)(8)</t>
  </si>
  <si>
    <t>Breach of Privacy; Disseminating any videotape photograph, film or image of another identifiable person 18 years of age or older who is nude or engaged in sexual activity and under circumstances in which such identifiable person had a reasonable expectation of privacy, with the intent to harass, threaten or intimidate such identifiable person, and such identifiable person did not consent to such dissemination; 2nd or subsequent offense</t>
  </si>
  <si>
    <t>Breach of Privacy; Install or use any device or equipment for the interception of any telephone, telegraph or other wire or wireless communication</t>
  </si>
  <si>
    <t>21-6101(a)(5)</t>
  </si>
  <si>
    <t>Breach of Privacy; Install or use outside or inside a private place any device for hearing, recording, amplifying or broadcasting sounds</t>
  </si>
  <si>
    <t>21-6101(a)(4)</t>
  </si>
  <si>
    <t>Breach of Privacy; Knowingly and without authority; Disseminating or permitting the dissemination of any videotape, photograph, film or image obtained in violation of subsection (a)(6)</t>
  </si>
  <si>
    <t>21-6101(a)(7)</t>
  </si>
  <si>
    <t>Breach of Privacy; Knowingly and without authority; Divulging, without consent of sender or receiver, the existence or contents of intercepted message</t>
  </si>
  <si>
    <t>21-6101(a)(2)</t>
  </si>
  <si>
    <t>Breach of Privacy; Knowingly and without authority; Enter with intent to listen surreptitiously to private conversations in a private place or to observe the personal conduct of any other person entitled to privacy therein</t>
  </si>
  <si>
    <t>21-6101(a)(3)</t>
  </si>
  <si>
    <t>Breach of Privacy; Knowingly and without authority; Installing or using a concealed camera of any type, to secretly photograph or record by electronic or other means, another, who is nude or in a state of undress, or record under or through the clothing being worn by that other person, for the purpose of viewing the body of, or the undergarments worn by, that other person, without consent or knowledge of that other person, with intent to invade the privacy</t>
  </si>
  <si>
    <t>21-6101(a)(6)</t>
  </si>
  <si>
    <t>Breach of Privacy; Knowingly and without authority; Installing or using a concealed camera of any type, to secretly photograph or record by electronic or other means, another, who is nude or in a state of undress, or record under or through the clothing being worn by that other person, for the purpose of viewing the body of, or the undergarments worn by, that other person, without consent or knowledge of that other person, with intent to invade the privacy; 2nd offense within 5 years</t>
  </si>
  <si>
    <t>Breach of Privacy; Knowingly and without authority; Intercepting, without consent of sender or receiver, a message by telephone, telegraph, letter or other means of private communication</t>
  </si>
  <si>
    <t>21-6101(a)(1)</t>
  </si>
  <si>
    <t>Bribery; Intent to improperly influence a public official, offer, give or promise to give, directly or indirectly, to any public official benefit, reward or consideration which public official is not permitted to accept, in exchange for performance or omission of performance of public official's duty or promise to perform or omit to perform powers or duties</t>
  </si>
  <si>
    <t>21-6001(a)(1)</t>
  </si>
  <si>
    <t>Bribery; Public official  intentionally requesting, receiving or agreeing to receive, directly or indirectly, any benefit, reward or consideration, which public official is not permitted to accept, with intent to improperly influence such public official and in exchange for performance or omission of performance of public official’s powers or duties or promise to perform or omit performance of powers or duties</t>
  </si>
  <si>
    <t>21-6001(a)(2)</t>
  </si>
  <si>
    <t>BUI; Alcohol concentration in blood or breath is .02 or more within 3 hours of vessel operation or attempted operation and person under 21; 1st offense</t>
  </si>
  <si>
    <t>32-1131(a)(3)</t>
  </si>
  <si>
    <t>BUI; Alcohol concentration in blood or breath is .02 or more within 3 hours of vessel operation or attempted operation and person under 21; 2nd or subs. offense</t>
  </si>
  <si>
    <t>BUI; Alcohol concentration in blood or breath is .08 or more as shown by competent evidence including other competent evidence; 1st offense</t>
  </si>
  <si>
    <t>32-1131(a)(1)</t>
  </si>
  <si>
    <t>BUI; Alcohol concentration in blood or breath is .08 or more as shown by competent evidence including other competent evidence; 2nd or subs. offense</t>
  </si>
  <si>
    <t>BUI; Alcohol concentration in blood or breath is .08 or more within 3 hours of vessel operation or attempted operation; 1st offense</t>
  </si>
  <si>
    <t>32-1131(a)(2)</t>
  </si>
  <si>
    <t>BUI; Alcohol concentration in blood or breath is .08 or more within 3 hours of vessel operation or attempted operation; 2nd or subs. offense</t>
  </si>
  <si>
    <t>BUI; Under the influence of alcohol to degree that renders the person incapable of safely operating a vessel; 1st offense</t>
  </si>
  <si>
    <t>32-1131(a)(4)</t>
  </si>
  <si>
    <t>BUI; Under the influence of alcohol to degree that renders the person incapable of safely operating a vessel; 2nd or subs. offense</t>
  </si>
  <si>
    <t>BUI; Under the influence of any drug or drugs that renders the person incapable of safely operating a vessel; 1st offense</t>
  </si>
  <si>
    <t>32-1131(a)(5)</t>
  </si>
  <si>
    <t>BUI; Under the influence of any drug or drugs that renders the person incapable of safely operating a vessel; 2nd or subs. offense</t>
  </si>
  <si>
    <t>BUI; Under the influence of combination of alcohol and drug that renders the person incapable of safely operating a vessel; 1st offense</t>
  </si>
  <si>
    <t>32-1131(a)(6)</t>
  </si>
  <si>
    <t>BUI; Under the influence of combination of alcohol and drug that renders the person incapable of safely operating a vessel; 2nd or subs. offense</t>
  </si>
  <si>
    <t>Burglary; Without authority, enter into or remain within a building or other structure not a dwelling, with intent to commit the theft of a firearm</t>
  </si>
  <si>
    <t>21-5807(a)(2)</t>
  </si>
  <si>
    <t>Burglary; Without authority, enter into or remain within a bulding or other structure not a dwelling, with intent to commit a felony, theft or sexually motivated crime therein</t>
  </si>
  <si>
    <t>Burglary; Without authority, enter into or remain within a dwelling with intent to commit a felony, theft or sexually motivated crime therein</t>
  </si>
  <si>
    <t>21-5807(a)(1)</t>
  </si>
  <si>
    <t>Burglary; Without authority, enter into or remain within a dwelling with intent to commit the theft of a firearm</t>
  </si>
  <si>
    <t>Burglary; Without authority, enter into or remain within any vehicle, aircraft, watercraft, railroad car or other means of conveyance of persons or property, with intent to commit a felony, theft or sexually motivated crime therein</t>
  </si>
  <si>
    <t>21-5807(a)(3)</t>
  </si>
  <si>
    <t>Burglary; Without authority, enter into or remain within any vehicle, aircraft, watercraft, railroad car or other means of conveyance of persons or property, with intent to commit the theft of a firearm</t>
  </si>
  <si>
    <t>Business Crimes; Debt adjusting</t>
  </si>
  <si>
    <t>21-6502(a)</t>
  </si>
  <si>
    <t>Business Crimes; Deceptive commercial practices</t>
  </si>
  <si>
    <t>21-6503(a)</t>
  </si>
  <si>
    <t>Business Crimes; Equity skimming; With intent to defraud, intentionally engaging in a pattern or practice of applying or authorizing the application of rents from such dwelling for such person's own use</t>
  </si>
  <si>
    <t>21-6504(a)(3)</t>
  </si>
  <si>
    <t>Business Crimes; Equity skimming; With intent to defraud, intentionally engaging in a pattern or practice of failing to deliver to holder of mortgage before a sheriff's sale or holder of the certificate of purchase during the period of redemption all rent proceeds received</t>
  </si>
  <si>
    <t>21-6504(a)(2)</t>
  </si>
  <si>
    <t>Business Crimes; Equity skimming; With intent to defraud, intentionally engaging in a pattern or practice of purchasing family dwellings, or acquiring any interest therein, which are subject to a loan in default or near default and secured by a mortgage</t>
  </si>
  <si>
    <t>21-6504(a)(1)</t>
  </si>
  <si>
    <t>Business Crimes; Knowingly employing an illegal alien within the United States</t>
  </si>
  <si>
    <t>21-6509(a)</t>
  </si>
  <si>
    <t>Business Crimes; Tie-in magazine sale</t>
  </si>
  <si>
    <t>21-6505(a)</t>
  </si>
  <si>
    <t>Buying Sexual Relations; Entering or remaining in a place where sexual relations are sold with the intent to engage in sexual acts with a person 18 or older offender has no prior convictions under this section</t>
  </si>
  <si>
    <t>21-6421(a)(1)</t>
  </si>
  <si>
    <t>Buying Sexual Relations; Entering or remaining in a place where sexual relations are sold with the intent to engage in sexual acts with a person 18 or older offender has prior conviction under this section</t>
  </si>
  <si>
    <t>Buying Sexual Relations; Knowingly hiring a person 18 or older to engage in sexual acts offender has no prior convictions under this section</t>
  </si>
  <si>
    <t>21-6421(a)(2)</t>
  </si>
  <si>
    <t>Buying Sexual Relations; Knowingly hiring a person 18 or older to engage in sexual acts offender has prior conviction under this section</t>
  </si>
  <si>
    <t>Capital Murder; Intentional and premeditated killing by an inmate or prisoner while confined or in custody</t>
  </si>
  <si>
    <t>21-5401(a)(3)</t>
  </si>
  <si>
    <t>Capital Murder; Intentional and premeditated killing by contract or agreement</t>
  </si>
  <si>
    <t>21-5401(a)(2)</t>
  </si>
  <si>
    <t>Capital Murder; Intentional and premeditated killing in the commission of a kidnapping, or aggravated kidnapping, for ransom</t>
  </si>
  <si>
    <t>21-5401(a)(1)</t>
  </si>
  <si>
    <t>Capital Murder; Intentional and premeditated killing in the commission of or subs. to rape, criminal sodomy, aggravated criminal sodomy, or any attempt of such</t>
  </si>
  <si>
    <t>21-5401(a)(4)</t>
  </si>
  <si>
    <t>Capital Murder; Intentional and premeditated killing of a law enforcement officer</t>
  </si>
  <si>
    <t>21-5401(a)(5)</t>
  </si>
  <si>
    <t>Capital Murder; Intentional and premeditated killing of child under 14 in commission of kidnapping, or aggravated kidnapping, with intent to commit sex offense</t>
  </si>
  <si>
    <t>21-5401(a)(7)</t>
  </si>
  <si>
    <t>Capital Murder; Intentional and premeditated killing of more than one person as a part of the same act or transaction or in two or more acts that constitute a common scheme or course of conduct</t>
  </si>
  <si>
    <t>21-5401(a)(6)</t>
  </si>
  <si>
    <t>Care &amp; Treatment; Mentally Ill Persons; make any false petition, report or order provided for in this act for a corrupt consideration or advantage, or through malice</t>
  </si>
  <si>
    <t>59-2980</t>
  </si>
  <si>
    <t>Care &amp; Treatment; Mentally Ill Persons; unauthorized and willful disclosure of privileged records</t>
  </si>
  <si>
    <t>59-2979(a)</t>
  </si>
  <si>
    <t>Care &amp; Treatment; Mentally Ill Persons; willful, unauthorized deprivation of any patient's rights</t>
  </si>
  <si>
    <t>59-2978(a)</t>
  </si>
  <si>
    <t>Care &amp; Treatment; Persons with Addiction Problems; make any false petition, report or order provided for in this act for a corrupt consideration or advantage, or through malice</t>
  </si>
  <si>
    <t>59-29b80</t>
  </si>
  <si>
    <t>Care &amp; Treatment; Persons with Addiction Problems; unauthorized and willful disclosure of privileged records</t>
  </si>
  <si>
    <t>59-29b79(a)</t>
  </si>
  <si>
    <t>Care &amp; Treatment; Persons with Addiction Problems; willful, unauthorized deprivation of any patient's rights</t>
  </si>
  <si>
    <t>59-29b78(a)</t>
  </si>
  <si>
    <t>Carrying Concealed Explosives or Detonating Substance</t>
  </si>
  <si>
    <t>21-6312(c)</t>
  </si>
  <si>
    <t>Causing Unlawful Prosecution for Worthless Check</t>
  </si>
  <si>
    <t>21-5822(a)</t>
  </si>
  <si>
    <t>Cemetery Corporations; Misuse of the Cemetery Merchandise Trust Fund</t>
  </si>
  <si>
    <t>16-323</t>
  </si>
  <si>
    <t>Cemetery Corporations; Misuse of the permanent maintenance fund</t>
  </si>
  <si>
    <t>17-1311a(a)</t>
  </si>
  <si>
    <t>Census; Any interference with one carrying out the provisions of this act</t>
  </si>
  <si>
    <t>11-307</t>
  </si>
  <si>
    <t>Census; Employee knowingly failing to perform the duties or submitting false report</t>
  </si>
  <si>
    <t>11-208(a)</t>
  </si>
  <si>
    <t>Cereal Malt Beverages; Accept, receive or borrow money or anything else of value, or accept or receive credit, from any manufacturer or distributor</t>
  </si>
  <si>
    <t>41-2705(a)(1)</t>
  </si>
  <si>
    <t>Cereal Malt Beverages; Accept, receive or borrow money or anything else of value, or accept or receive credit, from any officer, manager, agent or representative of a manufacturer or distributor</t>
  </si>
  <si>
    <t>41-2705(a)(4)</t>
  </si>
  <si>
    <t>Cereal Malt Beverages; Accept, receive or borrow money or anything else of value, or accept or receive credit, from any person connected with, in any way representing or a member of the family of a manufacturer or distributor</t>
  </si>
  <si>
    <t>41-2705(a)(2)</t>
  </si>
  <si>
    <t>Cereal Malt Beverages; Accept, receive or borrow money or anything else of value, or accept or receive credit, from any stockholders in a manufacturer or distributor</t>
  </si>
  <si>
    <t>41-2705(a)(3)</t>
  </si>
  <si>
    <t>Cereal Malt Beverages; Cereal malt beverage prohibited at state capitol</t>
  </si>
  <si>
    <t>41-2725(a)</t>
  </si>
  <si>
    <t>Cereal Malt Beverages; Certain sales on credit or in trade prohibited</t>
  </si>
  <si>
    <t>41-2706(a)</t>
  </si>
  <si>
    <t>Cereal Malt Beverages; Certain sales practices prohibited; Advertise or promote any prohibited practices in K.S.A. 41-2722(a)(1) through (4)</t>
  </si>
  <si>
    <t>41-2722(a)(5)</t>
  </si>
  <si>
    <t>Cereal Malt Beverages; Certain sales practices prohibited; Encourage or permit games or contests involving cereal malt beverages or awarding drinks as prizes</t>
  </si>
  <si>
    <t>41-2722(a)(4)</t>
  </si>
  <si>
    <t>Cereal Malt Beverages; Certain sales practices prohibited; Offer or serve a drink at a price less than licensee's acquisition cost</t>
  </si>
  <si>
    <t>41-2722(a)(2)</t>
  </si>
  <si>
    <t>Cereal Malt Beverages; Certain sales practices prohibited; Offer or serve an unlimited number of drinks during a set period of time for a fixed price, except at private functions</t>
  </si>
  <si>
    <t>41-2722(a)(3)</t>
  </si>
  <si>
    <t>Cereal Malt Beverages; Certain sales practices prohibited; Offer or serve free cereal malt beverages to any person</t>
  </si>
  <si>
    <t>41-2722(a)(1)</t>
  </si>
  <si>
    <t>Cereal Malt Beverages; CMB;  Sales below cost prohibited; punished per 41-2711</t>
  </si>
  <si>
    <t>41-2726(a)</t>
  </si>
  <si>
    <t>Cereal Malt Beverages; Licensee permitting or assenting, or being a party to any violation or infringement of the provisions of this section or of K.S.A. 41-702 or 41-703</t>
  </si>
  <si>
    <t>41-2705(b)</t>
  </si>
  <si>
    <t>Cereal Malt Beverages; Retailer's license required for sale of CMB</t>
  </si>
  <si>
    <t>41-2702</t>
  </si>
  <si>
    <t>Cereal Malt Beverages; Sale by distributor to retailer on credit unlawful</t>
  </si>
  <si>
    <t>41-2707</t>
  </si>
  <si>
    <t>Cereal Malt Beverages; Sell or serve cereal malt beverage in a pitcher capable of containing not more than 64 fluid ounces.</t>
  </si>
  <si>
    <t>41-2722(b)(3)</t>
  </si>
  <si>
    <t>Certification of Operators of Water Supply Systems &amp; Wastewater Treatment Facilities; Fail to supply supervision by a certified operator</t>
  </si>
  <si>
    <t>65-4516</t>
  </si>
  <si>
    <t>Chemigation Safety Law; Engage in chemigation on a suspended or revoked permit</t>
  </si>
  <si>
    <t>2-3308(a)(2)</t>
  </si>
  <si>
    <t>Chemigation Safety Law; Engage in chemigation without a permit</t>
  </si>
  <si>
    <t>2-3308(a)(1)</t>
  </si>
  <si>
    <t>Chemigation Safety Law; Failure of permit holder to immediately notify the secretary of any actual or suspected accident resulting from the use of chemigation</t>
  </si>
  <si>
    <t>2-3308(a)(4)</t>
  </si>
  <si>
    <t>Chemigation Safety Law; Person registered or holding permit; aid, abet or conspire with any person to evade any of the provisions of this act; allow use of a registration or permit by a person not named on the registration or permit</t>
  </si>
  <si>
    <t>2-3313(g)</t>
  </si>
  <si>
    <t>Chemigation Safety Law; Person registered or holding permit; impersonate any state, county or city inspector or official, as acting in their official capacity</t>
  </si>
  <si>
    <t>2-3313(h)</t>
  </si>
  <si>
    <t>Chemigation Safety Law; Person registered or holding permit; knowingly use ineffective or improper equipment or materials</t>
  </si>
  <si>
    <t>2-3313(b)</t>
  </si>
  <si>
    <t>Chemigation Safety Law; Person registered or holding permit; make a pesticide use or application not in accordance with the label directions</t>
  </si>
  <si>
    <t>2-3313(a)</t>
  </si>
  <si>
    <t>Chemigation Safety Law; Person registered or holding permit; make false or fraudulent records or reports</t>
  </si>
  <si>
    <t>2-3313(d)</t>
  </si>
  <si>
    <t>Chemigation Safety Law; Person registered or holding permit; refuse or neglect to comply with any limitations or restrictions on or in a duly issued registration or permit</t>
  </si>
  <si>
    <t>2-3313(f)</t>
  </si>
  <si>
    <t>Chemigation Safety Law; Person registered or holding permit; refuse or neglect to keep and maintain records as required; refuse or neglect to make records available as required by this act</t>
  </si>
  <si>
    <t>2-3313(c)</t>
  </si>
  <si>
    <t>Chemigation Safety Law; Person registered or holding permit; use any chemigation method or pesticide, fertilizer or other chemical material without regard to public health, safety or welfare</t>
  </si>
  <si>
    <t>2-3313(i)</t>
  </si>
  <si>
    <t>Chemigation Safety Law; Person registered or holding permit; use fraud or misrepresentation in making an application for or renewal of a registration or permit</t>
  </si>
  <si>
    <t>2-3313(e)</t>
  </si>
  <si>
    <t>Chemigation Safety Law; Person registered or holding permit; use the chemigation process without proper registration or permit issued under the provisions of this act</t>
  </si>
  <si>
    <t>2-3313(j)</t>
  </si>
  <si>
    <t>Chemigation Safety Law; Tamper with, or damage equipment specified in this act</t>
  </si>
  <si>
    <t>2-3308(a)(3)</t>
  </si>
  <si>
    <t>Child Labor; Employment of children under 14</t>
  </si>
  <si>
    <t>38-601</t>
  </si>
  <si>
    <t>Child Labor; Employment of children under 16</t>
  </si>
  <si>
    <t>38-603(a)</t>
  </si>
  <si>
    <t>Child Labor; Employment of children under 18</t>
  </si>
  <si>
    <t>38-602</t>
  </si>
  <si>
    <t>Child Labor; Employment of infant under 1 month on motion picture set or location without written appropriate certification by licensed physician and surgeon board-certified in pediatrics</t>
  </si>
  <si>
    <t>38-616(a)</t>
  </si>
  <si>
    <t>Child Rape Protection Act; 1st conviction</t>
  </si>
  <si>
    <t>65-67a09(c)</t>
  </si>
  <si>
    <t>Child Rape Protection Act; Failure of a physician to comply with any provision of this section or any rule or regulation adopted hereunder; 2nd or subs. conviction</t>
  </si>
  <si>
    <t>Cigarettes &amp; Tobacco Products; Affix a stamp required pursuant to K.S.A. 79-3311 to the package of any cigarettes described in subsection (v) or altered in violation of subsection (w)</t>
  </si>
  <si>
    <t>79-3321(x)</t>
  </si>
  <si>
    <t>Cigarettes &amp; Tobacco Products; Alter the package of any cigarettes, prior to sale or distribution to the ultimate consumer, to remove, conceal or obscure certain labels or health warnings</t>
  </si>
  <si>
    <t>79-3321(w)</t>
  </si>
  <si>
    <t>Cigarettes &amp; Tobacco Products; Buy cigarettes or tobacco for a person under 18 yrs of age</t>
  </si>
  <si>
    <t>79-3322(b)(1)(B)</t>
  </si>
  <si>
    <t>Cigarettes &amp; Tobacco Products; Dealer; fail or refuse to keep and preserve all records as required</t>
  </si>
  <si>
    <t>79-3321(g)</t>
  </si>
  <si>
    <t>Cigarettes &amp; Tobacco Products; Dealer; Fail to produce records or invoices required to be kept</t>
  </si>
  <si>
    <t>79-3321(e)</t>
  </si>
  <si>
    <t>79-3333(c)</t>
  </si>
  <si>
    <t>Cigarettes &amp; Tobacco Products; Fail or refuse to permit inspection of a carrier transporting cigarettes</t>
  </si>
  <si>
    <t>79-3321(j)</t>
  </si>
  <si>
    <t>Cigarettes &amp; Tobacco Products; Fail to comply with documentation requirements involving the sale of cigarettes through the internet or other mail order transaction</t>
  </si>
  <si>
    <t>79-3333(f)</t>
  </si>
  <si>
    <t>Cigarettes &amp; Tobacco Products; Fail to comply with packaging requirements when shipping</t>
  </si>
  <si>
    <t>79-3333(g)</t>
  </si>
  <si>
    <t>Cigarettes &amp; Tobacco Products; False representation to any person directly or indirectly by non-participating manufacturer: any information about a brand family listed on the directory; that it is a participating manufacturer; that it has made all required escrow payments; or that it has satisfied any other requirements imposed pursuant to the act</t>
  </si>
  <si>
    <t>50-6a16(b)</t>
  </si>
  <si>
    <t>Cigarettes &amp; Tobacco Products; Knowingly make, use, or present any falsified invoice or falsely state the nature or quantity of the goods therein invoiced</t>
  </si>
  <si>
    <t>79-3321(f)</t>
  </si>
  <si>
    <t>Cigarettes &amp; Tobacco Products; Mutilate or attach a mutilated or previously used stamp to any package of cigarettes; possession of any mutilated stamps</t>
  </si>
  <si>
    <t>79-3321(b)</t>
  </si>
  <si>
    <t>Cigarettes &amp; Tobacco Products; Possess evidence of tax indicia not purchased from the director</t>
  </si>
  <si>
    <t>79-3321(i)</t>
  </si>
  <si>
    <t>Cigarettes &amp; Tobacco Products; Possession or attempted possession of cigarettes, electronic cigarettes or tobacco by a person under 18 yrs of age</t>
  </si>
  <si>
    <t>79-3321(n)</t>
  </si>
  <si>
    <t>Cigarettes &amp; Tobacco Products; Prevent a full inspection as authorized by this act</t>
  </si>
  <si>
    <t>79-3321(c)</t>
  </si>
  <si>
    <t>Cigarettes &amp; Tobacco Products; Purchase or attempted purchase of cigarettes, electronic cigarettes or tobacco by a person under 18 yrs of age</t>
  </si>
  <si>
    <t>79-3321(m)</t>
  </si>
  <si>
    <t>Cigarettes &amp; Tobacco Products; Retail dealer; fail to post and maintain notice as required</t>
  </si>
  <si>
    <t>79-3321(r)</t>
  </si>
  <si>
    <t>Cigarettes &amp; Tobacco Products; Retailer; failure to verify date of birth or age of the purchaser</t>
  </si>
  <si>
    <t>79-3333(e)</t>
  </si>
  <si>
    <t>Cigarettes &amp; Tobacco Products; Retailer; sale of cigarettes via internet, telephone or mail without proper certification</t>
  </si>
  <si>
    <t>79-3333(d)</t>
  </si>
  <si>
    <t>Cigarettes &amp; Tobacco Products; Retailer; unlicensed sale of cigarette and tobacco products act</t>
  </si>
  <si>
    <t>79-3333(a)</t>
  </si>
  <si>
    <t>Cigarettes &amp; Tobacco Products; Sale of cigarettes without Kansas cigarette tax stamp affixed to package</t>
  </si>
  <si>
    <t>79-3333(b)</t>
  </si>
  <si>
    <t>Cigarettes &amp; Tobacco Products; Sell a vending machine without a vending machine distributor's license</t>
  </si>
  <si>
    <t>79-3321(q)</t>
  </si>
  <si>
    <t>Cigarettes &amp; Tobacco Products; Sell cigarettes without having a license</t>
  </si>
  <si>
    <t>79-3321(p)</t>
  </si>
  <si>
    <t>Cigarettes &amp; Tobacco Products; Sell cigarettes without Kansas tax indicia or without paying Kansas cigarette tax, to a retailer or at retail</t>
  </si>
  <si>
    <t>79-3321(o)</t>
  </si>
  <si>
    <t>Cigarettes &amp; Tobacco Products; Sell, distribute cigarettes; acquire, hold, own, possess, transport, import or cause to be imported cigarettes that the person knows or should know are intended for distribution or sale in this state in violation of K.S.A. 50-6a04(a) or K.S.A. 50-6a13(a); 1st conviction</t>
  </si>
  <si>
    <t>50-6a16(a)</t>
  </si>
  <si>
    <t>Cigarettes &amp; Tobacco Products; Sell, distribute cigarettes; acquire, hold, own, possess, transport, import or cause to be imported cigarettes that the person knows or should know are intended for distribution or sale in this state in violation of K.S.A. 50-6a04(a) or K.S.A. 50-6a13(a); 2nd conviction</t>
  </si>
  <si>
    <t>Cigarettes &amp; Tobacco Products; Sell, distribute cigarettes; acquire, hold, own, possess, transport, import or cause to be imported cigarettes that the person knows or should know are intended for distribution or sale in this state in violation of K.S.A. 50-6a04(a) or K.S.A. 50-6a13(a); 3rd conviction</t>
  </si>
  <si>
    <t>Cigarettes &amp; Tobacco Products; Sell, furnish or distribute cigarettes, electronic cigarettes or tobacco to person under 18</t>
  </si>
  <si>
    <t>79-3321(l)</t>
  </si>
  <si>
    <t>Cigarettes &amp; Tobacco Products; Sell, give, furnish cigarettes or tobacco to person under 18 yrs of age</t>
  </si>
  <si>
    <t>79-3322(b)(1)(A)</t>
  </si>
  <si>
    <t>Cigarettes &amp; Tobacco Products; Unauthorized distribution of samples within 500 feet of any school when such facility is being used primarily by persons under 18 yrs of age</t>
  </si>
  <si>
    <t>79-3321(s)</t>
  </si>
  <si>
    <t>Cigarettes &amp; Tobacco Products; Unauthorized possession of more than 200 cigarettes without the required tax indicia</t>
  </si>
  <si>
    <t>79-3321(a)</t>
  </si>
  <si>
    <t>Cigarettes &amp; Tobacco Products; Unauthorized sale of cigarettes, electronic cigarettes or tobacco products by means of a self-service display in any establishment, or portion of an establishment</t>
  </si>
  <si>
    <t>79-3321(u)</t>
  </si>
  <si>
    <t>Cigarettes &amp; Tobacco Products; Unauthorized sale of cigarettes, electronic cigarettes or tobacco products by means of a vending machine in any establishment, or portion of an establishment, open to minors</t>
  </si>
  <si>
    <t>79-3321(t)</t>
  </si>
  <si>
    <t>Cigarettes &amp; Tobacco Products; Unauthorized sale, distribution, acquisition, possession, transportation, or importation of certain cigarettes within this state</t>
  </si>
  <si>
    <t>79-3321(v)</t>
  </si>
  <si>
    <t>Cigarettes &amp; Tobacco Products; Use any artful device or deceptive practice to conceal any violation of this act or to mislead one charged with the enforcement of this act</t>
  </si>
  <si>
    <t>79-3321(d)</t>
  </si>
  <si>
    <t>Cigarettes &amp; Tobacco Products; Vend small cigars, or a product that can be confused with cigarettes, from a machine vending cigarettes; build a vending machine to vend cigars or products that may be confused with cigarettes, that may be attached to a cigarette vending machine</t>
  </si>
  <si>
    <t>79-3321(k)</t>
  </si>
  <si>
    <t>Cigarettes &amp; Tobacco Products; Wholesale cigarettes to any unauthorized person</t>
  </si>
  <si>
    <t>79-3321(h)</t>
  </si>
  <si>
    <t>Cities &amp; Municipalities; Any city treasurer violating any of the provisions of this act</t>
  </si>
  <si>
    <t>12-1609</t>
  </si>
  <si>
    <t>Cities &amp; Municipalities; Cities in counties over 90,000; failure, neglect or refusal of any railroad company or companies or street-railway company to erect, construct, reconstruct or repair any viaduct or tunnel as required</t>
  </si>
  <si>
    <t>12-1634</t>
  </si>
  <si>
    <t>Cities &amp; Municipalities; Failure, neglect or refusal of any railroad company or companies or street-railway company to erect, construct, reconstruct or repair any viaduct or tunnel as required</t>
  </si>
  <si>
    <t>12-1633</t>
  </si>
  <si>
    <t>Cities &amp; Municipalities; Inspection of tax returns; unlawful to exhibit, disclose or publish</t>
  </si>
  <si>
    <t>12-1,108</t>
  </si>
  <si>
    <t>Cities &amp; Municipalities; Materially diminish the augmented flow of water due to the use of said stream or streams by such cities in conveying its water to its water system intake</t>
  </si>
  <si>
    <t>12-853</t>
  </si>
  <si>
    <t>Cities &amp; Municipalities; Officer or employee of a city or county divulging confidential info</t>
  </si>
  <si>
    <t>12-189</t>
  </si>
  <si>
    <t>Cities &amp; Municipalities; Planning and Zoning; penalty for any violation of regulations</t>
  </si>
  <si>
    <t>12-761(a)</t>
  </si>
  <si>
    <t>Cities &amp; Municipalities; Unauthorized interference with the surface of any street, alleys, public park or grounds of such city</t>
  </si>
  <si>
    <t>12-850</t>
  </si>
  <si>
    <t>Cities of the First Class; General Powers of Board of Commissioners; failure of railroad company or companies or street-railway company, to comply with the duty to erect, construct, reconstruct or repair any viaduct, within the time and in the manner required by the board of commissioners</t>
  </si>
  <si>
    <t>13-1903</t>
  </si>
  <si>
    <t>Cities of the Third Class; Cemeteries; unlawful establishment or maintenance</t>
  </si>
  <si>
    <t>15-1008</t>
  </si>
  <si>
    <t>Club/Drinking Establishment Act; Advertise or promote in any way, whether on or off the licensed premises, any of the practices prohibited under subsections (a)(1) through (5)</t>
  </si>
  <si>
    <t>41-2640(a)(6)</t>
  </si>
  <si>
    <t>Club/Drinking Establishment Act; Allowing consumption of liquor in violation of Act</t>
  </si>
  <si>
    <t>41-2604(a)</t>
  </si>
  <si>
    <t>Club/Drinking Establishment Act; Encourage or permit, on the licensed premises, any game or contest which involves drinking alcoholic liquor or cereal malt beverage or the awarding of individual drinks as prizes</t>
  </si>
  <si>
    <t>41-2640(a)(4)</t>
  </si>
  <si>
    <t>Club/Drinking Establishment Act; Influencing purchases from particular retailer by licensees prohibited</t>
  </si>
  <si>
    <t>41-2632(b)(2)</t>
  </si>
  <si>
    <t>Club/Drinking Establishment Act; Influencing purchases of particular brand by licensees prohibited</t>
  </si>
  <si>
    <t>41-2632(b)(1)</t>
  </si>
  <si>
    <t>Club/Drinking Establishment Act; Offer or serve any free cereal malt beverage or alcoholic liquor</t>
  </si>
  <si>
    <t>41-2640(a)(1)</t>
  </si>
  <si>
    <t>Club/Drinking Establishment Act; Offer or serve to any person an individual drink at a price that is less than the acquisition cost of the individual drink to the licensee or permit holder</t>
  </si>
  <si>
    <t>41-2640(a)(2)</t>
  </si>
  <si>
    <t>Club/Drinking Establishment Act; Possession or consumption by minor prohibited</t>
  </si>
  <si>
    <t>41-2615(a)</t>
  </si>
  <si>
    <t>Club/Drinking Establishment Act; Public venue; Advertise or promote any prohibited practices in K.S.A. 41-2640(b)(1) through (6)</t>
  </si>
  <si>
    <t>41-2640(b)(7)</t>
  </si>
  <si>
    <t>Club/Drinking Establishment Act; Public venue; Encourage or permit games or contests involving drinking alcoholic liquor and cereal malt beverage or awarding drinks as prizes</t>
  </si>
  <si>
    <t>41-2640(b)(5)</t>
  </si>
  <si>
    <t>Club/Drinking Establishment Act; Public venue; Offer or serve a drink or original container of alcoholic liquor or cereal malt beverage at a price less than the licensee's acquisition cost of the drink or original container</t>
  </si>
  <si>
    <t>41-2640(b)(2)</t>
  </si>
  <si>
    <t>Club/Drinking Establishment Act; Public venue; Offer or serve free cereal malt beverage or alcoholic liquor in any form to any person</t>
  </si>
  <si>
    <t>41-2640(b)(1)</t>
  </si>
  <si>
    <t>Club/Drinking Establishment Act; Public venue; Sell or serve alcoholic liquor in glass containers to customers in the general admission area</t>
  </si>
  <si>
    <t>41-2640(b)(3)</t>
  </si>
  <si>
    <t>Club/Drinking Establishment Act; Public venue; Sell or serve more than two drinks per customer an any one time in the general admission area</t>
  </si>
  <si>
    <t>41-2640(b)(4)</t>
  </si>
  <si>
    <t>Club/Drinking Establishment Act; Public venue; sell, offer to sell or serve free powdered alcohol</t>
  </si>
  <si>
    <t>41-2640(b)(6)</t>
  </si>
  <si>
    <t>Club/Drinking Establishment Act; Sell, offer to sell or serve free powdered alcohol</t>
  </si>
  <si>
    <t>41-2640(a)(5)</t>
  </si>
  <si>
    <t>Club/Drinking Establishment Act; Sell, offer to sell or serve to any person an unlimited number of individual drinks during any set period of time for a fixed price, except at private functions or to general membership of a club</t>
  </si>
  <si>
    <t>41-2640(a)(3)</t>
  </si>
  <si>
    <t>Cockfighting; Causing gamecocks to fight each other for amusement or gain</t>
  </si>
  <si>
    <t>21-6417(a)(1)</t>
  </si>
  <si>
    <t>Cockfighting; Knowingly permitting gamecock fighting on premises</t>
  </si>
  <si>
    <t>21-6417(a)(2)</t>
  </si>
  <si>
    <t>Cockfighting; Training or otherwise preparing gamecock for the purpose of gamecock fighting</t>
  </si>
  <si>
    <t>21-6417(a)(3)</t>
  </si>
  <si>
    <t>Cockfighting; Unlawful attendance of gamecock fighting</t>
  </si>
  <si>
    <t>21-6417(c)</t>
  </si>
  <si>
    <t>Cockfighting; Unlawful possession of gamecock fighting paraphernalia</t>
  </si>
  <si>
    <t>21-6417(b)</t>
  </si>
  <si>
    <t>Code for Care of Children; Intentionally preventing or interfering with the making of a report of child abuse</t>
  </si>
  <si>
    <t>38-2223(e)(2)</t>
  </si>
  <si>
    <t>Code for care of Children; Retaliation by employer against one who reports to, or cooperates with an investigation by law enforcement or the secretary relating to suspected abuse of a child</t>
  </si>
  <si>
    <t>38-2224(a)</t>
  </si>
  <si>
    <t>Code for Care of Children; Willful and knowing failure to report child abuse as required</t>
  </si>
  <si>
    <t>38-2223(e)(1)</t>
  </si>
  <si>
    <t>Code for Care of Children; Willful and knowing false report of child abuse, lacking factual foundation</t>
  </si>
  <si>
    <t>38-2223(e)(3)</t>
  </si>
  <si>
    <t>Code of Military Justice; Use of any menacing word, sign, or gesture in the presence of the military court, or who disturbs the military courts proceedings by any riot or disorder</t>
  </si>
  <si>
    <t>48-2713(a)</t>
  </si>
  <si>
    <t>Code of Military Justice; Willfully neglect or refuse to appear, or refuse to qualify as a witness or to testify or to produce any evidence which that person may have been legally subpoenaed to produce</t>
  </si>
  <si>
    <t>48-2712(a)(3)</t>
  </si>
  <si>
    <t>Commercial Bribery; Knowing violation of duty of fidelity or trust; by a lawyer, physician, accountant, appraiser or other professional adviser</t>
  </si>
  <si>
    <t>21-6506(a)(3)</t>
  </si>
  <si>
    <t>Commercial Bribery; Knowing violation of duty of fidelity or trust; by a person acting in a fiduciary capacity</t>
  </si>
  <si>
    <t>21-6506(a)(2)</t>
  </si>
  <si>
    <t>Commercial Bribery; Knowing violation of duty of fidelity or trust; by an agent or employee of another</t>
  </si>
  <si>
    <t>21-6506(a)(1)</t>
  </si>
  <si>
    <t>Commercial Bribery; Knowing violation of duty of fidelity or trust; by an arbitrator or other purportedly disinterested adjudicator or referee</t>
  </si>
  <si>
    <t>21-6506(a)(5)</t>
  </si>
  <si>
    <t>Commercial Bribery; Knowing violation of duty of fidelity or trust; by an officer, director, partner, manager, or other participant in the affairs of a corporation, partnership or unincorporated association</t>
  </si>
  <si>
    <t>21-6506(a)(4)</t>
  </si>
  <si>
    <t>Commercial Drivers' License Act; Driving a commercial vehicle in violation of out-of-service order</t>
  </si>
  <si>
    <t>8-2,132(c)</t>
  </si>
  <si>
    <t>Commercial Drivers' License Act; Driving a commercial vehicle while DL suspended/revoked/cancelled or subject to disqualification</t>
  </si>
  <si>
    <t>8-2,132(b)</t>
  </si>
  <si>
    <t>Commercial Drivers' License Act; Driving a commercial vehicle without valid DL</t>
  </si>
  <si>
    <t>8-2,132(a)</t>
  </si>
  <si>
    <t>Commercial DUI; Alcohol concentration in the person's blood or breath is .04 or more; 1st conviction</t>
  </si>
  <si>
    <t>8-2,144(a)(1)</t>
  </si>
  <si>
    <t>Commercial DUI; Alcohol concentration in the person's blood or breath is .04 or more; 2nd conviction</t>
  </si>
  <si>
    <t>Commercial DUI; Alcohol concentration in the person's blood or breath is .04 or more; 3rd or subs conviction</t>
  </si>
  <si>
    <t>**Nongrid</t>
  </si>
  <si>
    <t>Commercial DUI; Alcohol concentration in the person's blood or breath, as measured within three hours of the time of driving a commercial motor vehicle, is .04 or more; 1st conviction</t>
  </si>
  <si>
    <t>8-2,144(a)(2)</t>
  </si>
  <si>
    <t>Commercial DUI; Alcohol concentration in the person's blood or breath, as measured within three hours of the time of driving a commercial motor vehicle, is .04 or more; 2nd conviction</t>
  </si>
  <si>
    <t>Commercial DUI; Alcohol concentration in the person's blood or breath, as measured within three hours of the time of driving a commercial motor vehicle, is .04 or more; 3rd or subs conviction</t>
  </si>
  <si>
    <t>Commercial DUI; Committing a violation of subsection (a) of K.S.A. 8-1567, or the ordinance of a city or resolution of a county which prohibits any of the acts prohibited there under; 3rd or subs conviction</t>
  </si>
  <si>
    <t>8-2,144(a)(3)</t>
  </si>
  <si>
    <t>Commercial DUI; Committing a violation of subsection (a) of K.S.A. 8-1567, or the ordinance of a city or resolution of a county which prohibits any of the acts prohibited thereunder; 1st conviction</t>
  </si>
  <si>
    <t>Commercial DUI; Committing a violation of subsection (a) of K.S.A. 8-1567, or the ordinance of a city or resolution of a county which prohibits any of the acts prohibited thereunder; 2nd conviction</t>
  </si>
  <si>
    <t>Commercial Feed Stuffs; Fail or neglect to file the tonnage report and pay the inspection fee due thereon as required</t>
  </si>
  <si>
    <t>2-1011(2)(B)</t>
  </si>
  <si>
    <t>Commercial Feed Stuffs; File a false report of the tonnage of feeding stuffs sold for any period</t>
  </si>
  <si>
    <t>2-1011(2)(C)</t>
  </si>
  <si>
    <t>Commercial Feed Stuffs; Impede, obstruct, hinder or otherwise prevent or attempt to prevent agents charged with the enforcement of the provisions of article 10 of chapter 2 of K.S.A.</t>
  </si>
  <si>
    <t>2-1011(2)(D)</t>
  </si>
  <si>
    <t>Commercial Feed Stuffs; Mutilate, destroy, obliterate or remove the label or any part thereof, or any act which may result in misbranding or false labeling</t>
  </si>
  <si>
    <t>2-1011(2)(A)</t>
  </si>
  <si>
    <t>Commercial Feed Stuffs; Unlawful sale/distribution; adulterated or containing substance or substances which may render it injurious to public health or the health of livestock, poultry and pets</t>
  </si>
  <si>
    <t>2-1011(1)(D)</t>
  </si>
  <si>
    <t>Commercial Feed Stuffs; Unlawful sale/distribution; bearing false/misleading statement on the label or the advertising</t>
  </si>
  <si>
    <t>2-1011(1)(C)</t>
  </si>
  <si>
    <t>Commercial Feed Stuffs; Unlawful sale/distribution; not labeled as required by law</t>
  </si>
  <si>
    <t>2-1011(1)(B)</t>
  </si>
  <si>
    <t>Commercial Feed Stuffs; Unlawful sale/distribution; not licensed</t>
  </si>
  <si>
    <t>2-1011(1)(A)</t>
  </si>
  <si>
    <t>Commercial Fertilizers; Sale/distribution of; fertilizer bears a false or misleading statement on the application for registration, the label or the advertising</t>
  </si>
  <si>
    <t>2-1208(1)(c)</t>
  </si>
  <si>
    <t>Commercial Fertilizers; Sale/distribution of; fertilizer not labeled as required</t>
  </si>
  <si>
    <t>2-1208(1)(b)</t>
  </si>
  <si>
    <t>Commercial Fertilizers; Sale/distribution of; fertilizer not registered</t>
  </si>
  <si>
    <t>2-1208(1)(a)</t>
  </si>
  <si>
    <t>Commercial Fossil Hunting; Remove fossils from property without landowners consent</t>
  </si>
  <si>
    <t>21-5811(a)(2)</t>
  </si>
  <si>
    <t>Commercial Fossil Hunting; Without written authorization of the landowner</t>
  </si>
  <si>
    <t>21-5811(a)(1)</t>
  </si>
  <si>
    <t>Commercial Gambling; Knowingly conduct a lottery, or possess facilities to do so with such intent</t>
  </si>
  <si>
    <t>21-6406(a)(1)(D)</t>
  </si>
  <si>
    <t>Commercial Gambling; Knowingly grant the use or allow the continued use of a place as a gambling place</t>
  </si>
  <si>
    <t>21-6406(a)(2)(A)</t>
  </si>
  <si>
    <t>Commercial Gambling; Knowingly operate or receive earnings of a gambling place</t>
  </si>
  <si>
    <t>21-6406(a)(1)(A)</t>
  </si>
  <si>
    <t>Commercial Gambling; Knowingly permit another to set up a gambling device for use in a place under the offender's control</t>
  </si>
  <si>
    <t>21-6406(a)(2)(B)</t>
  </si>
  <si>
    <t>Commercial Gambling; Knowingly receive/record/forward bets or offers to bet or, possess facilities to do so with such intent</t>
  </si>
  <si>
    <t>21-6406(a)(1)(B)</t>
  </si>
  <si>
    <t>Commercial Gambling; Knowingly set up for use or collect the proceeds of any gambling device</t>
  </si>
  <si>
    <t>21-6406(a)(1)(E)</t>
  </si>
  <si>
    <t>Commercial Gambling; Knowingly/for gain, become a custodian of anything of value bet or offered to be bet</t>
  </si>
  <si>
    <t>21-6406(a)(1)(C)</t>
  </si>
  <si>
    <t>Commercial Sexual Exploitation of a Child; Knowingly offering, giving or receiving anything of value to procure a patron, where there is an exchange of value, to procure or solicit a person under 18 to perform sexual acts; offender 18 or older and victim under 14</t>
  </si>
  <si>
    <t>21-6422(a)(1)(B)</t>
  </si>
  <si>
    <t>Commercial Sexual Exploitation of a Child; Knowingly offering, giving or receiving anything of value to procure a patron, where there is an exchange of value, to procure or solicit a person under 18 to to perform sexual acts; offender has no prior convictions under this section; victim not under 14 or offender not 18 or older</t>
  </si>
  <si>
    <t>Commercial Sexual Exploitation of a Child; Knowingly offering, giving or receiving anything of value to procure a patron, where there is an exchange of value, to procure or solicit a person under 18 to to perform sexual acts; offender has prior conviction under this section; victim not under 14 or offender not 18 or older</t>
  </si>
  <si>
    <t>Commercial Sexual Exploitation of a Child; Knowingly offering, giving or receiving anything of value to procure or solicit a person under 18 to perform sexual acts; offender 18 or older and victim under 14</t>
  </si>
  <si>
    <t>21-6422(a)(1)(A)</t>
  </si>
  <si>
    <t>Commercial Sexual Exploitation of a Child; Knowingly offering, giving or receiving anything of value to procure or solicit a person under 18 to perform sexual acts; offender has no prior convictions under this section; victim not under 14 or offender not 18 or older</t>
  </si>
  <si>
    <t>Commercial Sexual Exploitation of a Child; Knowingly offering, giving or receiving anything of value to procure or solicit a person under 18 to perform sexual acts; offender has prior conviction under this section; victim not under 14 or offender not 18 or older</t>
  </si>
  <si>
    <t>Commercial Sexual Exploitation of a Child; Knowingly own or maintain any property where sexual relations are offered or sold by a person under 18; offender 18 or older and victim under 14</t>
  </si>
  <si>
    <t>21-6422(a)(2)</t>
  </si>
  <si>
    <t>Commercial Sexual Exploitation of a Child; Knowingly own or maintain any property where sexual relations are offered or sold by a person under 18; offender has no prior convictions under this section; victim not under 14 and offender not 18 or older</t>
  </si>
  <si>
    <t>Commercial Sexual Exploitation of a Child; Knowingly own or maintain any property where sexual relations are offered or sold by a person under 18; offender has prior conviction under this section; victim not under 14 and offender not 18 or older</t>
  </si>
  <si>
    <t>Commercial Sexual Exploitation of a Child; Knowingly permit property to be used as place where sexual relations are offered or sold by a person under 18; offender 18 or older and victim under 14</t>
  </si>
  <si>
    <t>21-6422(a)(3)</t>
  </si>
  <si>
    <t>Commercial Sexual Exploitation of a Child; Knowingly permit property to be used as place where sexual relations are offered or sold by a person under 18; offender has no prior convictions under this section; victim not under 14 or offender not 18 or older</t>
  </si>
  <si>
    <t>Commercial Sexual Exploitation of a Child; Knowingly permit property to be used as place where sexual relations are offered or sold by a person under 18; offender has prior conviction under this section; victim not under 14 or offender not 18 or older</t>
  </si>
  <si>
    <t>Commercial Sexual Exploitation of a Child; Knowingly procure, pay for or provide transportation of a person under 18 with the intent to assist in selling sexual acts; offender 18 or older and victim under 14</t>
  </si>
  <si>
    <t>21-6422(a)(4)</t>
  </si>
  <si>
    <t>Commercial Sexual Exploitation of a Child; Knowingly procure, pay for or provide transportation of a person under 18 with the intent to assist in selling sexual relations; offender has no prior convictions under this section; victim not under 14 or offender not 18 or older</t>
  </si>
  <si>
    <t>Commercial Sexual Exploitation of a Child; Knowingly procure, pay for or provide transportation of a person under 18 with the intent to assist in selling sexual relations; offender has prior conviction under this section; victim not under 14 or offender not 18 or older</t>
  </si>
  <si>
    <t>Commercialization of Wildlife; Capture, kill, possess certain animals; value of $1,000 or more</t>
  </si>
  <si>
    <t>32-1005(a)(1)</t>
  </si>
  <si>
    <t>Commercialization of Wildlife; Purchase for use or consumption certain animals; value of $1,000 or more</t>
  </si>
  <si>
    <t>32-1005(a)(4)</t>
  </si>
  <si>
    <t>Commercialization of Wildlife; Sell, barter, purchase certain animals; value of $1,000 or more</t>
  </si>
  <si>
    <t>32-1005(a)(2)</t>
  </si>
  <si>
    <t>Commercialization of Wildlife; Ship, transport, receive certain animals; value of $1,000 or more</t>
  </si>
  <si>
    <t>32-1005(a)(3)</t>
  </si>
  <si>
    <t>Common Nuisance; Maintenance of a Common Nuisance</t>
  </si>
  <si>
    <t>22-3905(a)</t>
  </si>
  <si>
    <t>Compensation for Past Official Acts</t>
  </si>
  <si>
    <t>21-6003(a)</t>
  </si>
  <si>
    <t>Computer Crime: Knowing and unauthorized disclosure of number, code or password to access computer or computer network, social networking website or personal electronic content</t>
  </si>
  <si>
    <t>21-5839(a)(4)</t>
  </si>
  <si>
    <t>Computer Crime: Knowingly and without authorization access or attempt to access computer, computer system, social networking website, computer network or software, program, documentation, data or property contained therein</t>
  </si>
  <si>
    <t>21-5839(a)(5)</t>
  </si>
  <si>
    <t>Computer Crime; Knowingly and without authorization access, damage, modify, alter, destroy, copy, disclose or take possession of a computer, computer system, computer network or other property</t>
  </si>
  <si>
    <t>21-5839(a)(1)</t>
  </si>
  <si>
    <t>Computer Crime; Knowingly and without authorization access, damage, modify, alter, destroy, copy, disclose or take possession of a computer, computer system, computer network or other property; if monetary loss to victim is more than $100,000</t>
  </si>
  <si>
    <t>Computer Crime; Knowingly exceed the limits of authorization and damage, modify, alter, destroy, copy, disclose or take possession of a computer, computer system, computer network or any other property</t>
  </si>
  <si>
    <t>21-5839(a)(3)</t>
  </si>
  <si>
    <t>Computer Crime; Knowingly exceed the limits of authorization and damage, modify, alter, destroy, copy, disclose or take possession of a computer, computer system, computer network or any other property; if monetary loss to victim is more than $100,000</t>
  </si>
  <si>
    <t>Computer Crime; Use computer, computer system, computer network or other property for purpose of devising or executing scheme or artifice with intent to defraud</t>
  </si>
  <si>
    <t>21-5839(a)(2)</t>
  </si>
  <si>
    <t>Computer Crime; Use computer, computer system, computer network or other property for purpose of devising or executing scheme or artifice with intent to defraud; if monetary loss to victim is more than $100,000</t>
  </si>
  <si>
    <t>Concealed Handgun; Carrying concealed handgun into statutorily prohibited locations; 1st or 2nd offense</t>
  </si>
  <si>
    <t>75-7c10(a)</t>
  </si>
  <si>
    <t>Concealed Handgun; Carrying concealed handgun into statutorily prohibited locations; 3rd or subs. offense</t>
  </si>
  <si>
    <t>Construction Defects; Member or officer of an executive board accepting anything of value in exchange for encouraging or discouraging the filing of a claim for damages arising from a construction defect</t>
  </si>
  <si>
    <t>60-4708(c)</t>
  </si>
  <si>
    <t>Construction Defects; Offer anything of value to a property manager of an association or member or officer of an executive board of an association to induce, encourage or discourage the filing of a claim for damages arising from a construction defect</t>
  </si>
  <si>
    <t>60-4708(a)</t>
  </si>
  <si>
    <t>Construction Defects; Property manager accepting anything of value given in exchange for encouraging or discouraging the filing of a claim for damages arising from a construction defect</t>
  </si>
  <si>
    <t>60-4708(b)</t>
  </si>
  <si>
    <t>Consumer Protection Act; Affixing of cigarette stamps and meter impressions (falsely representing)</t>
  </si>
  <si>
    <t>50-6a04(a)</t>
  </si>
  <si>
    <t>Consumer Protection Act; Certain information as to ownership of junk required; register</t>
  </si>
  <si>
    <t>50-620</t>
  </si>
  <si>
    <t>Consumer Protection Act; Engaging in any deceptive act or practice in connection with a consumer transaction; deceptive acts and practices defined in subsection (b)</t>
  </si>
  <si>
    <t>50-626(a)</t>
  </si>
  <si>
    <t>Consumer Protection Act; engaging in door-to-door sales</t>
  </si>
  <si>
    <t>21-6423</t>
  </si>
  <si>
    <t>Consumer Protection Act; Junk dealer; purchasing items of junk without receiving information on ownership from seller; fail to file and maintain a record of ownership as required</t>
  </si>
  <si>
    <t>50-621</t>
  </si>
  <si>
    <t>Consumer Protection Act; Unconscionable acts and practices</t>
  </si>
  <si>
    <t>50-627(a)</t>
  </si>
  <si>
    <t>Contempt of Legislature; Appear as required by a subpoena but refuse to answer, under oath or affirmation, any question pertinent to the matter under inquiry</t>
  </si>
  <si>
    <t>46-1014(a)(3)</t>
  </si>
  <si>
    <t>Contempt of Legislature; Willfully fail to produce books, papers, documents or other records when required to do so</t>
  </si>
  <si>
    <t>46-1014(a)(2)</t>
  </si>
  <si>
    <t>Contempt of Legislature; Willfully make default when summoned as a witness by subpoena</t>
  </si>
  <si>
    <t>46-1014(a)(1)</t>
  </si>
  <si>
    <t>Contracts &amp; Promises; Penalty for any violation of act</t>
  </si>
  <si>
    <t>16-114</t>
  </si>
  <si>
    <t>Contributing to a Child's Misconduct; Fail to reveal information concerning runaway child to law enforcement officer with intent to aid in avoid in detection or apprehension of runaway</t>
  </si>
  <si>
    <t>21-5603(a)(3)</t>
  </si>
  <si>
    <t>Contributing to a Child's Misconduct; Knowingly cause or encourage child under 18 to commit felony</t>
  </si>
  <si>
    <t>21-5603(a)(5)</t>
  </si>
  <si>
    <t>Contributing to a Child's Misconduct; Knowingly cause or encourage probation violation</t>
  </si>
  <si>
    <t>21-5603(a)(6)</t>
  </si>
  <si>
    <t>Contributing to a Child's Misconduct; Knowingly cause, encourage child under 18 to commit traffic infraction or misdemeanor or violate K.S.A. 41-727 or K.S.A. 74-8810(j)</t>
  </si>
  <si>
    <t>21-5603(a)(2)</t>
  </si>
  <si>
    <t>Contributing to a Child's Misconduct; Knowingly cause, encourage child under 18 to remain or become CINC</t>
  </si>
  <si>
    <t>21-5603(a)(1)</t>
  </si>
  <si>
    <t>Contributing to a Child's Misconduct; Sheltering or concealing a runaway child</t>
  </si>
  <si>
    <t>21-5603(a)(4)</t>
  </si>
  <si>
    <t>Corporations; Fail or neglect to keep station open or deliver messages as required</t>
  </si>
  <si>
    <t>17-1913</t>
  </si>
  <si>
    <t>Corporations; Intentional / willful injury to telegraph, telephone or power line property</t>
  </si>
  <si>
    <t>17-1907</t>
  </si>
  <si>
    <t>Corporations; Intentional / willful interference with lines</t>
  </si>
  <si>
    <t>17-1908</t>
  </si>
  <si>
    <t>Corporations; Unlawful for mover to move or interfere with lines or facilities</t>
  </si>
  <si>
    <t>17-1918</t>
  </si>
  <si>
    <t>Cosmetology; Alter materially a license with fraudulent intent</t>
  </si>
  <si>
    <t>65-1942(a)(3)</t>
  </si>
  <si>
    <t>Cosmetology; Conduct a school for teaching cosmetology without holding a valid license to conduct the school</t>
  </si>
  <si>
    <t>65-1902(a)(2)</t>
  </si>
  <si>
    <t>Cosmetology; Conduct a school for teaching electrology without holding a valid license to conduct the school</t>
  </si>
  <si>
    <t>65-1902(a)(6)</t>
  </si>
  <si>
    <t>Cosmetology; Conduct a school for teaching esthetics without holding a valid license to conduct the school</t>
  </si>
  <si>
    <t>65-1902(a)(8)</t>
  </si>
  <si>
    <t>Cosmetology; Conduct a school for teaching nail technology without holding a valid license to conduct the school</t>
  </si>
  <si>
    <t>65-1902(a)(4)</t>
  </si>
  <si>
    <t>Cosmetology; Employing an individual to engage in any activity requiring a license pursuant to K.S.A. 65-1902, without a such individual holding a currently valid license</t>
  </si>
  <si>
    <t>65-1909(a)(1)</t>
  </si>
  <si>
    <t>Cosmetology; Fail or refuse to comply with rules and regulations prescribed by the board or applicable sanitation standards adopted by the secretary of health and environment pursuant to K.S.A. 65-1,148</t>
  </si>
  <si>
    <t>65-1909(a)(3)</t>
  </si>
  <si>
    <t>Cosmetology; Own or operate a school, salon or clinic where cosmetology, esthetics, nail technology or electrology is taught or practiced without holding a valid license</t>
  </si>
  <si>
    <t>65-1902(a)(10)</t>
  </si>
  <si>
    <t>Cosmetology; Practice cosmetology, esthetics, nail technology or electrology without a valid license for such practice</t>
  </si>
  <si>
    <t>65-1902(a)(1)</t>
  </si>
  <si>
    <t>Cosmetology; Produce indelible mark using scalpel, hot iron, or any instrument other than a needle</t>
  </si>
  <si>
    <t>65-1942(c)</t>
  </si>
  <si>
    <t>Cosmetology; Purchase or procure by barter a license with intent to use it as evidence of the person's qualification to practice tattooing or body piercing</t>
  </si>
  <si>
    <t>65-1942(a)(2)</t>
  </si>
  <si>
    <t>Cosmetology; Sell, barter, offer to sell or barter a license</t>
  </si>
  <si>
    <t>65-1942(a)(1)</t>
  </si>
  <si>
    <t>Cosmetology; Tanning facility license required</t>
  </si>
  <si>
    <t>65-1926(a)</t>
  </si>
  <si>
    <t>Cosmetology; Tattooing or body piercing of persons under 18 without parental consent</t>
  </si>
  <si>
    <t>65-1953</t>
  </si>
  <si>
    <t>Cosmetology; Tattooing or body piercing without license; purporting to be a technician without a license</t>
  </si>
  <si>
    <t>65-1941(a)</t>
  </si>
  <si>
    <t>Cosmetology; Teach cosmetology in a licensed school without holding a valid cosmetology instructor's license</t>
  </si>
  <si>
    <t>65-1902(a)(3)</t>
  </si>
  <si>
    <t>Cosmetology; Teach electrology in a licensed school or clinic without holding a valid electrology instructor's license</t>
  </si>
  <si>
    <t>65-1902(a)(7)</t>
  </si>
  <si>
    <t>Cosmetology; Teach esthetics in a licensed school without holding a valid cosmetology or esthetics instructor's license</t>
  </si>
  <si>
    <t>65-1902(a)(9)</t>
  </si>
  <si>
    <t>Cosmetology; Teach nail technology in a licensed school without holding a valid cosmetology or manicuring instructor's license</t>
  </si>
  <si>
    <t>65-1902(a)(5)</t>
  </si>
  <si>
    <t>Cosmetology; Teaching or practicing cosmetology, esthetics, nail technology or electrology in a school, salon or clinic where the owner or operator of the school, salon or clinic does not hold a valid school, salon or clinic license</t>
  </si>
  <si>
    <t>65-1902(a)(11)</t>
  </si>
  <si>
    <t>Cosmetology; Use or attempt to use as a valid license a license which has been purchased, fraudulently obtained, counterfeited or materially altered</t>
  </si>
  <si>
    <t>65-1942(a)(4)</t>
  </si>
  <si>
    <t>Cosmetology; Violate any of the provisions of article 19 of chapter 65 of Kansas Statutes Annotated</t>
  </si>
  <si>
    <t>65-1909(a)(4)</t>
  </si>
  <si>
    <t>Cosmetology; Violation of any order or ruling of the state board of cosmetology</t>
  </si>
  <si>
    <t>65-1909(a)(2)</t>
  </si>
  <si>
    <t>Cosmetology; Willfully make a false, material statement in an application for licensure or for renewal of a license</t>
  </si>
  <si>
    <t>65-1942(a)(5)</t>
  </si>
  <si>
    <t>Counterfeiting; Retail value $25,000 or more; 1,000 or more items bearing marks; or 3rd or subs. violation</t>
  </si>
  <si>
    <t>21-5825(a)</t>
  </si>
  <si>
    <t>Counterfeiting; Retail value at least $1000 but less than $25,000; more than 100 but less than 1,000 items bearing marks; or 2nd violation</t>
  </si>
  <si>
    <t>Counterfeiting; Retail value less than $1000</t>
  </si>
  <si>
    <t>Counties &amp; County Officers; Water Supply &amp; Distribution Districts; fraudulent claims $1000 but &lt; $25,000</t>
  </si>
  <si>
    <t>19-3519(b)(2)</t>
  </si>
  <si>
    <t>Counties &amp; County Officers; Water Supply &amp; Distribution Districts; fraudulent claims $25,000 or more</t>
  </si>
  <si>
    <t>19-3519(b)(3)</t>
  </si>
  <si>
    <t>Counties/County Clerks; Failure or refusal to file Biennial list of county officers, their signatures and imprint of seals with secretary of state</t>
  </si>
  <si>
    <t>19-323</t>
  </si>
  <si>
    <t>Counties/County Commissioners; County charges and expenses; tax levy, use of proceeds</t>
  </si>
  <si>
    <t>19-241</t>
  </si>
  <si>
    <t>Counties/County Commissioners; Issuance of warrants or warrant checks for more than allowed</t>
  </si>
  <si>
    <t>19-242</t>
  </si>
  <si>
    <t>Counties/County Commissioners; Violation of law by commissioner</t>
  </si>
  <si>
    <t>19-233</t>
  </si>
  <si>
    <t>Counties/County Officers; Jails; sheriff, jailer or keeper; intoxicating liquors</t>
  </si>
  <si>
    <t>19-1907</t>
  </si>
  <si>
    <t>Counties/County Officers; Licenses; unlicensed itinerant vendors of drugs or appliances; failure to supply license on demand</t>
  </si>
  <si>
    <t>19-2202</t>
  </si>
  <si>
    <t>Counties/County Officers; Licenses; unlicensed peddler or failure of peddler to pay required tax</t>
  </si>
  <si>
    <t>19-2207</t>
  </si>
  <si>
    <t>Counties/County Officers; Register of Deeds; penalty for any violation of act</t>
  </si>
  <si>
    <t>19-1215</t>
  </si>
  <si>
    <t>Counties/County Officers; Transient Merchant licensing act; penalty for any violation of act</t>
  </si>
  <si>
    <t>19-2240</t>
  </si>
  <si>
    <t>Counties/County Officers; Unauthorized change or altering of water mains</t>
  </si>
  <si>
    <t>19-2620</t>
  </si>
  <si>
    <t>Counties/County Officers; Unauthorized interference with water mains</t>
  </si>
  <si>
    <t>19-2621</t>
  </si>
  <si>
    <t>Counties/County Treasurers; Penalty for willful violation of K.S.A. 19-531 to 19-537</t>
  </si>
  <si>
    <t>19-537</t>
  </si>
  <si>
    <t>Court Reporters; District Courts; false certificate or omission of portion of notes</t>
  </si>
  <si>
    <t>20-911</t>
  </si>
  <si>
    <t>Creating a Hazard; Recklessly exposing, abandoning or otherwise leaving any explosive or dangerous substance in a place accessible to children</t>
  </si>
  <si>
    <t>21-6318(a)(3)</t>
  </si>
  <si>
    <t>Creating a Hazard; Recklessly owning or possessing property upon which a cistern, well or cesspool is located and failing to cover the same with protective covering of sufficient strength and quality to exclude human beings and domestic animals therefrom</t>
  </si>
  <si>
    <t>21-6318(a)(2)</t>
  </si>
  <si>
    <t>Creating a Hazard; Recklessly storing or abandoning, in a place accessible to children, a container with a compartment of more than 1.5 cubic feet capacity and a door/lid which locks or fastens automatically when closed and cannot be easily opened from the inside, and failing to remove the door, lock, lid or fastening device on such container</t>
  </si>
  <si>
    <t>21-6318(a)(1)</t>
  </si>
  <si>
    <t>Credit Cards; Using a forged, lost, stolen,or fraudulently obtained credit card in a transaction affecting intrastate commerce to obtain goods or services over $5,000</t>
  </si>
  <si>
    <t>16-843</t>
  </si>
  <si>
    <t>Credit Services Organization Act; Violation act or any rule and regulation promulgated thereunder</t>
  </si>
  <si>
    <t>50-1131</t>
  </si>
  <si>
    <t>Credit Unions; Penalty for any violation of K.S.A. 17-2252 through 17-2257</t>
  </si>
  <si>
    <t>17-2261</t>
  </si>
  <si>
    <t>Credit Unions; Unauthorized use of the words "credit union" in any name or title</t>
  </si>
  <si>
    <t>17-2203(a)</t>
  </si>
  <si>
    <t>Criminal Carrying of a Weapon; Knowingly carrying a shotgun with a barrel less than 18 inches in length or any automatic weapons</t>
  </si>
  <si>
    <t>21-6302(a)(5)</t>
  </si>
  <si>
    <t>Criminal Carrying of a Weapon; Knowingly carrying bludgeon, sand club, switch-blade, throwing stars, metal knuckles</t>
  </si>
  <si>
    <t>21-6302(a)(1)</t>
  </si>
  <si>
    <t>Criminal Carrying of a Weapon; Knowingly carrying concealed on one's person, a dagger, dirk, billy, blackjack, slingshot, dangerous knife, straight-edge razor, stiletto, or other dangerous or deadly weapon; except ordinary pocket knife</t>
  </si>
  <si>
    <t>21-6302(a)(2)</t>
  </si>
  <si>
    <t>Criminal Carrying of a Weapon; Knowingly carrying firearm concealed on one's person if under 21, except when on one's land or in one's abode or fixed place of business</t>
  </si>
  <si>
    <t>21-6302(a)(4)</t>
  </si>
  <si>
    <t>Criminal Carrying of a Weapon; Knowingly carrying on one's person or in any land, water or air vehicle, with intent to unlawfully use, tear gas or smoke bomb or projector or any object containing a noxious liquid, gas or substance</t>
  </si>
  <si>
    <t>21-6302(a)(3)</t>
  </si>
  <si>
    <t>Criminal Damage to Property; By means other than fire or explosive; Damage, deface, destroy, or substantially impair the use of any property with intent to injure or defraud an insurer or lien holder; damage $25,000 or more</t>
  </si>
  <si>
    <t>21-5813(a)(2)</t>
  </si>
  <si>
    <t>Criminal Damage to Property; By means other than fire or explosive; Damage, deface, destroy, or substantially impair the use of any property with intent to injure or defraud an insurer or lien holder; damage at least $1,000 but less than $25,000</t>
  </si>
  <si>
    <t>Criminal Damage to Property; By means other than fire or explosive; Damage, deface, destroy, or substantially impair the use of any property with intent to injure or defraud; value less than $1,000 or damaged less than $1,000</t>
  </si>
  <si>
    <t>Criminal Damage to Property; By means other than fire or explosive; Knowingly damage, deface, destroy, or substantially impair the use of any property without consent; value less than $1,000 or damaged less than $1,000</t>
  </si>
  <si>
    <t>21-5813(a)(1)</t>
  </si>
  <si>
    <t>Criminal Damage to Property; By means other than fire or explosive; Knowingly injure, damage, deface, destroy, or substantially impair the use of property without consent; damage $25,000 or more</t>
  </si>
  <si>
    <t>Criminal Damage to Property; By means other than fire or explosive; Knowingly injure, damage, deface, destroy, or substantially impair the use of property without consent; damage at least $1,000 but less than $25,000</t>
  </si>
  <si>
    <t>Criminal Deprivation of Property; Motor vehicle; 1st or 2nd conviction</t>
  </si>
  <si>
    <t>21-5803(a)</t>
  </si>
  <si>
    <t>Criminal Deprivation of Property; Motor vehicle; 3rd or subs. conviction</t>
  </si>
  <si>
    <t>Criminal Deprivation of Property; Property other than a motor vehicle</t>
  </si>
  <si>
    <t>Criminal Desecration; Knowingly obtain or attempt to obtain remains of dead body, urn, etc. without authorization</t>
  </si>
  <si>
    <t>21-6205(a)(1)</t>
  </si>
  <si>
    <t>Criminal Desecration; Recklessly, by means other than by fire or explosive; damage, deface or destroy any place of worship; damage $25,000 or more</t>
  </si>
  <si>
    <t>21-6205(a)(2)(D)</t>
  </si>
  <si>
    <t>Criminal Desecration; Recklessly, by means other than by fire or explosive; damage, deface or destroy any place of worship; damage at least $1,000 but less than $25,000</t>
  </si>
  <si>
    <t>Criminal Desecration; Recklessly, by means other than by fire or explosive; damage, deface or destroy any place of worship; property damaged less than $1,000</t>
  </si>
  <si>
    <t>Criminal Desecration; Recklessly, by means other than by fire or explosive; damage, deface or destroy any public monument or structure; damage $25,000 or more</t>
  </si>
  <si>
    <t>21-6205(a)(2)(B)</t>
  </si>
  <si>
    <t>Criminal Desecration; Recklessly, by means other than by fire or explosive; damage, deface or destroy any public monument or structure; damage at least $1,000 but less than $25,000</t>
  </si>
  <si>
    <t>Criminal Desecration; Recklessly, by means other than by fire or explosive; damage, deface or destroy any public monument or structure; property damaged less than $1,000</t>
  </si>
  <si>
    <t>Criminal Desecration; Recklessly, by means other than by fire or explosive; damage, deface or destroy any tomb, monument, memorial, marker, grave, vault, crypt gate, tree, shrub, plant or any other property in a cemetery; damage $25,000 or more</t>
  </si>
  <si>
    <t>21-6205(a)(2)(C)</t>
  </si>
  <si>
    <t>Criminal Desecration; Recklessly, by means other than by fire or explosive; damage, deface or destroy any tomb, monument, memorial, marker, grave, vault, crypt gate, tree, shrub, plant or any other property in a cemetery; damage at least $1,000 but less than $25,000</t>
  </si>
  <si>
    <t>Criminal Desecration; Recklessly, by means other than by fire or explosive; damage, deface or destroy any tomb, monument, memorial, marker, grave, vault, crypt gate, tree, shrub, plant or any other property in a cemetery; property damaged less than $1,000</t>
  </si>
  <si>
    <t>Criminal Desecration; Recklessly, by means other than by fire or explosive; damage, destroy or deface US or state flag or insignia</t>
  </si>
  <si>
    <t>21-6205(a)(2)(A)</t>
  </si>
  <si>
    <t>Criminal Discharge of Firearm; Reckless and unauthorized discharge at an occupied building resulting in bodily harm</t>
  </si>
  <si>
    <t>21-6308(a)(1)(A)</t>
  </si>
  <si>
    <t>Criminal Discharge of Firearm; Reckless and unauthorized discharge at an occupied building resulting in great bodily harm</t>
  </si>
  <si>
    <t>Criminal Discharge of Firearm; Reckless and unauthorized discharge at an occupied building, dwelling, or structure</t>
  </si>
  <si>
    <t>Criminal Discharge of Firearm; Reckless and unauthorized discharge at an occupied motor vehicle or other conveyance</t>
  </si>
  <si>
    <t>21-6308(a)(1)(B)</t>
  </si>
  <si>
    <t>Criminal Discharge of Firearm; Reckless and unauthorized discharge at an occupied motor vehicle resulting in bodily harm</t>
  </si>
  <si>
    <t>Criminal Discharge of Firearm; Reckless and unauthorized discharge at an occupied motor vehicle resulting in great bodily harm</t>
  </si>
  <si>
    <t>Criminal Discharge of Firearm; Reckless and unauthorized discharge at unoccupied dwelling</t>
  </si>
  <si>
    <t>21-6308(a)(2)</t>
  </si>
  <si>
    <t>Criminal Discharge of Firearm; Upon land or non-navigable body of water without permission of the owner or possessor</t>
  </si>
  <si>
    <t>21-6308(a)(3)(A)</t>
  </si>
  <si>
    <t>Criminal Discharge of Firearm; Upon or from any public road, public road right-of-way or railroad right-of-way</t>
  </si>
  <si>
    <t>21-6308(a)(3)(B)</t>
  </si>
  <si>
    <t>Criminal Disclosure of a Warrant; Recklessly make public the application or issuance of a warrant</t>
  </si>
  <si>
    <t>21-5906(a)(1)</t>
  </si>
  <si>
    <t>Criminal Disclosure of a Warrant; Recklessly make public the contents of affidavit or testimony supporting a warrant</t>
  </si>
  <si>
    <t>21-5906(a)(2)</t>
  </si>
  <si>
    <t>Criminal Disposal of Explosives; Knowingly and without lawful authority distribute to a person under 21 regardless of knowledge of the buyer, donee, or transferee's age</t>
  </si>
  <si>
    <t>21-6312(b)(1)</t>
  </si>
  <si>
    <t>Criminal Disposal of Explosives; Knowingly and without lawful authority distribute to a person who is both addicted to and an unlawful user of a controlled substance</t>
  </si>
  <si>
    <t>21-6312(b)(2)</t>
  </si>
  <si>
    <t>Criminal Disposal of Explosives; Knowingly and without lawful authority distribute to a person who, within preceding 5 yrs, has been convicted of a felony or has been released from imprisonment for a felony</t>
  </si>
  <si>
    <t>21-6312(b)(3)</t>
  </si>
  <si>
    <t>Criminal Distribution of Firearms to a Felon; Knowingly transferring any firearm to any person who has been convicted of a felony and who was found to have been in possession of a firearm at the time of the commission of the felony</t>
  </si>
  <si>
    <t>21-6303(a)(3)</t>
  </si>
  <si>
    <t>Criminal Distribution of Firearms to a Felon; Knowingly transferring any firearm to any person who, within the preceding 10 yrs, has been convicted of a felony to which this subsection applies but was NOT found to have been in possession of a firearm at the commission of the felony or has been released from imprisonment for such a crime, and has not had the conviction of such crime expunged or been pardoned</t>
  </si>
  <si>
    <t>21-6303(a)(2)</t>
  </si>
  <si>
    <t>Criminal Distribution of Firearms to a Felon; Knowingly transferring any firearm to any person who, within the preceding 5 yrs, has been convicted of a felony other than those in subsection (c) or has been released from imprisonment for a felony and was NOT found to have been in possession of a firearm at the commission of the felony</t>
  </si>
  <si>
    <t>21-6303(a)(1)</t>
  </si>
  <si>
    <t>Criminal False Communication; Knowingly communicating to another, false information that will tend to degrade and vilify the memory of one who is dead and to scandalize or provoke surviving relatives and friends</t>
  </si>
  <si>
    <t>21-6103(a)(1)(C)</t>
  </si>
  <si>
    <t>Criminal False Communication; Knowingly communicating to another, false information that will tend to deprive such person of the benefits of public confidence and social acceptance</t>
  </si>
  <si>
    <t>21-6103(a)(1)(B)</t>
  </si>
  <si>
    <t>Criminal False Communication; Knowingly communicating to another, false information that will tend to expose another living person to public hatred, contempt or ridicule</t>
  </si>
  <si>
    <t>21-6103(a)(1)(A)</t>
  </si>
  <si>
    <t>Criminal False Communication; Recklessly circulating false information or rumors with intent to injure financial standing or reputation of business or individual</t>
  </si>
  <si>
    <t>21-6103(a)(2)</t>
  </si>
  <si>
    <t>Criminal Hunting; Knowing and unauthorized hunting, shooting, fur harvesting, pursuing any bird or animal, or fishing upon any land or non-navigable body of water of another and in defiance of an order not to enter or to leave</t>
  </si>
  <si>
    <t>21-5810(a)(3)(A)</t>
  </si>
  <si>
    <t>Criminal Hunting; Knowing and unauthorized hunting, shooting, fur harvesting, pursuing any bird or animal, or fishing upon any land or non-navigable body of water of another where such premises or property are posted in a manner consistent with K.S.A. 32-1013</t>
  </si>
  <si>
    <t>21-5810(a)(3)(B)</t>
  </si>
  <si>
    <t>Criminal Hunting; Knowingly hunting, shooting, fur harvesting, pursuing any bird or animal, or fishing upon any land or non-navigable body of water of another without consent</t>
  </si>
  <si>
    <t>21-5810(a)(1)</t>
  </si>
  <si>
    <t>Criminal Hunting; Knowingly hunting, shooting, fur harvesting, pursuing any bird or animal, or fishing upon or from any public road, public road right-of-way or railroad right-of-way that adjoins occupied or improved premises without consent</t>
  </si>
  <si>
    <t>21-5810(a)(2)</t>
  </si>
  <si>
    <t>Criminal Littering; Recklessly deposit or cause to be deposited any object or substance into, upon or about: Any private property without consent</t>
  </si>
  <si>
    <t>21-5815(a)(2)</t>
  </si>
  <si>
    <t>Criminal Littering; Recklessly deposit or cause to be deposited any object or substance into, upon or about: Any public street, highway, alley, road, right-of-way, park or other public place, or any lake, stream, watercourse, or other body of water</t>
  </si>
  <si>
    <t>21-5815(a)(1)</t>
  </si>
  <si>
    <t>Criminal Possession of Explosives; Possession of explosive or detonating substance by one who, within 5 yrs preceding such possession, has been convicted of a felony or has been released from imprisonment for a felony</t>
  </si>
  <si>
    <t>21-6312(a)</t>
  </si>
  <si>
    <t>Criminal Possession of Firearm; Possession on the grounds of or in any building on the grounds of the governor's residence</t>
  </si>
  <si>
    <t>21-6309(a)(3)</t>
  </si>
  <si>
    <t>Criminal Possession of Firearm; Possession within any county courthouse, unless authorized by county resolution</t>
  </si>
  <si>
    <t>21-6309(a)(5)</t>
  </si>
  <si>
    <t>Criminal Possession of Firearm; Possession within any other state-owned or leased building if so designated and signs conspicuously posted</t>
  </si>
  <si>
    <t>21-6309(a)(4)</t>
  </si>
  <si>
    <t>Criminal Possession of Firearm; Possession within the governor's residence</t>
  </si>
  <si>
    <t>21-6309(a)(2)</t>
  </si>
  <si>
    <t>Criminal Possession of Weapon by a Convicted Felon; By a person who has been convicted of a person felony or violation of the uniform controlled substances act or adjudicated as a juvenile offender and found to have possession of firearm at the time of the commission of the offense</t>
  </si>
  <si>
    <t>21-6304(a)(1)</t>
  </si>
  <si>
    <t>Criminal Possession of Weapon by a Convicted Felon; By a person who has been convicted, within the preceding 10 yrs, of a felony listed in this statute or an attempt, conspiracy or solicitation of such, or has been released from imprisonment for such, or was adjudicated as a juvenile offender, and was found not to have been in possession of a firearm at the time of the commission of the offense</t>
  </si>
  <si>
    <t>21-6304(a)(3)(A)</t>
  </si>
  <si>
    <t>Criminal Possession of Weapon by a Convicted Felon; By a person who has been convicted, within the preceding 10 yrs, of a nonperson felony, has been released from imprisonment for such or was adjudicated as a juvenile offender, and was found to have been in possession of a firearm at the time of the commission of the offense</t>
  </si>
  <si>
    <t>21-6304(a)(3)(B)</t>
  </si>
  <si>
    <t>Criminal Possession of Weapon by a Convicted Felon; By a person who has been convicted, within the preceding 5 yrs, of a felony other than (a)(3)(A) or violation of the uniform controlled substances act or adjudicated as a juvenile offender and found not to have been in possession of a firearm at the time of commission of offense</t>
  </si>
  <si>
    <t>21-6304(a)(2)</t>
  </si>
  <si>
    <t>Criminal Procedure; Agreement on Detainers; escape from custody while in state on detainer</t>
  </si>
  <si>
    <t>22-4405</t>
  </si>
  <si>
    <t>***Unc/10</t>
  </si>
  <si>
    <t>Criminal Procedure; Conditions of Release; surety or agent thereof; 1st conviction</t>
  </si>
  <si>
    <t>22-2809a(b)</t>
  </si>
  <si>
    <t>Criminal Procedure; Conditions of Release; surety or agent thereof; 2nd or subs. offense</t>
  </si>
  <si>
    <t>22-2809a(b),(c)</t>
  </si>
  <si>
    <t>Criminal Procedure; Unauthorized installation or use of pen register or a trap and trace device</t>
  </si>
  <si>
    <t>22-2525(1)</t>
  </si>
  <si>
    <t>Criminal Procedure; Uniform Criminal Extradition Act; rights of accused person; application for writ of habeas corpus; notice; failure of officer to comply</t>
  </si>
  <si>
    <t>22-2710</t>
  </si>
  <si>
    <t>Criminal Procedure; Unlawful for employers to require inspection of or challenge to any criminal history record information for the purpose of obtaining criminal history record to qualify for employment</t>
  </si>
  <si>
    <t>22-4710(a)</t>
  </si>
  <si>
    <t>Criminal Procedure; Violation of restrictions on dissemination of criminal history record information</t>
  </si>
  <si>
    <t>22-4707(a)</t>
  </si>
  <si>
    <t>Criminal Restraint; Except by parent and only when victim is less than 18</t>
  </si>
  <si>
    <t>21-5411(a)</t>
  </si>
  <si>
    <t>Criminal Sodomy; Between a person and an animal</t>
  </si>
  <si>
    <t>21-5504(a)(2)</t>
  </si>
  <si>
    <t>Criminal Sodomy; Between persons 16 or older and members of same sex</t>
  </si>
  <si>
    <t>21-5504(a)(1)</t>
  </si>
  <si>
    <t>Criminal Sodomy; Causing child 14 or more but less than 16 to engage in sodomy with person or animal</t>
  </si>
  <si>
    <t>21-5504(a)(4)</t>
  </si>
  <si>
    <t>Criminal Sodomy; Committed with child 14 or more but less than 16</t>
  </si>
  <si>
    <t>21-5504(a)(3)</t>
  </si>
  <si>
    <t>Criminal Street Gangs; Intentionally recruiting criminal street gang membership</t>
  </si>
  <si>
    <t>21-6314(a)</t>
  </si>
  <si>
    <t>Criminal Street Gangs; Intimidation; threaten injury to or actual injury of, or threaten damage or actual damage to property of, another to deter them from assisting a gang member in withdrawing from the gang</t>
  </si>
  <si>
    <t>21-6315(a)(1)</t>
  </si>
  <si>
    <t>Criminal Street Gangs; Intimidation; threaten injury to or actual injury of, or threaten damage or actual damage to property of, another to punish or retaliate against such person having withdrawn from a gang</t>
  </si>
  <si>
    <t>21-6315(a)(2)</t>
  </si>
  <si>
    <t>Criminal Threat; Threaten to adulterate or contaminate any food, raw agricultural commodity, beverage, drug, animal feed, plant or public water supply</t>
  </si>
  <si>
    <t>21-5415(a)(2)</t>
  </si>
  <si>
    <t>Criminal Threat; Threaten to commit violence with intent to place another in fear, to cause the evacuation, lock down or disruption in regular, ongoing activities of any building, place of assembly or facility of transportation, or in reckless disregard of the risk of causing such  fear or evacuation, lock down or disruption in regular, ongoing activities</t>
  </si>
  <si>
    <t>21-5415(a)(1)</t>
  </si>
  <si>
    <t>Criminal Threat; Threaten to expose any animal in this state to any contagious or infectious disease</t>
  </si>
  <si>
    <t>21-5415(a)(3)</t>
  </si>
  <si>
    <t>Criminal Trespass on a Nuclear Generating Facility; Entering/remaining unlawfully in or on facility</t>
  </si>
  <si>
    <t>66-2303(a)(1)</t>
  </si>
  <si>
    <t>Criminal Trespass on a Nuclear Generating Facility; Entering/remaining unlawfully within a structure or fenced yard of a facility</t>
  </si>
  <si>
    <t>66-2303(a)(2)</t>
  </si>
  <si>
    <t>Criminal Trespass; Enter or remain upon or in any land, non-navigable body of water, structure, vehicle, aircraft or watercraft; In defiance of a restraining order</t>
  </si>
  <si>
    <t>21-5808a(a)(1)(C)</t>
  </si>
  <si>
    <t>Criminal Trespass; Enter or remain upon or in any land, non-navigable body of water, structure, vehicle, aircraft or watercraft; In defiance of an order not to enter or to leave</t>
  </si>
  <si>
    <t>21-5808a(a)(1)(A)</t>
  </si>
  <si>
    <t>Criminal Trespass; Enter or remain upon or in any land, non-navigable body of water, structure, vehicle, aircraft or watercraft; Premises or property posted as provided in K.S.A. 32-1013 or any other manner reasonably likely to come to the attention of intruders, locked, fenced or otherwise secured against passage or entry</t>
  </si>
  <si>
    <t>21-5808a(a)(1)(B)</t>
  </si>
  <si>
    <t>Criminal Trespass; Enter or remain upon or in public or private land or structure so as to interfere with access to or from any health care facility in defiance of an order not to enter or to leave</t>
  </si>
  <si>
    <t>21-5808(a)(2)</t>
  </si>
  <si>
    <t>Criminal Use of  Financial Card; Use a revoked or canceled financial card, or the number or description thereof; $25,000 or more within 7 days</t>
  </si>
  <si>
    <t>21-5828(a)(2)</t>
  </si>
  <si>
    <t>Criminal Use of a Financial Card; Using a falsified, mutilated, altered or nonexistent financial card or a number or description; value at less than $1,000 within 7 days</t>
  </si>
  <si>
    <t>21-5828(a)(3)</t>
  </si>
  <si>
    <t>Criminal Use of a Financial Card; Using a financial card without the consent of the cardholder; value at less than $1,000 within 7 days</t>
  </si>
  <si>
    <t>21-5828(a)(1)</t>
  </si>
  <si>
    <t>Criminal Use of a Financial Card; Using a financial card, or the number or description, which has been revoked or canceled; value at less than $1,000 within 7 days</t>
  </si>
  <si>
    <t>Criminal Use of Explosives; Unauthorized possession, creation or construction of a simulated explosive device with the intent to intimidate or cause alarm to another person</t>
  </si>
  <si>
    <t>21-5814(a)(2)</t>
  </si>
  <si>
    <t>Criminal Use of Explosives; Unauthorized possession, manufacture or transportation of commercial explosives</t>
  </si>
  <si>
    <t>21-5814(a)(1)</t>
  </si>
  <si>
    <t>Criminal Use of Explosives; Unauthorized possession, manufacture or transportation of commercial explosives intended to be used to commit a crime or delivered to another knowing such other intends to use such substance to commit a crime</t>
  </si>
  <si>
    <t>Criminal Use of Explosives; Unauthorized possession, manufacture or transportation of commercial explosives when a public safety officer is placed at risk to defuse such explosive</t>
  </si>
  <si>
    <t>Criminal Use of Explosives; Unauthorized possession, manufacture or transportation of commercial explosives when introduced into a building in which there is another human being</t>
  </si>
  <si>
    <t>Criminal Use of Financial Card; Use a falsified, mutilated, altered or nonexistent financial card or a number or description thereof; $25,000 or more within 7 days</t>
  </si>
  <si>
    <t>Criminal Use of Financial Card; Use a falsified, mutilated, altered or nonexistent financial card or a number or description thereof; at least $1,000 but less than $25,000 within 7 days</t>
  </si>
  <si>
    <t>Criminal Use of Financial Card; Use a financial card without consent of the cardholder; $25,000 or more within 7 days</t>
  </si>
  <si>
    <t>Criminal Use of Financial Card; Use a financial card without consent of the cardholder; at least $1,000 but less than $25,000 within 7 days</t>
  </si>
  <si>
    <t>Criminal Use of Financial Card; Use a revoked or canceled financial card, or the number or description thereof; at least $1000 but less than $25,000 within 7 days</t>
  </si>
  <si>
    <t>Criminal Use of Weapons; Knowingly possess a firearm with barrel less than 12 inches long by any person less than 18 years of age; 1st conviction</t>
  </si>
  <si>
    <t>21-6301(a)(14)</t>
  </si>
  <si>
    <t>Criminal Use of Weapons; Knowingly possess any device used to silence firearm</t>
  </si>
  <si>
    <t>21-6301(a)(4)</t>
  </si>
  <si>
    <t>Criminal Use of Weapons; Knowingly possess any firearm by person addicted to and unlawful user of a controlled substance</t>
  </si>
  <si>
    <t>21-6301(a)(10)</t>
  </si>
  <si>
    <t>Select</t>
  </si>
  <si>
    <t>Criminal Use of Weapons; Knowingly possess any firearm by person other than LEO on school property/grounds or at school sponsored activity</t>
  </si>
  <si>
    <t>21-6301(a)(11)</t>
  </si>
  <si>
    <t>Criminal Use of Weapons; Knowingly possess with intent to unlawfully use against another, a dagger, dirk, billy, blackjack, slingshot, dangerous knife, straight-edge razor, stiletto, or other dangerous or deadly weapon; except ordinary pocket knife</t>
  </si>
  <si>
    <t>21-6301(a)(2)</t>
  </si>
  <si>
    <t>Criminal Use of Weapons; Knowingly possess, manufacture, sell, offer for sale, lend, purchase or give away any handgun cartridge with a plastic-coated bullet having a core of less than 60% lead by weight</t>
  </si>
  <si>
    <t>21-6301(a)(6)</t>
  </si>
  <si>
    <t>Criminal Use of Weapons; Knowingly possession by one who is or has been a mentally ill person or, persons with alcohol or substance abuse problems, if subject to involuntary commitment for care and treatment</t>
  </si>
  <si>
    <t>21-6301(a)(13)</t>
  </si>
  <si>
    <t>Criminal Use of Weapons; Knowingly possession by person under 18 - barrel less than 12 inches long; 2nd and subs. conviction</t>
  </si>
  <si>
    <t>Criminal Use of Weapons; Knowingly refuse to surrender or immediately remove any firearm from school property/grounds or school sponsored activity as requested by one with authority</t>
  </si>
  <si>
    <t>21-6301(a)(12)</t>
  </si>
  <si>
    <t>Criminal Use of Weapons; Knowingly sell, manufacture, purchase, possess or carry a shotgun with a barrel less than 18 inches in length or any automatic weapons</t>
  </si>
  <si>
    <t>21-6301(a)(5)</t>
  </si>
  <si>
    <t>Criminal Use of Weapons; Knowingly selling, manufacturing, purchasing or possessing bludgeon, sand club, switch-blade, throwing stars, metal knuckles</t>
  </si>
  <si>
    <t>21-6301(a)(1)</t>
  </si>
  <si>
    <t>Criminal Use of Weapons; Knowingly setting a spring gun</t>
  </si>
  <si>
    <t>21-6301(a)(3)</t>
  </si>
  <si>
    <t>Criminal Use of Weapons; Knowingly transferring a firearm to a person who is or has been a mentally ill person or, persons with alcohol or substance abuse problems, if subject to involuntary commitment for care and treatment</t>
  </si>
  <si>
    <t>21-6301(a)(9)</t>
  </si>
  <si>
    <t>Criminal Use of Weapons; Knowingly transferring a firearm to any person who is both addicted to and an unlawful user of a controlled substance</t>
  </si>
  <si>
    <t>21-6301(a)(8)</t>
  </si>
  <si>
    <t>Criminal Use of Weapons; Knowingly transferring any firearm with a barrel less than 12 inches long to any person under 18 yrs of age</t>
  </si>
  <si>
    <t>21-6301(a)(7)</t>
  </si>
  <si>
    <t>Crude Oil or Petroleum; Buying or selling of illegally produced crude oil or petroleum unlawful</t>
  </si>
  <si>
    <t>55-610</t>
  </si>
  <si>
    <t>Crude Oil or Petroleum; Penalty for violations of 55-601 to 55-609</t>
  </si>
  <si>
    <t>55-607</t>
  </si>
  <si>
    <t>Crude Oil or Petroleum; Waste prohibited</t>
  </si>
  <si>
    <t>55-601</t>
  </si>
  <si>
    <t>Cruelty to Animals; Inflicting harm, disability or death to a police dog, arson dog, assistance dog, game warden dog, or search and rescue dog</t>
  </si>
  <si>
    <t>21-6416(a)</t>
  </si>
  <si>
    <t>Cruelty to Animals; Intentionally causing an equine to lose balance or fall for the purpose of sport or entertainment; 1st conviction</t>
  </si>
  <si>
    <t>21-6412(a)(4)</t>
  </si>
  <si>
    <t>Cruelty to Animals; Intentionally causing an equine to lose balance or fall, for the purpose of sport or entertainment; 2nd or subs. offense</t>
  </si>
  <si>
    <t>Cruelty to Animals; Knowingly abandoning an animal without making provisions for proper care; 1st conviction</t>
  </si>
  <si>
    <t>21-6412(a)(2)</t>
  </si>
  <si>
    <t>Cruelty to Animals; Knowingly abandoning an animal without making provisions for proper care; 2nd or subs. offense</t>
  </si>
  <si>
    <t>Cruelty to Animals; Knowingly and maliciously administering of any poison to any domestic animal</t>
  </si>
  <si>
    <t>21-6412(a)(6)</t>
  </si>
  <si>
    <t>Cruelty to Animals; Knowingly and maliciously killing, injuring, maiming, torturing, burning or mutilating any animal</t>
  </si>
  <si>
    <t>21-6412(a)(1)</t>
  </si>
  <si>
    <t>Cruelty to Animals; Knowingly but not maliciously killing or injuring any animal; 1st conviction</t>
  </si>
  <si>
    <t>21-6412(a)(5)</t>
  </si>
  <si>
    <t>Cruelty to Animals; Knowingly but not maliciously killing or injuring any animal; 2nd or subs. offense</t>
  </si>
  <si>
    <t>Cruelty to Animals; Knowingly fail to provide food, water, shelter, exercise and other care; 1st conviction</t>
  </si>
  <si>
    <t>21-6412(a)(3)</t>
  </si>
  <si>
    <t>Cruelty to Animals; Knowingly fail to provide food, water, shelter, exercise and other care; 2nd or subs. offense</t>
  </si>
  <si>
    <t>Dairy Commission; Violation of provisions of article 23 of chapter 47 of the Kansas Statutes Annotated and amendments thereto.</t>
  </si>
  <si>
    <t>47-2306</t>
  </si>
  <si>
    <t>Dangerous Animals; Permitting a dangerous animal to be at large</t>
  </si>
  <si>
    <t>21-6418(a)</t>
  </si>
  <si>
    <t>Dangerous Regulated Animals; Unlawful acts</t>
  </si>
  <si>
    <t>32-1302(a)</t>
  </si>
  <si>
    <t>Dealing in False Identification Documents; Knowingly reproducing, manufacturing, selling or offering for sale any identification document which simulates, purports to be or is designed to cause others to believe it to be an identification document and bears a fictitious name or other false information</t>
  </si>
  <si>
    <t>21-5918(a)</t>
  </si>
  <si>
    <t>Dealing in Gambling Devices; Manufacture, distribute or possess with intent to distribute any gambling device or sub-assembly or essential part thereof</t>
  </si>
  <si>
    <t>21-6407(a)</t>
  </si>
  <si>
    <t>Defacing Identification Marks of Firearm; Intentionally change, alter, remove or obliterate</t>
  </si>
  <si>
    <t>21-6306(a)</t>
  </si>
  <si>
    <t>Denial of Civil Rights; Intentionally denying exercise of the right to vote</t>
  </si>
  <si>
    <t>21-6102(a)(5)</t>
  </si>
  <si>
    <t>Denial of Civil Rights; Intentionally denying goods, services, facilities, privileges, advantages and accommodations of any establishment providing lodging to transient guests for hire; of any establishment engaged in selling food or beverage to the public; or of any place of recreation, amusement, exhibition or entertainment which is open to members of the public</t>
  </si>
  <si>
    <t>21-6102(a)(2)</t>
  </si>
  <si>
    <t>Denial of Civil Rights; Intentionally denying services, facilities, privileges and advantages of any establishment which offers personal or professional services to members of the public</t>
  </si>
  <si>
    <t>21-6102(a)(4)</t>
  </si>
  <si>
    <t>Denial of Civil Rights; Intentionally denying services, facilities, privileges and advantages of any institution, department or agency of the state of Kansas or any political subdivision or municipality thereof</t>
  </si>
  <si>
    <t>21-6102(a)(1)</t>
  </si>
  <si>
    <t>Denial of Civil Rights; Intentionally denying services, privileges and advantages of any facility for the public transportation of persons or goods</t>
  </si>
  <si>
    <t>21-6102(a)(3)</t>
  </si>
  <si>
    <t>Dental Practices Act; Dentist representing practice to be limited, or specially qualified in a particular branch of dentistry without having obtained a certificate or qualification therefore</t>
  </si>
  <si>
    <t>65-1427(d)</t>
  </si>
  <si>
    <t>Dental Practices Act; Failure of dentist to retain duplicate copy of  prescription for 2 yrs</t>
  </si>
  <si>
    <t>65-1438(B)(2)</t>
  </si>
  <si>
    <t>Dental Practices Act; Failure of out of state dentist to retain the original prescription for 2 yrs</t>
  </si>
  <si>
    <t>65-1438(C)(2)</t>
  </si>
  <si>
    <t>Dental Practices Act; License required to practice dentistry or dental hygiene</t>
  </si>
  <si>
    <t>65-1421</t>
  </si>
  <si>
    <t>Dental Practices Act; Licensure required to practice dental hygiene</t>
  </si>
  <si>
    <t>65-1457</t>
  </si>
  <si>
    <t>Dental Practices Act; Out of state dentist's refusing to allow the board, or its agent, to inspect prescription during 2 yrs' retention period</t>
  </si>
  <si>
    <t>65-1438(C)(3)</t>
  </si>
  <si>
    <t>Dental Practices Act; Practice dental hygiene in violation of the provisions of this act</t>
  </si>
  <si>
    <t>65-1455</t>
  </si>
  <si>
    <t>Dental Practices Act; Practice dentistry or dental hygiene without a license from the board; any other violation of act</t>
  </si>
  <si>
    <t>65-1460</t>
  </si>
  <si>
    <t>Dental Practices Act; Refuse to allow the board, or its agent, to inspect copy of prescription during 2 yrs' retention period</t>
  </si>
  <si>
    <t>65-1438(B)(3)</t>
  </si>
  <si>
    <t>Dental Practices Act; Sale, offer to sell, procurement or alteration of diploma or license; fraud or cheating</t>
  </si>
  <si>
    <t>65-1441</t>
  </si>
  <si>
    <t>Dental Practices Act; Sell or offer certain services or products to the general public when not licensed to practice dentistry in this state</t>
  </si>
  <si>
    <t>65-1439(b)</t>
  </si>
  <si>
    <t>Dental Practices Act; Unlawful for dentist to use any service of an out of state licensed [unlicensed] person without having first furnished him a prescription as required</t>
  </si>
  <si>
    <t>65-1438(B)(1)</t>
  </si>
  <si>
    <t>Dental Practices Act; Unlawful for out of state licensed [unlicensed] person to perform services without having first obtained a written prescription for such services</t>
  </si>
  <si>
    <t>65-1438(C)(1)</t>
  </si>
  <si>
    <t>Dental Practices Act; Unlawfully advertise that one can or will sell, supply, furnish, construct, reproduce or repair prosthetic dentures, bridges, plates or other appliances to be used or worn as substitutes for natural teeth, or the regulation thereof</t>
  </si>
  <si>
    <t>65-1439(a)</t>
  </si>
  <si>
    <t>Department of Administration; Disposition of certain state office buildings; state or local officials and affiliated persons; hold an interest, be employed by, represent or appear for any entity in purchase of property</t>
  </si>
  <si>
    <t>75-3692(b)</t>
  </si>
  <si>
    <t>Department of Administration; Disposition of certain state office buildings; state or local officials and affiliated persons; hold an interest, be employed by, represent or appear for any entity in purchase of property within five years of termination of employment</t>
  </si>
  <si>
    <t>75-3692(d)</t>
  </si>
  <si>
    <t>Department of Administration; Disposition of certain state office buildings; state or local officials and affiliated persons; represent, appear or negotiate on behalf of any entity in proposal or bid to purchase property</t>
  </si>
  <si>
    <t>75-3692(c)</t>
  </si>
  <si>
    <t>Department of Administration; Disposition of certain state office buildings; state or local officials; influence or attempt to influence the secretary of administration in selling or conveying property</t>
  </si>
  <si>
    <t>75-3692(f)</t>
  </si>
  <si>
    <t>Department of Administration; Disposition of certain state office buildings; state or local officials; solicit or accept any complimentary service or discount from an entity submitting a proposal to bid on or purchase property</t>
  </si>
  <si>
    <t>75-3692(e)</t>
  </si>
  <si>
    <t>Department of Agriculture; Falsely mark any product or container of products to indicate that such has been graded or inspected</t>
  </si>
  <si>
    <t>74-538</t>
  </si>
  <si>
    <t>Department of Commerce; Unauthorized disclosure of confidential information</t>
  </si>
  <si>
    <t>74-50,184(c)</t>
  </si>
  <si>
    <t>Derailment of Train; Recklessly cause derailment of train, railroad car or other rail-mounted work equipment</t>
  </si>
  <si>
    <t>21-5809(a)(2)</t>
  </si>
  <si>
    <t>Destroying a Written Instrument; Tear, cut, burn, erase, obliterate or destroy a written instrument, in whole or in part, with intent to defraud</t>
  </si>
  <si>
    <t>21-5826(a)</t>
  </si>
  <si>
    <t>Dietitians Licensing Act; License required to practice dietetics or make certain representations</t>
  </si>
  <si>
    <t>65-5903(a)</t>
  </si>
  <si>
    <t>Disorderly Conduct; Disturbing a lawful assembly, meeting, or procession</t>
  </si>
  <si>
    <t>21-6203(a)(2)</t>
  </si>
  <si>
    <t>Disorderly Conduct; Engaging in brawling or fighting</t>
  </si>
  <si>
    <t>21-6203(a)(1)</t>
  </si>
  <si>
    <t>Disorderly Conduct; Using fighting words or engaging in noisy conduct tending reasonably to arouse alarm, anger or resentment in others</t>
  </si>
  <si>
    <t>21-6203(a)(3)</t>
  </si>
  <si>
    <t>Distribution of a Controlled Substance Causing Death; Distribution of a controlled substance when death results from the use of such substance</t>
  </si>
  <si>
    <t>21-5430(b)</t>
  </si>
  <si>
    <t>Distribution of a Controlled Substance Causing Great Bodily Harm; Distribution of a controlled substance when great bodily harm results from the use of such substance</t>
  </si>
  <si>
    <t>21-5430(a)</t>
  </si>
  <si>
    <t>District Officers &amp; Employers; District Coroner; Unauthorized disposition of body of deceased</t>
  </si>
  <si>
    <t>22a-215(b)</t>
  </si>
  <si>
    <t>Dog Fighting; Cause dog fighting for amusement or gain</t>
  </si>
  <si>
    <t>21-6414(a)(1)</t>
  </si>
  <si>
    <t>Dog Fighting; Knowingly permit dog fighting on one's premises</t>
  </si>
  <si>
    <t>21-6414(a)(2)</t>
  </si>
  <si>
    <t>Dog Fighting; Train, own, keep, transport or sell any dog for the purpose of dog fighting</t>
  </si>
  <si>
    <t>21-6414(a)(3)</t>
  </si>
  <si>
    <t>Dog Fighting; Unlawful attendance of dog fighting</t>
  </si>
  <si>
    <t>21-6414(c)</t>
  </si>
  <si>
    <t>Dog Fighting; Unlawful possession of dog fighting paraphernalia</t>
  </si>
  <si>
    <t>21-6414(b)</t>
  </si>
  <si>
    <t>Domestic Battery; Knowingly causing physical contact in rude, insulting or angry manner; 3rd or subs. within 5 yrs</t>
  </si>
  <si>
    <t>21-5414(a)(2)</t>
  </si>
  <si>
    <t>Domestic Battery; Knowingly causing physical contact with a family or household member by a family or household member when done in a rude, insulting or angry manner; 1st conviction</t>
  </si>
  <si>
    <t>Domestic Battery; Knowingly causing physical contact with a family or household member by a family or household member when done in a rude, insulting or angry manner; 2nd conviction within 5 yrs of 1st conviction</t>
  </si>
  <si>
    <t>Domestic Battery; Knowingly or recklessly causing bodily harm by a family or household member against a family or household member; 1st conviction</t>
  </si>
  <si>
    <t>21-5414(a)(1)</t>
  </si>
  <si>
    <t>Domestic Battery; Knowingly or recklessly causing bodily harm by a family or household member against a family or household member; 2nd conviction within 5 yrs of 1st conviction</t>
  </si>
  <si>
    <t>Domestic Battery; Knowingly or recklessly causing bodily harm; 3rd or subs. within 5 yrs</t>
  </si>
  <si>
    <t>Drainage &amp; Levees; Unlawful to construct fills and levees without prior approval of chief engineer</t>
  </si>
  <si>
    <t>24-126(a)</t>
  </si>
  <si>
    <t>Drainage Districts within Counties or Cities; Failure of director to perform duty</t>
  </si>
  <si>
    <t>24-455</t>
  </si>
  <si>
    <t>Drainage Districts within Counties or Cities; Interfering with possession of appropriated property; removal from property</t>
  </si>
  <si>
    <t>24-473</t>
  </si>
  <si>
    <t>Drainage Districts within Counties or Cities; Wrongfully fill up, cut, injure, destroy or in any manner impair the usefulness of any drain, levee or other work constructed under the provisions of this act</t>
  </si>
  <si>
    <t>24-456</t>
  </si>
  <si>
    <t>Drainage in One or More Counties; Willfully obstruct or injure any ditch, drain, or watercourse, or damage or destroy any dike or other work constructed under the provisions of this act</t>
  </si>
  <si>
    <t>24-636</t>
  </si>
  <si>
    <t>Drainage of Swamps, Bottoms or Lowlands; Obstructing ditch, drain or stream</t>
  </si>
  <si>
    <t>24-307</t>
  </si>
  <si>
    <t>Drainage on Petition to Court; Willfully obstruct or injure or destroy any ditch or drain constructed under the provisions of this act</t>
  </si>
  <si>
    <t>24-715</t>
  </si>
  <si>
    <t>Drivers' Licenses; Display or possess any duplicated/photographed DL</t>
  </si>
  <si>
    <t>8-260(a)(8)</t>
  </si>
  <si>
    <t>Drivers' Licenses; Display or possess fictitious or fraudulently altered DL</t>
  </si>
  <si>
    <t>8-260(a)(1)</t>
  </si>
  <si>
    <t>Drivers' Licenses; Display/ permit display of canceled/revoked/suspended DL</t>
  </si>
  <si>
    <t>8-260(a)(9)</t>
  </si>
  <si>
    <t>Drivers' Licenses; Display/possess a fictitious/fraudulently altered DL by one &lt; 21 for the purchase of any alcoholic liquor or cereal malt beverage; 1st conviction</t>
  </si>
  <si>
    <t>8-260(c)(4)</t>
  </si>
  <si>
    <t>Drivers' Licenses; Display/possess a fictitious/fraudulently altered DL by one &lt; 21 for the purchase of any alcoholic liquor or cereal malt beverage; 2nd conviction</t>
  </si>
  <si>
    <t>Drivers' Licenses; Display/represent as one's own, any DL not issued to same person</t>
  </si>
  <si>
    <t>8-260(a)(3)</t>
  </si>
  <si>
    <t>Drivers' Licenses; Driving while a habitual violator; 3rd and subs.</t>
  </si>
  <si>
    <t>8-287</t>
  </si>
  <si>
    <t>Drivers' Licenses; Driving while suspended - 1st conviction</t>
  </si>
  <si>
    <t>8-262(a)(1)</t>
  </si>
  <si>
    <t>Drivers' Licenses; Driving while suspended - 2nd or subs. conviction</t>
  </si>
  <si>
    <t>Drivers' Licenses; Driving while suspended - 3rd or subs. conviction; additional penalties applied</t>
  </si>
  <si>
    <t>Drivers' Licenses; Employing person to operate a vehicle such person is not licensed to operate</t>
  </si>
  <si>
    <t>8-265</t>
  </si>
  <si>
    <t>Drivers' Licenses; Fail / refuse to surrender any suspended, revoked, or cancelled DL upon lawful demand</t>
  </si>
  <si>
    <t>8-260(a)(4)</t>
  </si>
  <si>
    <t>Drivers' Licenses; Habitual violators; driving while a habitual violator</t>
  </si>
  <si>
    <t>Drivers' Licenses; Lend DL to another/knowingly permit use by another</t>
  </si>
  <si>
    <t>8-260(a)(2)</t>
  </si>
  <si>
    <t>Drivers' Licenses; Lend DL to person &lt; 21 to consume/purchase cereal malt beverage; 1st conviction</t>
  </si>
  <si>
    <t>8-260(c)(2)</t>
  </si>
  <si>
    <t>Drivers' Licenses; Lend DL to person &lt; 21 to consume/purchase cereal malt beverage; 2nd conviction</t>
  </si>
  <si>
    <t>Drivers' Licenses; Lend DL to person &lt; 21 to purchase alcohol; 1st conviction</t>
  </si>
  <si>
    <t>8-260(c)(1)</t>
  </si>
  <si>
    <t>Drivers' Licenses; Lend DL to person &lt; 21 to purchase alcohol; 2nd conviction</t>
  </si>
  <si>
    <t>Drivers' Licenses; Lend DL, nondriver's ID card or other ID to wrongfully obtain a DL for another; 1st conviction</t>
  </si>
  <si>
    <t>8-260(c)(3)</t>
  </si>
  <si>
    <t>Drivers' Licenses; Lend DL, nondriver's ID card or other ID to wrongfully obtain a DL for another; 2nd conviction</t>
  </si>
  <si>
    <t>Drivers' Licenses; Make a false affidavit; penalty of perjury; made during a felony trial</t>
  </si>
  <si>
    <t>8-261a</t>
  </si>
  <si>
    <t>Drivers' Licenses; Make a false affidavit; penalty of perjury; made in a cause, matter or proceeding other than a felony trial</t>
  </si>
  <si>
    <t>Drivers' Licenses; Operating a motor vehicle on highway without driver's license</t>
  </si>
  <si>
    <t>8-235(a)</t>
  </si>
  <si>
    <t>Drivers' Licenses; Operating a motorcycle without class M driver's license</t>
  </si>
  <si>
    <t>8-235(c)</t>
  </si>
  <si>
    <t>Drivers' Licenses; Operating a motorized bicycle on highway without meeting requirements</t>
  </si>
  <si>
    <t>8-235(d)</t>
  </si>
  <si>
    <t>Drivers' Licenses; Operation of a driver training school or giving driving instruction for hire without driver training school or instructor license</t>
  </si>
  <si>
    <t>8-274</t>
  </si>
  <si>
    <t>Drivers' Licenses; Operation of a motor vehicle in violation of the restrictions on any driver's license or permit imposed pursuant to any statute</t>
  </si>
  <si>
    <t>8-291(a)</t>
  </si>
  <si>
    <t>Drivers' Licenses; Operation of motor vehicle in violation of Court imposed restrictions; penalized according to 8-291</t>
  </si>
  <si>
    <t>8-292(a)</t>
  </si>
  <si>
    <t>Drivers' Licenses; Operation of motor vehicle in violation of restrictions imposed in a restricted driver's license</t>
  </si>
  <si>
    <t>8-245(a)</t>
  </si>
  <si>
    <t>Drivers' Licenses; Permit any unlawful use of DL issued to any person</t>
  </si>
  <si>
    <t>8-260(a)(6)</t>
  </si>
  <si>
    <t>Drivers' Licenses; Permitting unauthorized minor to drive</t>
  </si>
  <si>
    <t>8-263</t>
  </si>
  <si>
    <t>Drivers' Licenses; Permitting unauthorized person to drive</t>
  </si>
  <si>
    <t>8-264</t>
  </si>
  <si>
    <t>Drivers' Licenses; Renting motor vehicle to person not licensed to operate it</t>
  </si>
  <si>
    <t>8-266(a)</t>
  </si>
  <si>
    <t>Drivers' Licenses; Renting motor vehicle to person without inspecting such person's license and verifying signature</t>
  </si>
  <si>
    <t>8-266(b)</t>
  </si>
  <si>
    <t>Drivers' Licenses; Renting motor vehicle without keeping proper records</t>
  </si>
  <si>
    <t>8-266(c)</t>
  </si>
  <si>
    <t>Drivers' Licenses; Reproduce any DL so that it could be mistaken for a valid DL; display or possess any such reproduction</t>
  </si>
  <si>
    <t>8-260(a)(7)</t>
  </si>
  <si>
    <t>Drivers' Licenses; Use of false or fictitious name in any application for a DL</t>
  </si>
  <si>
    <t>8-260(a)(5)</t>
  </si>
  <si>
    <t>Drugs; Advertise, market, label, distribute or possess with intent to distribute any product containing ephedrine, pseudoephedrine or phenylpropanolamine for indication of stimulation, mental alertness, weight loss, appetite control, energy or other indications not approved</t>
  </si>
  <si>
    <t>21-5710(a)(2)</t>
  </si>
  <si>
    <t>d 3</t>
  </si>
  <si>
    <t>Drugs; Advertise, market, label, distribute or possess with intent to distribute any product containing ephedrine, pseudoephedrine, red phosphorus, lithium metal, sodium metal, iodine, anhydrous ammonia, pressurized ammonia or phenylpropanolamine or if the person knows or reasonably should know that the purchaser will use the product to manufacture a controlled substance or controlled substance analog</t>
  </si>
  <si>
    <t>21-5710(a)(1)</t>
  </si>
  <si>
    <t>Drugs; Conduct financial transaction involving proceeds derived from the commission of any crime in K.S.A. 2011 Supp. 21-5701 through 21-5717, when the transaction is designed in whole or in part to conceal or disguise the nature, location, source, ownership or control of proceeds known to be derived from the commission of any crime in K.S.A. 2011 Supp. 21-5701 through 21-5717, or to avoid a transaction reporting requirement under state or federal law; $500,000 or more</t>
  </si>
  <si>
    <t>21-5716(d)</t>
  </si>
  <si>
    <t>d 1</t>
  </si>
  <si>
    <t>Drugs; Conduct financial transaction involving proceeds derived from the commission of any crime in K.S.A. 21-5701 through 21-5717, when the transaction is designed in whole or in part to conceal or disguise the nature, location, source, ownership or control of proceeds known to be derived from the commission of any crime in K.S.A. 21-5701 through 21-5717, or to avoid a transaction reporting requirement under state or federal law; less than $5,000</t>
  </si>
  <si>
    <t>d 5</t>
  </si>
  <si>
    <t>Drugs; Conduct financial transaction involving proceeds derived from the commission of any crime in K.S.A. 21-5701 through 21-5717, when the transaction is designed in whole or in part to conceal or disguise the nature, location, source, ownership or control of proceeds known to be derived from the commission of any crime in K.S.A. 21-5701 through 21-5717, or to avoid a transaction reporting requirement under state or federal law; at least $5,000 but less than $100,000</t>
  </si>
  <si>
    <t>d 4</t>
  </si>
  <si>
    <t>Drugs; Conduct financial transaction involving proceeds derived from the commission of any crime in K.S.A. 21-5701 through 21-5717, when the transaction is designed in whole or in part to conceal or disguise the nature, location, source, ownership or control of proceeds known to be derived from the commission of any crime in K.S.A. 21-5701 through 21-5717, or to avoid a transaction reporting requirement under state or federal law; at least $100,000 but less than $250,000</t>
  </si>
  <si>
    <t>Drugs; Conduct financial transaction involving proceeds derived from the commission of any crime in K.S.A. 21-5701 through 21-5717, when the transaction is designed in whole or in part to conceal or disguise the nature, location, source, ownership or control of proceeds known to be derived from the commission of any crime in K.S.A. 21-5701 through 21-5717, or to avoid a transaction reporting requirement under state or federal law; at least $250,000 but less than $500,000</t>
  </si>
  <si>
    <t>d 2</t>
  </si>
  <si>
    <t>Drugs; Cultivation of any substance listed in (a); Quantity of 100 plants or more</t>
  </si>
  <si>
    <t>21-5705(c)</t>
  </si>
  <si>
    <t>Drugs; Cultivation of any substance listed in (a); Quantity of 50 but fewer than 100 plants</t>
  </si>
  <si>
    <t>Drugs; Cultivation of any substance listed in (a); Quantity of more than 4 but fewer than 50 plants</t>
  </si>
  <si>
    <t>Drugs; Direct/plan/organize/initiate/finance/manage/supervise or facilitate the transportation or transfer of proceeds known to be derived from any violation of K.S.A. 21-5701 through 21-5717;  $500,000 or more</t>
  </si>
  <si>
    <t>21-5716(c)</t>
  </si>
  <si>
    <t>Drugs; Direct/plan/organize/initiate/finance/manage/supervise or facilitate the transportation or transfer of proceeds known to be derived from any violation of K.S.A. 21-5701 through 21-5717;  at least $250,000 but less than $500,000</t>
  </si>
  <si>
    <t>Drugs; Direct/plan/organize/initiate/finance/manage/supervise or facilitate the transportation or transfer of proceeds known to be derived from any violation of K.S.A. 21-5701 through 21-5717;  at least $5,000 but less than $100,000</t>
  </si>
  <si>
    <t>Drugs; Direct/plan/organize/initiate/finance/manage/supervise or facilitate the transportation or transfer of proceeds known to be derived from any violation of K.S.A. 21-5701 through 21-5717; at least $100,000 but less than $250,000</t>
  </si>
  <si>
    <t>Drugs; Direct/plan/organize/initiate/finance/manage/supervise or facilitate the transportation or transfer of proceeds known to be derived from any violation of K.S.A. 21-5701 through 21-5717; less than $5,000</t>
  </si>
  <si>
    <t>Drugs; Distribute or possess with intent to distribute; Any substance listed in subsection (a)(1) other than marijuana, heroin, methamphetamine or a drug distributed by dosage units; Quantity of 1 kilogram or more</t>
  </si>
  <si>
    <t>21-5705(a)(1)</t>
  </si>
  <si>
    <t>Drugs; Distribute or possess with intent to distribute; Any substance listed in subsection (a)(1) other than marijuana, heroin, methamphetamine or a drug distributed by dosage units; Quantity of 1 kilogram or more within 1000 feet of school property</t>
  </si>
  <si>
    <t>Drugs; Distribute or possess with intent to distribute; Any substance listed in subsection (a)(1) other than marijuana, heroin, methamphetamine or a drug distributed by dosage units; Quantity of 100 grams but less than 1 kilogram</t>
  </si>
  <si>
    <t>Drugs; Distribute or possess with intent to distribute; Any substance listed in subsection (a)(1) other than marijuana, heroin, methamphetamine or a drug distributed by dosage units; Quantity of 100 grams but less than 1 kilogram; within 1000 feet of school property</t>
  </si>
  <si>
    <t>Drugs; Distribute or possess with intent to distribute; Any substance listed in subsection (a)(1) other than marijuana, heroin, methamphetamine or a drug distributed by dosage units; Quantity of 3.5 grams but less than 100 grams</t>
  </si>
  <si>
    <t>Drugs; Distribute or possess with intent to distribute; Any substance listed in subsection (a)(1) other than marijuana, heroin, methamphetamine or a drug distributed by dosage units; Quantity of 3.5 grams but less than 100 grams; within 1000 feet of school property</t>
  </si>
  <si>
    <t>Drugs; Distribute or possess with intent to distribute; Any substance listed in subsection (a)(1) other than marijuana, heroin, methamphetamine or a drug distributed by dosage units; Quantity of less than 3.5 grams</t>
  </si>
  <si>
    <t>Drugs; Distribute or possess with intent to distribute; Any substance listed in subsection (a)(1) other than marijuana, heroin, methamphetamine or a drug distributed by dosage units; Quantity of less than 3.5 grams; within 1000 feet of school property</t>
  </si>
  <si>
    <t>Drugs; Distribute or possess with intent to distribute; Any substance listed in subsections (a)(2) through (a)(7) other than marijuana, heroin, methamphetamine or a drug distributed by dosage units; Quantity of 1 kilogram or more</t>
  </si>
  <si>
    <t>21-5705(a)(2)-(7)</t>
  </si>
  <si>
    <t>Drugs; Distribute or possess with intent to distribute; Any substance listed in subsections (a)(2) through (a)(7) other than marijuana, heroin, methamphetamine or a drug distributed by dosage units; Quantity of 1 kilogram or more within 1000 feet of school property</t>
  </si>
  <si>
    <t>Drugs; Distribute or possess with intent to distribute; Any substance listed in subsections (a)(2) through (a)(7) other than marijuana, heroin, methamphetamine or a drug distributed by dosage units; Quantity of 100 grams but less than 1 kilogram</t>
  </si>
  <si>
    <t>Drugs; Distribute or possess with intent to distribute; Any substance listed in subsections (a)(2) through (a)(7) other than marijuana, heroin, methamphetamine or a drug distributed by dosage units; Quantity of 100 grams but less than 1 kilogram; within 1000 feet of school property</t>
  </si>
  <si>
    <t>Drugs; Distribute or possess with intent to distribute; Any substance listed in subsections (a)(2) through (a)(7) other than marijuana, heroin, methamphetamine or a drug distributed by dosage units; Quantity of 3.5 grams but less than 100 grams</t>
  </si>
  <si>
    <t>Drugs; Distribute or possess with intent to distribute; Any substance listed in subsections (a)(2) through (a)(7) other than marijuana, heroin, methamphetamine or a drug distributed by dosage units; Quantity of 3.5 grams but less than 100 grams; within 1000 feet of school property</t>
  </si>
  <si>
    <t>Drugs; Distribute or possess with intent to distribute; Any substance listed in subsections (a)(2) through (a)(7) other than marijuana, heroin, methamphetamine or a drug distributed by dosage units; Quantity of less than 3.5 grams</t>
  </si>
  <si>
    <t>Drugs; Distribute or possess with intent to distribute; Any substance listed in subsections (a)(2) through (a)(7) other than marijuana, heroin, methamphetamine or a drug distributed by dosage units; Quantity of less than 3.5 grams; within 1000 feet of school property</t>
  </si>
  <si>
    <t>Drugs; Distribute or possess with intent to distribute; Drugs designated in K.S.A. 65-4113</t>
  </si>
  <si>
    <t>21-5705(b)</t>
  </si>
  <si>
    <t>Drugs; Distribute or possess with intent to distribute; Drugs designated in K.S.A. 65-4113; If distributed or possessed with intent to distribute to a minor</t>
  </si>
  <si>
    <t>Drugs; Distribute or possess with intent to distribute; Drugs listed in subsection (a)(1) which are distributed by dosage unit; Quantity of 10 but less than 100</t>
  </si>
  <si>
    <t>Drugs; Distribute or possess with intent to distribute; Drugs listed in subsection (a)(1) which are distributed by dosage unit; Quantity of 10 but less than 100; Within 1000 feet of school property</t>
  </si>
  <si>
    <t>Drugs; Distribute or possess with intent to distribute; Drugs listed in subsection (a)(1) which are distributed by dosage unit; Quantity of 100 but less than 1000</t>
  </si>
  <si>
    <t>Drugs; Distribute or possess with intent to distribute; Drugs listed in subsection (a)(1) which are distributed by dosage unit; Quantity of 100 but less than 1000; Within 1000 feet of school property</t>
  </si>
  <si>
    <t>Drugs; Distribute or possess with intent to distribute; Drugs listed in subsection (a)(1) which are distributed by dosage unit; Quantity of 1000 or more; Within 1000 feet of school property</t>
  </si>
  <si>
    <t>Drugs; Distribute or possess with intent to distribute; Drugs listed in subsection (a)(1) which are distributed by dosage unit; Quantity of fewer than 10</t>
  </si>
  <si>
    <t>Drugs; Distribute or possess with intent to distribute; Drugs listed in subsection (a)(1) which are distributed by dosage unit; Quantity of fewer than 10; Within 1000 feet of school property</t>
  </si>
  <si>
    <t>Drugs; Distribute or possess with intent to distribute; Drugs listed in subsection (a)(1)which are distributed by dosage unit; Quantity of 1000 or more</t>
  </si>
  <si>
    <t>Drugs; Distribute or possess with intent to distribute; Drugs listed in subsection (a)(2) through (a)(7) which are distributed by dosage unit; Quantity of 10 but less than 100</t>
  </si>
  <si>
    <t>Drugs; Distribute or possess with intent to distribute; Drugs listed in subsection (a)(2) through (a)(7) which are distributed by dosage unit; Quantity of 10 but less than 100; Within 1000 feet of school property</t>
  </si>
  <si>
    <t>Drugs; Distribute or possess with intent to distribute; Drugs listed in subsection (a)(2) through (a)(7) which are distributed by dosage unit; Quantity of 100 but less than 1000</t>
  </si>
  <si>
    <t>Drugs; Distribute or possess with intent to distribute; Drugs listed in subsection (a)(2) through (a)(7) which are distributed by dosage unit; Quantity of 100 but less than 1000; Within 1000 feet of school property</t>
  </si>
  <si>
    <t>Drugs; Distribute or possess with intent to distribute; Drugs listed in subsection (a)(2) through (a)(7) which are distributed by dosage unit; Quantity of 1000 or more</t>
  </si>
  <si>
    <t>Drugs; Distribute or possess with intent to distribute; Drugs listed in subsection (a)(2) through (a)(7) which are distributed by dosage unit; Quantity of 1000 or more; Within 1000 feet of school property</t>
  </si>
  <si>
    <t>Drugs; Distribute or possess with intent to distribute; Drugs listed in subsection (a)(2) through (a)(7) which are distributed by dosage unit; Quantity of fewer than 10</t>
  </si>
  <si>
    <t>Drugs; Distribute or possess with intent to distribute; Drugs listed in subsection (a)(2) through (a)(7) which are distributed by dosage unit; Quantity of fewer than 10; Within 1000 feet of school property</t>
  </si>
  <si>
    <t>Drugs; Distribute or possess with intent to distribute; Heroin or Methamphetamine; Quantity of 1 gram but less than 3.5 grams</t>
  </si>
  <si>
    <t>Drugs; Distribute or possess with intent to distribute; Heroin or Methamphetamine; Quantity of 1 gram but less than 3.5 grams; Within 1000 feet of school property</t>
  </si>
  <si>
    <t>Drugs; Distribute or possess with intent to distribute; Heroin or Methamphetamine; Quantity of 100 grams or more</t>
  </si>
  <si>
    <t>Drugs; Distribute or possess with intent to distribute; Heroin or Methamphetamine; Quantity of 100 grams or more; Within 1000 feet of school property</t>
  </si>
  <si>
    <t>Drugs; Distribute or possess with intent to distribute; Heroin or Methamphetamine; Quantity of 3.5 grams but less than 100 grams</t>
  </si>
  <si>
    <t>Drugs; Distribute or possess with intent to distribute; Heroin or Methamphetamine; Quantity of 3.5 grams but less than 100 grams; Within 1000 feet of school property</t>
  </si>
  <si>
    <t>Drugs; Distribute or possess with intent to distribute; Heroin or Methamphetamine; Quantity of less than 1 gram</t>
  </si>
  <si>
    <t>Drugs; Distribute or possess with intent to distribute; Heroin or Methamphetamine; Quantity of less than 1 gram; Within 1000 feet of school property</t>
  </si>
  <si>
    <t>Drugs; Distribute or possess with intent to distribute; Marijuana; Quantity of 25 grams but less than 450 grams</t>
  </si>
  <si>
    <t>21-5705(a)</t>
  </si>
  <si>
    <t>Drugs; Distribute or possess with intent to distribute; Marijuana; Quantity of 25 grams but less than 450 grams; Within 1000 feet of school property</t>
  </si>
  <si>
    <t>Drugs; Distribute or possess with intent to distribute; Marijuana; Quantity of 30 kilograms or more</t>
  </si>
  <si>
    <t>Drugs; Distribute or possess with intent to distribute; Marijuana; Quantity of 30 kilograms or more; Within 1000 feet of school property</t>
  </si>
  <si>
    <t>Drugs; Distribute or possess with intent to distribute; Marijuana; Quantity of 450 grams but less than 30 kilograms</t>
  </si>
  <si>
    <t>Drugs; Distribute or possess with intent to distribute; Marijuana; Quantity of 450 grams but less than 30 kilograms; Within 1000 feet of school property</t>
  </si>
  <si>
    <t>Drugs; Distribute or possess with intent to distribute; Marijuana; Quantity of less than 25 grams</t>
  </si>
  <si>
    <t>Drugs; Distribute or possess with intent to distribute; Marijuana; Quantity of less than 25 grams; Within 1000 feet of school property</t>
  </si>
  <si>
    <t>Drugs; Distribute, possess with intent to distribute any substance which is not a controlled substance under circumstances which would give a reasonable person reason to believe that substance is controlled substance</t>
  </si>
  <si>
    <t>21-5714(a)(2)</t>
  </si>
  <si>
    <t>Drugs; Distribute, possess with intent to distribute any substance which is not a controlled substance upon express representation that noncontrolled substance is controlled substance, or that substance is of such nature/appearance that the recipient will be able to distribute the substance as a controlled substance</t>
  </si>
  <si>
    <t>21-5714(a)(1)</t>
  </si>
  <si>
    <t>Drugs; Distribute, possess with intent to distribute or manufacture with intent to distribute any drug paraphernalia, knowing or reasonably should know that it will be used to manufacture or distribute a controlled substance or controlled substance analog</t>
  </si>
  <si>
    <t>21-5710(b)</t>
  </si>
  <si>
    <t>Drugs; Distribute, possess with intent to distribute or manufacture with intent to distribute any drug paraphernalia, knowing or reasonably should know that it will be used to manufacture or distribute a controlled substance or controlled substance analog; finding that offender distributed or caused drug paraphernalia to be distributed on or within 1,000 ft of school property OR to a minor</t>
  </si>
  <si>
    <t>Drugs; Distribute, possess with intent to distribute or manufacture with intent to distribute, any drug paraphernalia, knowing or reasonably should know it will be used in violation of K.S.A. 21-5701 through 21-5717 , except K.S.A. 21-5706(b)</t>
  </si>
  <si>
    <t>21-5710(c)</t>
  </si>
  <si>
    <t>Drugs; Distribute, possess with intent to distribute or manufacture with intent to distribute, any drug paraphernalia, knowing or reasonably should know it will be used in violation of K.S.A. 21-5701 through 21-5717, except K.S.A. 21-5706(b); finding that offender distributed or caused drug paraphernalia to be distributed on or within 1000 ft. of school property OR to a minor</t>
  </si>
  <si>
    <t>Drugs; Distribute, possess with intent to distribute or manufacture with intent to distribute, any drug paraphernalia, knowing or reasonably should know it will be used in violation of K.S.A. 21-5706(b)</t>
  </si>
  <si>
    <t>21-5710(d)</t>
  </si>
  <si>
    <t>Drugs; Distribute, possess with intent to distribute or manufacture with intent to distribute, any drug paraphernalia, knowing or reasonably should know it will be used in violation of K.S.A. 21-5706(b); finding that offender distributed or caused drug paraphernalia to be distributed within 1000 ft. of school property OR to a minor</t>
  </si>
  <si>
    <t>Drugs; Distribute, possess with intent to distribute, any substance which is not a controlled substance under circumstances which would give a reasonable person reason to believe that substance is controlled substance; to minor by a person over 18 and at least 3 yrs older than minor</t>
  </si>
  <si>
    <t>Drugs; Distribute, possess with intent to distribute, any substance which is not a controlled substance upon express representation that noncontrolled substance is controlled substance, or that substance is of such nature/appearance that the recipient will be able to distribute the substance as a controlled substance; to minor by a person over 18 and at least 3 yrs older than minor</t>
  </si>
  <si>
    <t>Drugs; Distribute, possess with intent to distribute, or manufacture with intent to distribute any simulated controlled substance</t>
  </si>
  <si>
    <t>21-5713(a)</t>
  </si>
  <si>
    <t>Drugs; Distribute, possess with intent to distribute, or manufacture with intent to distribute any simulated controlled substance; finding that offender is 18 or more yrs of age and violation occurred on or within 1000 ft. of school property</t>
  </si>
  <si>
    <t>21-5713(b)</t>
  </si>
  <si>
    <t>Drugs; Distribute/invest/conceal/transport/maintain an interest in or otherwise make available anything of value which that person knows is intended to be used for the purpose of committing or furthering the commission of any crime in K.S.A. 21-36a01 through 21-36a17; at least $5,000 but less than $100,000</t>
  </si>
  <si>
    <t>21-5716(b)</t>
  </si>
  <si>
    <t>Drugs; Distribute/invest/conceal/transport/maintain an interest in or otherwise make available anything of value which that person knows is intended to be used for the purpose of committing or furthering the commission of any crime in K.S.A. 21-5701 through 21-5717; at least $100,000 but less than $250,000</t>
  </si>
  <si>
    <t>21-5716(a)</t>
  </si>
  <si>
    <t>Drugs; Distribute/invest/conceal/transport/maintain an interest in or otherwise make available anything of value which that person knows is intended to be used for the purpose of committing or furthering the commission of any crime in K.S.A. 21-5701 through 21-5717; at least $250,000 but less than $500,000</t>
  </si>
  <si>
    <t>Drugs; Distribute/invest/conceal/transport/maintain an interest in or otherwise make available anything of value which that person knows is intended to be used for the purpose of committing or furthering the commission of any crime in K.S.A. 21-5701 through 21-5717; $500,000 or more</t>
  </si>
  <si>
    <t>Drugs; Distribute/invest/conceal/transport/maintain an interest in or otherwise make available anything of value which that person knows is intended to be used for the purpose of committing or furthering the commission of any crime in K.S.A. 21-5701 through 21-5717; less than $5,000</t>
  </si>
  <si>
    <t>Drugs; Knowingly or intentionally use any communication facility in any attempt to commit, any conspiracy to commit or any criminal solicitation of any felony under K.S.A. 21-5703, 21-5705, or 21-5706 each separate use of a communication facility may be charged as a separate offense</t>
  </si>
  <si>
    <t>21-5707(a)(2)</t>
  </si>
  <si>
    <t>Drugs; Knowingly or intentionally use any communication facility in committing, causing, or facilitating the commission of any felony under K.S.A. 21-5703, 21-5705, or 21-5706 ; each separate use of a communication facility may be charged as a separate offense</t>
  </si>
  <si>
    <t>21-5707(a)(1)</t>
  </si>
  <si>
    <t>Drugs; Manufacture of a controlled substance or controlled substance analog</t>
  </si>
  <si>
    <t>21-5703(a)</t>
  </si>
  <si>
    <t>Drugs; Manufacture of a controlled substance or controlled substance analog; methamphetamine or analog; first and subs. offense</t>
  </si>
  <si>
    <t>Drugs; Manufacture of a controlled substance or controlled substance analog; second and subs. offense when any prior and current offense are for a controlled substance other than methamphetamine or analog</t>
  </si>
  <si>
    <t>Drugs; Penalty for violation of uniform controlled substances act</t>
  </si>
  <si>
    <t>65-4127c</t>
  </si>
  <si>
    <t>Drugs; Possess ephedrine, pseudoephedrine, red phosphorus, lithium metal, sodium metal, iodine, anhydrous ammonia, pressurized ammonia or phenylpropanolamine, or their salts, isomers or sales of isomers with an intent to use the product to manufacture a controlled substance</t>
  </si>
  <si>
    <t>21-5709(a)</t>
  </si>
  <si>
    <t>Drugs; Possession of anabolic steroid or analog in subsection (f) of K.S.A. 65-4109; 2nd or subs. offense</t>
  </si>
  <si>
    <t>21-5706(b)(5)</t>
  </si>
  <si>
    <t>Drugs; Possession of anabolic steroid or analog; 1st offense</t>
  </si>
  <si>
    <t>Drugs; Possession of anhydrous ammonia or pressurized ammonia in a container not approved for that chemical by the Kansas Department of Agriculture</t>
  </si>
  <si>
    <t>21-5709(c)</t>
  </si>
  <si>
    <t>Drugs; Possession of any substance designated in subsection (h) of K.S.A. 65-4105, 2nd or subs. offense</t>
  </si>
  <si>
    <t>21-5706(b)(7)</t>
  </si>
  <si>
    <t>Drugs; Possession of any substance or analog designated in K.S.A. 65-4113</t>
  </si>
  <si>
    <t>21-5706(b)(6)</t>
  </si>
  <si>
    <t>Drugs; Possession of any substance or analog designated in subsection (h) of K.S.A. 65-4105; 1st offense</t>
  </si>
  <si>
    <t>Drugs; Possession of depressant or analog; 1st offense</t>
  </si>
  <si>
    <t>21-5706(b)(1)</t>
  </si>
  <si>
    <t>Drugs; Possession of depressant or analog; 2nd or subs. offense</t>
  </si>
  <si>
    <t>Drugs; Possession of hallucinogenic or analog; 1st offense</t>
  </si>
  <si>
    <t>21-5706(b)(3)</t>
  </si>
  <si>
    <t>Drugs; Possession of hallucinogenic or analog; 1st Offense-Marijuana</t>
  </si>
  <si>
    <t>Drugs; Possession of hallucinogenic or analog; 2nd Offense-Marijuana</t>
  </si>
  <si>
    <t>Drugs; Possession of hallucinogenic or analog; 2nd or subs. offense</t>
  </si>
  <si>
    <t>Drugs; Possession of hallucinogenic or analog; 3rd or Subsequent Offense-Marijuana</t>
  </si>
  <si>
    <t>Drugs; Possession of opiates, opium or narcotic drugs, or any stimulant designated in subsection (d)(1), (d)(3) or (f)(1) of K.S.A. 65-4107 or controlled substance analog</t>
  </si>
  <si>
    <t>21-5706(a)</t>
  </si>
  <si>
    <t>Drugs; Possession of stimulant or analog; 1st offense</t>
  </si>
  <si>
    <t>21-5706(b)(2)</t>
  </si>
  <si>
    <t>Drugs; Possession of stimulant or analog; 2nd or subs. offense</t>
  </si>
  <si>
    <t>Drugs; Possession of substance or analog designated in subsection (g) of K.S.A. 65-4105 or subsection (c), (d), (e), (f) or (g) of K.S.A. 65-4111; 1st offense</t>
  </si>
  <si>
    <t>21-5706(b)(4)</t>
  </si>
  <si>
    <t>Drugs; Possession of substance or analog designated in subsection (g) of K.S.A. 65-4105 or subsection (c), (d), (e), (f) or (g) of K.S.A. 65-4111; 2nd or subs. offense</t>
  </si>
  <si>
    <t>Drugs; Purchase, receive or otherwise acquire at retail any compound, mixture or preparation containing &gt;3.6 g. of pseudoephedrine or ephedrine base within single transaction; or any compound, mixture or preparation containing more than 9 g. of pseudoephedrine or ephedrine base within 30-day period</t>
  </si>
  <si>
    <t>21-5709(d)</t>
  </si>
  <si>
    <t>Drugs; Receive/acquire proceeds or engage in transactions involving proceeds, known to be derived from violation of K.S.A. 21-5701 through 21-5717; at least $5,000 but less than $100,000</t>
  </si>
  <si>
    <t>Drugs; Receive/acquire proceeds or engage in transactions involving proceeds, known to be derived from violation of K.S.A. 21-5701 through 21-5717; less than $5,000</t>
  </si>
  <si>
    <t>Drugs; Registration required to manufacture, distribute or dispense any controlled substance</t>
  </si>
  <si>
    <t>65-4116(a)</t>
  </si>
  <si>
    <t>Drugs; Unlawful abuse of toxic vapors</t>
  </si>
  <si>
    <t>21-5712(a)</t>
  </si>
  <si>
    <t>Drugs; Unlawfully Obtaining a Prescription-only Drug; distribution of a prescription order knowing it to have been made, altered or signed by a person other than a practitioner or a mid-level practitioner; 1st offense</t>
  </si>
  <si>
    <t>21-5708(a)(2)</t>
  </si>
  <si>
    <t>Drugs; Unlawfully Obtaining a Prescription-only Drug; distribution of a prescription order knowing it to have been made, altered or signed by a person other than a practitioner or a mid-level practitioner; 2nd and subs. offense</t>
  </si>
  <si>
    <t>Drugs; Unlawfully Obtaining a Prescription-only Drug; making, altering or signing of a prescription order by a person other than a practitioner or a mid-level practitioner; 1st offense</t>
  </si>
  <si>
    <t>21-5708(a)(1)</t>
  </si>
  <si>
    <t>Drugs; Unlawfully Obtaining a Prescription-only Drug; making, altering or signing of a prescription order by a person other than a practitioner or a mid-level practitioner; 2nd and subs. offense</t>
  </si>
  <si>
    <t>Drugs; Unlawfully Obtaining a Prescription-only Drug; possession of a prescription order with intent to distribute it and knowing it to have been made, altered or signed by a person other than a practitioner or a mid-level practitioner; 1st offense</t>
  </si>
  <si>
    <t>21-5708(a)(3)</t>
  </si>
  <si>
    <t>Drugs; Unlawfully Obtaining a Prescription-only Drug; possession of a prescription order with intent to distribute it and knowing it to have been made, altered or signed by a person other than a practitioner or a mid-level practitioner; 2nd and subs. offense</t>
  </si>
  <si>
    <t>Drugs; Unlawfully Obtaining a Prescription-only Drug; possession of a prescription-only drug knowing it to have been obtained pursuant to a prescription order made, altered or signed by a person other than a practitioner or a mid-level practitioner; 1st offense</t>
  </si>
  <si>
    <t>21-5708(a)(4)</t>
  </si>
  <si>
    <t>Drugs; Unlawfully Obtaining a Prescription-only Drug; possession of a prescription-only drug knowing it to have been obtained pursuant to a prescription order made, altered or signed by a person other than a practitioner or a mid-level practitioner; 2nd and subs. offense</t>
  </si>
  <si>
    <t>Drugs; Unlawfully Obtaining a Prescription-only Drug; providing false information with intent to deceive to a practitioner or mid-level practitioner for the purpose of obtaining a prescription-only drug; 1st offense</t>
  </si>
  <si>
    <t>21-5708(a)(5)</t>
  </si>
  <si>
    <t>Drugs; Unlawfully Obtaining a Prescription-only Drug; providing false information with intent to deceive to a practitioner or mid-level practitioner for the purpose of obtaining a prescription-only drug; 2nd and subs. offense</t>
  </si>
  <si>
    <t>Drugs; Unlawfully Selling a Prescription-only Drug; obtaining and offering for sale the prescription-only drug so obtained</t>
  </si>
  <si>
    <t>21-5708(b)(2)</t>
  </si>
  <si>
    <t>Drugs; Unlawfully Selling a Prescription-only Drug; obtaining and possessing with intent to sell the prescription-only drug so obtained</t>
  </si>
  <si>
    <t>21-5708(b)(3)</t>
  </si>
  <si>
    <t>Drugs; Unlawfully Selling a Prescription-only Drug; obtaining and selling the prescription-only drug so obtained</t>
  </si>
  <si>
    <t>21-5708(b)(1)</t>
  </si>
  <si>
    <t>Drugs; Use or possess with intent to use any simulated controlled substance</t>
  </si>
  <si>
    <t>Drugs; Use or possess with intent to use drug paraphernalia to store, contain, conceal, inject, ingest, inhale or otherwise introduce a controlled substance into the human body</t>
  </si>
  <si>
    <t>21-5709(b)(2)</t>
  </si>
  <si>
    <t>Drugs; Use or possession of paraphernalia with intent to use to manufacture, cultivate, plant, propagate, harvest, test, analyze or distribute a controlled substance; used to cultivate five or more marijuana plants</t>
  </si>
  <si>
    <t>21-5709(b)(1)</t>
  </si>
  <si>
    <t>Drugs; Use or possession of paraphernalia with intent to use to manufacture, cultivate, plant, propagate, harvest, test, analyze or distribute a controlled substance; used to cultivated fewer than five marijuana plants</t>
  </si>
  <si>
    <t>DUI Provisions; Blow into ignition interlock device to allow person required to operate vehicle with device to pass</t>
  </si>
  <si>
    <t>8-1017(a)(3)</t>
  </si>
  <si>
    <t>DUI Provisions; Operate vehicle with no ignition interlock device during restrictive period</t>
  </si>
  <si>
    <t>8-1017(a)(4)</t>
  </si>
  <si>
    <t>DUI Provisions; Permitting operation of vehicle by one whose license is suspended pursuant to 8-1014 (refusal / failure of DUI test)</t>
  </si>
  <si>
    <t>8-1022(a)</t>
  </si>
  <si>
    <t>DUI Provisions; Requesting another to blow into ignition interlock device</t>
  </si>
  <si>
    <t>8-1017(a)(2)</t>
  </si>
  <si>
    <t>DUI Provisions; Tampering with an ignition interlock device</t>
  </si>
  <si>
    <t>8-1017(a)(1)</t>
  </si>
  <si>
    <t>DUI Provisions; Test Refusal or Failure; signing a certification submitted to the division knowing it contains a false statement</t>
  </si>
  <si>
    <t>8-1002(b)</t>
  </si>
  <si>
    <t>DUI Provisions; Tests for Alcohol or Drugs; signing a certification submitted to the division knowing it contains a false statement</t>
  </si>
  <si>
    <t>8-2,145(d)</t>
  </si>
  <si>
    <t>DUI; Alcohol concentration as measured within three hours of the time of operating or attempting to operate a vehicle, is .08 or more; 1st conviction</t>
  </si>
  <si>
    <t>8-1567(a)(2)</t>
  </si>
  <si>
    <t>DUI; Alcohol concentration as measured within three hours of the time of operating or attempting to operate a vehicle, is .08 or more; 2nd conviction</t>
  </si>
  <si>
    <t>DUI; Alcohol concentration as measured within three hours of the time of operating or attempting to operate a vehicle, is .08 or more; 3rd conviction, if no prior convictions within preceding 10 years</t>
  </si>
  <si>
    <t>DUI; Alcohol concentration as measured within three hours of the time of operating or attempting to operate a vehicle, is .08 or more; 3rd conviction, if prior within the preceding 10 yrs</t>
  </si>
  <si>
    <t>DUI; Alcohol concentration as measured within two hours of the time of operating or attempting to operate a vehicle, is .08 or more; 4th or subs. conviction</t>
  </si>
  <si>
    <t>DUI; Alcohol concentration is .08 or more; 1st conviction</t>
  </si>
  <si>
    <t>8-1567(a)(1)</t>
  </si>
  <si>
    <t>DUI; Alcohol concentration is .08 or more; 2nd conviction</t>
  </si>
  <si>
    <t>DUI; Alcohol concentration is .08 or more; 3rd conviction, if no prior convictions within preceding 10 years</t>
  </si>
  <si>
    <t>DUI; Alcohol concentration is .08 or more; 3rd conviction, if prior within the preceding 10 yrs</t>
  </si>
  <si>
    <t>DUI; Alcohol concentration is .08 or more; 4th or subs. conviction</t>
  </si>
  <si>
    <t>DUI; Driving under the influence of a combination of alcohol and any drug or drugs to a degree that renders the person incapable of safely driving a vehicle; 1st conviction</t>
  </si>
  <si>
    <t>8-1567(a)(5)</t>
  </si>
  <si>
    <t>DUI; Driving under the influence of a combination of alcohol and any drug or drugs to a degree that renders the person incapable of safely driving a vehicle; 2nd conviction</t>
  </si>
  <si>
    <t>DUI; Driving under the influence of a combination of alcohol and any drug or drugs to a degree that renders the person incapable of safely driving a vehicle; 3rd conviction, if no prior convictions within preceding 10 years</t>
  </si>
  <si>
    <t>DUI; Driving under the influence of a combination of alcohol and drug(s) to a degree that renders the person incapable of safely driving a vehicle; 4th or subs. conviction</t>
  </si>
  <si>
    <t>DUI; Driving under the influence of a drug or combination of drugs to a degree that renders the person incapable of safely driving a vehicle; 3rd conviction, if prior within the preceding 10 yrs</t>
  </si>
  <si>
    <t>8-1567(a)(4)</t>
  </si>
  <si>
    <t>DUI; Driving under the influence of alcohol to a degree that renders the person incapable of safely driving a vehicle; 1st conviction</t>
  </si>
  <si>
    <t>8-1567(a)(3)</t>
  </si>
  <si>
    <t>DUI; Driving under the influence of alcohol to a degree that renders the person incapable of safely driving a vehicle; 2nd conviction</t>
  </si>
  <si>
    <t>DUI; Driving under the influence of alcohol to a degree that renders the person incapable of safely driving a vehicle; 3rd conviction, if no prior convictions within preceding 10 years</t>
  </si>
  <si>
    <t>DUI; Driving under the influence of alcohol to a degree that renders the person incapable of safely driving a vehicle; 3rd conviction, if prior within the preceding 10 yrs</t>
  </si>
  <si>
    <t>DUI; Driving under the influence of alcohol to a degree that renders the person incapable of safely driving a vehicle; 4th or subs. conviction</t>
  </si>
  <si>
    <t>DUI; Driving under the influence of any drug or combination of drugs to a degree that renders the person incapable of safely driving a vehicle; 1st conviction</t>
  </si>
  <si>
    <t>DUI; Driving under the influence of any drug or combination of drugs to a degree that renders the person incapable of safely driving a vehicle; 2nd conviction</t>
  </si>
  <si>
    <t>DUI; Driving under the influence of any drug or combination of drugs to a degree that renders the person incapable of safely driving a vehicle; 3rd conviction, if no prior convictions within preceding 10 years</t>
  </si>
  <si>
    <t>DUI; Driving under the influence of any drug or combination of drugs to a degree that renders the person incapable of safely driving a vehicle; 4th or subs. conviction</t>
  </si>
  <si>
    <t>DUI; Driving under the influence of combination of alcohol &amp; drug(s) to a degree that renders the person incapable of safely driving a vehicle; 3rd conviction, if prior within the preceding 10 yrs</t>
  </si>
  <si>
    <t>DUI; Test Refusal; 1st conviction</t>
  </si>
  <si>
    <t>8-1025</t>
  </si>
  <si>
    <t>DUI; Test Refusal; 2nd conviction if no priors within preceding 10 years</t>
  </si>
  <si>
    <t>DUI; Test Refusal; 2nd conviction, if prior within the preceding 10 years</t>
  </si>
  <si>
    <t>DUI; Test Refusal; 3rd or subs. conviction</t>
  </si>
  <si>
    <t>Egg Law; Advertise eggs in a manner indicating price without also indicating the designation of size and quality</t>
  </si>
  <si>
    <t>2-2503(e)</t>
  </si>
  <si>
    <t>Egg Law; Engage in the business of purchasing eggs without conspicuously posting in such place of business the prices which are being paid for each of the various grades of eggs</t>
  </si>
  <si>
    <t>2-2503(l)</t>
  </si>
  <si>
    <t>Egg Law; Fail or neglect to file the quarterly inspection fee report and pay the inspection fee due; file a false quarterly inspection fee report of the quantity of eggs sold during any period</t>
  </si>
  <si>
    <t>2-2503(j)</t>
  </si>
  <si>
    <t>Egg Law; Fail to mark all containers with official United States or Kansas grade AA, A or B identification with label to indicate that refrigeration is required</t>
  </si>
  <si>
    <t>2-2503(n)</t>
  </si>
  <si>
    <t>Egg Law; Falsely or deceptively label, advertise or invoice eggs</t>
  </si>
  <si>
    <t>2-2503(d)</t>
  </si>
  <si>
    <t>Egg Law; Grade eggs for size and quality for subs. resale to food purveyors, retailers or consumers without registering such purveyor's, retailer's or consumer's place of business</t>
  </si>
  <si>
    <t>2-2503(i)</t>
  </si>
  <si>
    <t>Egg Law; Hold eggs for human consumption at an ambient temperature higher than 45 degrees Fahrenheit after being received at the point of first purchase or assembly</t>
  </si>
  <si>
    <t>2-2503(f)</t>
  </si>
  <si>
    <t>Egg Law; Offer eggs for sale that have not been candled and graded</t>
  </si>
  <si>
    <t>2-2503(m)</t>
  </si>
  <si>
    <t>Egg Law; Refuse entry to any authorized inspector or employee of the department for the purpose of making inspections under the provisions of this act</t>
  </si>
  <si>
    <t>2-2503(k)</t>
  </si>
  <si>
    <t>Egg Law; Sale of eggs below the quality of "Grade B" to food purveyors or consumers</t>
  </si>
  <si>
    <t>2-2503(a)</t>
  </si>
  <si>
    <t>Egg Law; Sale of eggs to food purveyors/ consumers if not labeled to indicate size/quality</t>
  </si>
  <si>
    <t>2-2503(b)</t>
  </si>
  <si>
    <t>Egg Law; Sell eggs to food purveyors/ consumers without indicating on the container, the name of either dealer, retailer, food purveyor or agent by or for whom the eggs were graded or labeled</t>
  </si>
  <si>
    <t>2-2503(c)</t>
  </si>
  <si>
    <t>Egg Law; Sell to food purveyors/consumers eggs in a container not bearing an inspection fee stamp showing that the inspection fee has been paid thereon, unless exempt</t>
  </si>
  <si>
    <t>2-2503(g)</t>
  </si>
  <si>
    <t>Egg Law; Use an inspection fee stamp more than once; use of a counterfeit inspection fee stamp</t>
  </si>
  <si>
    <t>2-2503(h)</t>
  </si>
  <si>
    <t>Elections; Advance voting suppression; knowingly acting in a prohibited manner with intent to impede, obstruct or exert undue influence on the election process</t>
  </si>
  <si>
    <t>25-2433</t>
  </si>
  <si>
    <t>Elections; Authorized poll agent; any violation of this section</t>
  </si>
  <si>
    <t>25-3005a</t>
  </si>
  <si>
    <t>Elections; Bribe acceptance by an election official</t>
  </si>
  <si>
    <t>25-2418</t>
  </si>
  <si>
    <t>Elections; Bribery of an election official</t>
  </si>
  <si>
    <t>25-2417</t>
  </si>
  <si>
    <t>Elections; Bribery to induce signing of nomination papers; knowingly accepting any benefit, property or thing of value, as consideration for signing any nomination paper</t>
  </si>
  <si>
    <t>25-2410(b)</t>
  </si>
  <si>
    <t>Elections; Bribery to induce signing of nomination papers; knowingly offering any benefit, property or thing of value to any person to induce him to sign any nomination paper</t>
  </si>
  <si>
    <t>25-2410(a)</t>
  </si>
  <si>
    <t>Elections; Bribery; confer, offer or agree to confer, or solicit, accept or agree to accept any benefit as consideration to or from any person either to vote or withhold any person's vote, or to vote for or against any candidate or question submitted at any public election</t>
  </si>
  <si>
    <t>25-2409</t>
  </si>
  <si>
    <t>Elections; Candidate's receiving and expending less than $500, affidavit of intent; candidates exceeding $500 limit, report; report of contributions exceeding $50 and statement of expenditures and obligations incurred</t>
  </si>
  <si>
    <t>25-904</t>
  </si>
  <si>
    <t>Elections; Corrupt political advertising; broadcast by radio or TV any paid matter designed to aid, injure or defeat any candidate for nomination or election to public office, without including that it was an advertisement and the name of the chairman of the organization or the person responsible therefor</t>
  </si>
  <si>
    <t>25-2407(a)(2)</t>
  </si>
  <si>
    <t>Elections; Corrupt political advertising; broadcast by radio or TV any paid matter intended to influence the vote of any person or persons for or against any question submitted for a proposition to amend the constitution or to authorize the issuance of bonds or any other question submitted at an election, without including that it was an advertisement and the name of the chairman of the organization or the person responsible therefor</t>
  </si>
  <si>
    <t>25-2407(a)(4)</t>
  </si>
  <si>
    <t>Elections; Corrupt political advertising; Publish in a newspaper or other periodical any paid matter intended to influence the vote of any person or persons for or against any question submitted for a proposition to amend the constitution or to authorize the issuance of bonds or any other question submitted at an election, without including "advertisement" or "adv." with the name of the chairman of the organization or the person responsible therefor</t>
  </si>
  <si>
    <t>25-2407(a)(3)</t>
  </si>
  <si>
    <t>Elections; Corrupt political advertising; publish in a newspaper or other periodical, any paid matter designed to aid, injure or defeat any candidate for nomination or election to public office, without including "advertisement" or "adv." with the name of the chairman of the organization or the person responsible therefor</t>
  </si>
  <si>
    <t>25-2407(a)(1)</t>
  </si>
  <si>
    <t>Elections; Corrupt political advertising; publishing any brochure, flier or fact sheet intended to influence the vote of any person or persons for or against any question submitted for a proposition to amend the constitution or to authorize the issuance of bonds or any other question submitted at an election, without including that it was an advertisement and the name of the chairman of the organization or the person responsible therefor</t>
  </si>
  <si>
    <t>25-2407(a)(5)</t>
  </si>
  <si>
    <t>Elections; Destruction of Election Papers; destroy any certificate of nomination or nomination papers or any letter of withdrawal of a candidate</t>
  </si>
  <si>
    <t>25-2429</t>
  </si>
  <si>
    <t>Elections; Destruction of Election Supplies; destroy or deface any list of candidates, card of instruction, sample ballot or any election supplies</t>
  </si>
  <si>
    <t>25-2428</t>
  </si>
  <si>
    <t>Elections; Disorderly conduct; willfully approach or remain closer than 3 feet to any voting booth, voting machine or table being used by an election board</t>
  </si>
  <si>
    <t>25-2413(c)</t>
  </si>
  <si>
    <t>Elections; Disorderly conduct; willfully conduct advisory elections other than those specifically authorized by law within 250 feet from the entrance of a polling place during the hours the polls are open on election day</t>
  </si>
  <si>
    <t>25-2413(e)(2)</t>
  </si>
  <si>
    <t>Elections; Disorderly conduct; willfully disturb the peace in or about any voting place on election day</t>
  </si>
  <si>
    <t>25-2413(a)</t>
  </si>
  <si>
    <t>Elections; Disorderly conduct; willfully interrupt / hinder / obstruct a person approaching a voting place to vote</t>
  </si>
  <si>
    <t>25-2413(d)</t>
  </si>
  <si>
    <t>Elections; Disorderly conduct; willfully leave or attempt to leave a voting place in possession of any ballot</t>
  </si>
  <si>
    <t>25-2413(b)</t>
  </si>
  <si>
    <t>Elections; Disorderly conduct; willfully solicit contributions within 250 feet from the entrance of a polling place during the hours the polls are open on election day</t>
  </si>
  <si>
    <t>25-2413(e)(1)</t>
  </si>
  <si>
    <t>Elections; Election Campaign Finance; all receipts required to be forwarded to treasurer</t>
  </si>
  <si>
    <t>25-4147(d)</t>
  </si>
  <si>
    <t>Elections; Election Campaign Finance; appointment of campaign treasurer or candidate committee</t>
  </si>
  <si>
    <t>25-4144</t>
  </si>
  <si>
    <t>Elections; Election Campaign Finance; broadcasting or causing to be broadcast by radio or television any paid matter which expressly advocates the nomination, election or defeat of a clearly identified candidate for a state or local office, without "Paid for" or "Sponsored by" the name of the sponsoring organization and the name of the chairperson or treasurer of the political or other organization sponsoring the same or the name of the individual who is responsible therefore</t>
  </si>
  <si>
    <t>25-4156(b)(1)(B)</t>
  </si>
  <si>
    <t>Elections; Election Campaign Finance; candidate or candidate committee accepting from another candidate or candidate committee, moneys received by such candidate or candidate committee as a campaign contribution</t>
  </si>
  <si>
    <t>25-4157a(c)</t>
  </si>
  <si>
    <t>Elections; Election Campaign Finance; candidate or candidate committee of any candidate using moneys received as a contribution to pay interest or any other finance charges upon moneys loaned to the campaign by such candidate or the spouse of such candidate</t>
  </si>
  <si>
    <t>25-4157a(b)</t>
  </si>
  <si>
    <t>Elections; Election Campaign Finance; commingling of campaign and personal funds prohibited</t>
  </si>
  <si>
    <t>25-4147(e)</t>
  </si>
  <si>
    <t>Elections; Election Campaign Finance; commission records; confidentiality; release to certain persons</t>
  </si>
  <si>
    <t>25-4165</t>
  </si>
  <si>
    <t>Elections; Election Campaign Finance; contributions from political committees to be accompanied by name or description of interest group with which affiliated</t>
  </si>
  <si>
    <t>25-4147(f)</t>
  </si>
  <si>
    <t>Elections; Election Campaign Finance; contributions; candidate or candidate committee of any candidate using moneys received as a contribution or be making such available for the personal use of the candidate or the candidate committee of such candidate unless authorized herein</t>
  </si>
  <si>
    <t>25-4157a(a)</t>
  </si>
  <si>
    <t>Elections; Election Campaign Finance; copying any name of a contributor from any report or statement filed under the campaign finance act to use for any commercial purpose; use of any name for a commercial purpose knowing that such name was obtained solely by copying information relating to contributions contained in any report or statement filed under the campaign finance act</t>
  </si>
  <si>
    <t>25-4154(d)</t>
  </si>
  <si>
    <t>Elections; Election Campaign Finance; copying name of a contributor from any report filed under this section and using such name for any commercial purpose; using a name for a commercial purpose with knowledge that such name was obtained solely by copying information relating to contributions contained in any report filed under this section</t>
  </si>
  <si>
    <t>25-4186(f)</t>
  </si>
  <si>
    <t>Elections; Election Campaign Finance; excessive campaign contributions; intentionally accepting any contribution made in violation of any provision of K.S.A. 25-4153</t>
  </si>
  <si>
    <t>25-4170(b)</t>
  </si>
  <si>
    <t>Elections; Election Campaign Finance; excessive campaign contributions; intentionally making any contribution in violation of any provision of K.S.A. 25-4153</t>
  </si>
  <si>
    <t>25-4170(a)</t>
  </si>
  <si>
    <t>Elections; Election Campaign Finance; excessive charges for space in newspapers/periodicals</t>
  </si>
  <si>
    <t>25-4156(a)(1)</t>
  </si>
  <si>
    <t>Elections; Election Campaign Finance; fail to file affidavit of intent as required in K.S.A. 25-4173 or 25-4175 or failure to file the reports required after a change in intent as required by K.S.A. 25-4174 or 25-4176</t>
  </si>
  <si>
    <t>25-4177</t>
  </si>
  <si>
    <t>Elections; Election Campaign Finance; fail to file campaign finance report; intentional failure of any person required to make any report, amended report or statement by the campaign finance act to file the same with the secretary of state or county election officer at the time specified in the campaign finance act</t>
  </si>
  <si>
    <t>25-4167(a)</t>
  </si>
  <si>
    <t>Elections; Election Campaign Finance; fail to file financial reports of constitutional campaigns</t>
  </si>
  <si>
    <t>25-4180(a)</t>
  </si>
  <si>
    <t>Elections; Election Campaign Finance; fail to preserve accounts of any treasurer for inspection as required</t>
  </si>
  <si>
    <t>25-4147(b)</t>
  </si>
  <si>
    <t>Elections; Election Campaign Finance; failure of treasurer to keep detailed accounts of all contributions and other receipts received and all expenditures made</t>
  </si>
  <si>
    <t>25-4147(a)</t>
  </si>
  <si>
    <t>Elections; Election Campaign Finance; failure to contribute residual funds not otherwise obligated for the payment of expenses incurred in the campaign or the holding of office to appropriate party at termination of any campaign and prior to filing a termination report in accordance with K.S.A. 25-4157</t>
  </si>
  <si>
    <t>25-4157a(d)</t>
  </si>
  <si>
    <t>Elections; Election Campaign Finance; failure to file campaign finance report; intentional failure of any person required by K.S.A. 25-4172, and amendments thereto, to submit a statement to a treasurer to submit the same</t>
  </si>
  <si>
    <t>25-4167(b)</t>
  </si>
  <si>
    <t>Elections; Election Campaign Finance; fraudulent campaign finance reporting</t>
  </si>
  <si>
    <t>25-4168</t>
  </si>
  <si>
    <t>Elections; Election Campaign Finance; give or accept any contribution in excess of $10 without making the name and address of the contributor known to the individual receiving the contribution</t>
  </si>
  <si>
    <t>25-4154(b)</t>
  </si>
  <si>
    <t>Elections; Election Campaign Finance; making a contribution in the name of another person; accepting contribution knowing such to have been made by one person in the name of another</t>
  </si>
  <si>
    <t>25-4154(a)</t>
  </si>
  <si>
    <t>Elections; Election Campaign Finance; making or causing to be made any website, e-mail or other types of internet communication which expressly advocates the nomination, election or defeat of a clearly identified candidate for a state or local office, without the name of the chairperson or treasurer of the political or other organization sponsoring the same or the name of the individual who is responsible therefore; made by candidate, candidate's committee, political committee, or party committee and viewed by or disseminated to at least 25 individuals</t>
  </si>
  <si>
    <t>25-4156(b)(1)(E)</t>
  </si>
  <si>
    <t>Elections; Election Campaign Finance; moneys received by any inaugural treasurer used or made available for the personal use of the governor-elect or governor;  moneys used by such governor-elect or governor for purposes other than legitimate gubernatorial inauguration expenses</t>
  </si>
  <si>
    <t>25-4186(h)</t>
  </si>
  <si>
    <t>Elections; Election Campaign Finance; publishing or causing to be published any brochure, flier or other political fact sheet which expressly advocates the nomination, election or defeat of a clearly identified candidate for a state or local office, without the name of the chairperson or treasurer of the political or other organization sponsoring the same or the name of the individual who is responsible therefore</t>
  </si>
  <si>
    <t>25-4156(b)(1)(D)</t>
  </si>
  <si>
    <t>Elections; Election Campaign Finance; publishing or causing to be published in a newspaper or periodical any paid matter which expressly advocates the nomination, election or defeat of a clearly identified candidate for a state or local office, without the word "advertisement" or "adv." with the name of the chairperson or treasurer of the organization sponsoring the same or the name of the individual who is responsible therefore</t>
  </si>
  <si>
    <t>25-4156(b)(1)(A)</t>
  </si>
  <si>
    <t>Elections; Election Campaign Finance; removal of treasurer or chairperson; notification to Secretary of State</t>
  </si>
  <si>
    <t>25-4146</t>
  </si>
  <si>
    <t>Elections; Election Campaign Finance; reports; declaration of correctness; late filing</t>
  </si>
  <si>
    <t>25-4151</t>
  </si>
  <si>
    <t>Elections; Election Campaign Finance; statements of organization; contents and supplemental statements</t>
  </si>
  <si>
    <t>25-4145</t>
  </si>
  <si>
    <t>Elections; Election Campaign Finance; telephoning or causing to be contacted by telephonic means any paid matter which expressly advocates the nomination, election or defeat of a clearly identified candidate for a state or local office, without "Paid for" or "Sponsored by" the name of the sponsoring organization and the name of the chairperson or treasurer of the political or other organization sponsoring the same or the name of the individual who is responsible therefore</t>
  </si>
  <si>
    <t>25-4156(b)(1)(C)</t>
  </si>
  <si>
    <t>Elections; Election Campaign Finance; the aggregate amount contributed, in kind or otherwise, by any person for a gubernatorial inauguration shall not exceed $2,000; make such a contribution in the name of another person; knowingly accept a contribution made by one person in the name of another; give or accept any contribution in excess of $10 without knowing the name and address of the contributor; the aggregate of contributions for which the name and address of the contributor is not known shall not exceed 50% of the amount one person may contribute</t>
  </si>
  <si>
    <t>25-4186(e)</t>
  </si>
  <si>
    <t>Elections; Election Campaign Finance; the aggregate of contributions for which the name and address of the contributor is not reported under K.S.A. 25-4148 shall not exceed 50% of the amount one individual (other than the candidate or spouse) may contribute to or for a candidate's campaign</t>
  </si>
  <si>
    <t>25-4154(c)</t>
  </si>
  <si>
    <t>Elections; Election Campaign Finance; unauthorized disclosure of confidential information pertaining to an alleged violation of a provision of the campaign finance act</t>
  </si>
  <si>
    <t>25-4161(b)</t>
  </si>
  <si>
    <t>Elections; Election Campaign Finance; use of public funds, vehicles, machinery, equipment and supplies and time of certain officers and employees to influence nomination or election of candidate prohibited</t>
  </si>
  <si>
    <t>25-4169a(a)</t>
  </si>
  <si>
    <t>Elections; Election Tampering; while being charged with no election duty, make or change any election record</t>
  </si>
  <si>
    <t>25-2423(a)</t>
  </si>
  <si>
    <t>Elections; Electioneering</t>
  </si>
  <si>
    <t>25-2430(a)</t>
  </si>
  <si>
    <t>Elections; Electronic Voting System Fraud; intentionally tamper with, alter, disarrange, deface, impair or destroy any electronic or electromechanical system or component part thereof, or any ballot used by such systems</t>
  </si>
  <si>
    <t>25-4414(b)</t>
  </si>
  <si>
    <t>Elections; Electronic Voting System Fraud; unlawful or unauthorized possession of voting equipment, computer programs, operating systems, firmware, software or ballots</t>
  </si>
  <si>
    <t>25-4414(a)</t>
  </si>
  <si>
    <t>Elections; False impersonation as a party official</t>
  </si>
  <si>
    <t>25-2424</t>
  </si>
  <si>
    <t>Elections; False Impersonation of a Voter; representing oneself as another and then voting or attempting such</t>
  </si>
  <si>
    <t>25-2431(a)</t>
  </si>
  <si>
    <t>Elections; False statement on an advanced voting application for ballot</t>
  </si>
  <si>
    <t>25-1122d</t>
  </si>
  <si>
    <t>Elections; Forgery; knowingly, with intent to induce official action, sign or affix any name other than one's own to a certificate of nomination, nomination paper or any petition under the election laws of this state</t>
  </si>
  <si>
    <t>25-2412(a)</t>
  </si>
  <si>
    <t>Elections; Forgery; mark any other person's ballot contrary to the directions of such person</t>
  </si>
  <si>
    <t>25-2412(c)</t>
  </si>
  <si>
    <t>Elections; Forgery; mark any other person's ballot without such person's consent</t>
  </si>
  <si>
    <t>25-2412(b)</t>
  </si>
  <si>
    <t>Elections; Fraud by election officer; declare or otherwise proclaim election result based upon fraudulent, fictitious or illegal votes</t>
  </si>
  <si>
    <t>25-2420(g)</t>
  </si>
  <si>
    <t>Elections; Fraud by election officer; declare or otherwise proclaim false election result</t>
  </si>
  <si>
    <t>25-2420(f)</t>
  </si>
  <si>
    <t>Elections; Fraud by election officer; enter in poll book, registration book or party affiliation list the name of a person not qualified to vote</t>
  </si>
  <si>
    <t>25-2420(h)</t>
  </si>
  <si>
    <t>Elections; Fraud by election officer; enter in poll book, registration book or party affiliation list the name of a person who has not voted when in fact such person has not voted</t>
  </si>
  <si>
    <t>25-2420(i)</t>
  </si>
  <si>
    <t>Elections; Fraud by election officer; issue, grant, mail or deliver any false, fraudulent or illegal certificate of nomination or certificate of election</t>
  </si>
  <si>
    <t>25-2420(e)</t>
  </si>
  <si>
    <t>Elections; Fraud by election officer; possess falsely made, altered, forged or counterfeit poll books, registration books, party affiliation lists, election abstracts or returns or any other election papers</t>
  </si>
  <si>
    <t>25-2420(c)</t>
  </si>
  <si>
    <t>Elections; Fraud by election officer; receive vote by a person not registered otherwise not qualified to vote</t>
  </si>
  <si>
    <t>25-2420(a)</t>
  </si>
  <si>
    <t>Elections; Fraud by election officer; receive vote offered by a person who voted previously in same election</t>
  </si>
  <si>
    <t>25-2420(b)</t>
  </si>
  <si>
    <t>Elections; Fraud by election officer; receive, canvass, count or tally any ballots, votes or election returns which are fraudulent, forged, counterfeited or illegal</t>
  </si>
  <si>
    <t>25-2420(d)</t>
  </si>
  <si>
    <t>Elections; Intentionally inducing or aiding any person to vote in more than one jurisdiction in United States in election held on  particular date</t>
  </si>
  <si>
    <t>25-2434(a)(4)</t>
  </si>
  <si>
    <t>Elections; Intentionally inducing or aiding any person to vote more than once in same jurisdiction in election held on particular date</t>
  </si>
  <si>
    <t>25-2434(a)(3)</t>
  </si>
  <si>
    <t>Elections; Intentionally obstructing an employee in his or her exercise of voting privilege or imposing a penalty upon an employee exercising his or her voting privilege</t>
  </si>
  <si>
    <t>25-418</t>
  </si>
  <si>
    <t>Elections; Intentionally voting or attempting to vote in more than one jurisdiction in United States in election held on particular date</t>
  </si>
  <si>
    <t>25-2434(a)(2)</t>
  </si>
  <si>
    <t>Elections; Intentionally voting or attempting to vote more than once in same jurisdiction in election held on particular date</t>
  </si>
  <si>
    <t>25-2434(a)(1)</t>
  </si>
  <si>
    <t>Elections; Intercepting, interfering with, or delaying the transmission of advance voting ballots from the county election officer to the voter</t>
  </si>
  <si>
    <t>25-1128(d)</t>
  </si>
  <si>
    <t>Elections; Interfering with/delaying the transmission of any advance voting ballot application to the county election officer, or mailing, faxing or sending the application to a place other than the county election office</t>
  </si>
  <si>
    <t>25-1128(b)</t>
  </si>
  <si>
    <t>Elections; Intimidation of voters</t>
  </si>
  <si>
    <t>25-2415(a)(1)</t>
  </si>
  <si>
    <t>Elections; Intimidation of voters using media for false information</t>
  </si>
  <si>
    <t>25-2415(a)(2)</t>
  </si>
  <si>
    <t>Elections; Knowingly and falsely affirm, declare or subscribe to material fact in affirmation form for advance voting ballot</t>
  </si>
  <si>
    <t>25-1128(f)</t>
  </si>
  <si>
    <t>Elections; Marking ballots to identify</t>
  </si>
  <si>
    <t>25-2427</t>
  </si>
  <si>
    <t>Elections; Marking or transmitting to the county election officer more than one advance voting ballot</t>
  </si>
  <si>
    <t>25-1128(a)</t>
  </si>
  <si>
    <t>Elections; Misconduct of an election officer; being grossly neglectful in election duties</t>
  </si>
  <si>
    <t>25-2419(a)</t>
  </si>
  <si>
    <t>Elections; Misconduct of an election officer; changing the ballot of a voter</t>
  </si>
  <si>
    <t>25-2419(c)</t>
  </si>
  <si>
    <t>Elections; Misconduct of an election officer; furnish a voter with a ballot/informing such voter that any of its contents are different from that which appear thereon with intent to induce such voter to vote contrary to such voter's inclinations</t>
  </si>
  <si>
    <t>25-2419(b)</t>
  </si>
  <si>
    <t>Elections; Misconduct of an election officer; preventing a qualified elector from voting</t>
  </si>
  <si>
    <t>25-2419(e)</t>
  </si>
  <si>
    <t>Elections; Misconduct of an election officer; refusing to receive vote of a qualified elector when duly offered</t>
  </si>
  <si>
    <t>25-2419(f)</t>
  </si>
  <si>
    <t>Elections; Misconduct of an election officer; willfully permit any person to testify as a witness or make an affidavit contrary to law</t>
  </si>
  <si>
    <t>25-2419(d)</t>
  </si>
  <si>
    <t>Elections; Optical Scanning Equipment Fraud; intentionally tamper with, alter, disarrange, deface, impair or destroy any optical scanning equipment or component part thereof, or any ballot, operating system, firmware or software used by such system</t>
  </si>
  <si>
    <t>25-4612(b)</t>
  </si>
  <si>
    <t>Elections; Optical Scanning Equipment Fraud; unlawful or unauthorized possession of ballots, optical scanning equipment, computer programs, operating systems, firmware or software</t>
  </si>
  <si>
    <t>25-4612(a)</t>
  </si>
  <si>
    <t>Elections; Organizations promoting or opposing candidates or propositions required to have treasurer and keep accounts of receipts and expenditures and file annual statements</t>
  </si>
  <si>
    <t>25-901</t>
  </si>
  <si>
    <t>Elections; Perjury; falsely swearing, affirming, declaring or subscribing; statements in an affidavit prescribed by chapter 25 of the K.S.A. or other election law of the state, or by the secretary of state or county election officer under election laws of this state</t>
  </si>
  <si>
    <t>25-2411(c)</t>
  </si>
  <si>
    <t>Elections; Perjury; falsely swearing, affirming, declaring or subscribing; statements in answer to questions by a county election officer or deputy county election officer relating to application for voter registration of a person</t>
  </si>
  <si>
    <t>25-2411(d)</t>
  </si>
  <si>
    <t>Elections; Perjury; falsely swearing, affirming, declaring or subscribing; statements in answer to questions by an election board member to a person asking for voter assistance</t>
  </si>
  <si>
    <t>25-2411(e)</t>
  </si>
  <si>
    <t>Elections; Perjury; falsely swearing, affirming, declaring or subscribing; statements in answer to questions of a person challenged as unqualified to vote</t>
  </si>
  <si>
    <t>25-2411(a)</t>
  </si>
  <si>
    <t>Elections; Perjury; falsely swearing, affirming, declaring or subscribing; statements in answer to questions of a witness concerning the qualifications of a person to vote</t>
  </si>
  <si>
    <t>25-2411(b)</t>
  </si>
  <si>
    <t>Elections; Perjury; falsely swearing, affirming, declaring or subscribing; statements of any witness at an election contest</t>
  </si>
  <si>
    <t>25-2411(f)</t>
  </si>
  <si>
    <t>Elections; Person assisting a sick, physically disabled or illiterate voter in applying for or marking an advance voting ballot; knowingly and willfully fail to sign and submit the statement required by this section or who exercises undue influence on the voting decision of such voter</t>
  </si>
  <si>
    <t>25-1124</t>
  </si>
  <si>
    <t>Elections; Person other than the voter, marking, signing or transmitting any advance voting ballot or advance voting ballot envelope to the county election officer</t>
  </si>
  <si>
    <t>25-1128(c)</t>
  </si>
  <si>
    <t>Elections; Possess false or forged election supplies</t>
  </si>
  <si>
    <t>25-2414</t>
  </si>
  <si>
    <t>Elections; Printing and circulating sample or imitation ballots</t>
  </si>
  <si>
    <t>25-2426</t>
  </si>
  <si>
    <t>Elections; Registration of Voters; false swearing to an affidavit given pursuant to K.S.A. 25-2316c</t>
  </si>
  <si>
    <t>25-2316a</t>
  </si>
  <si>
    <t>Elections; Registration of Voters; use of voter registration lists for commercial purposes</t>
  </si>
  <si>
    <t>25-2320a</t>
  </si>
  <si>
    <t>Elections; Signing a name other than ones own name to a petition for recall of a local officer, or who knowingly signs more than once for the same proposition at one election, or who signs the petition knowing he or she is not a registered elector</t>
  </si>
  <si>
    <t>25-4321</t>
  </si>
  <si>
    <t>Elections; Signing a name other than ones own name to a petition for recall of a state officer, or who knowingly signs more than once for the same proposition at one election, or who signs the petition knowing he or she is not a registered elector</t>
  </si>
  <si>
    <t>25-4309(b)</t>
  </si>
  <si>
    <t>Elections; Suppression; possess of a certificate of nomination, nomination papers or petition for candidacy entitled to be filed under any of the election laws of this state and suppressing, neglecting or failing to file the same at the proper time in the proper office</t>
  </si>
  <si>
    <t>25-2421(b)</t>
  </si>
  <si>
    <t>Elections; Suppression; suppress a certificate of nomination, nomination papers, petition for nomination or any part thereof which has been duly filed</t>
  </si>
  <si>
    <t>25-2421(a)</t>
  </si>
  <si>
    <t>Elections; Unauthorized Voting Disclosure; disclose or expose contents of a ballot or manner in which the ballot has been voted</t>
  </si>
  <si>
    <t>25-2422(a)(1)</t>
  </si>
  <si>
    <t>Elections; Unauthorized Voting Disclosure; endeavor to induce a voter to show how the voter marks or has marked the voter's ballot</t>
  </si>
  <si>
    <t>25-2422(b)(2)</t>
  </si>
  <si>
    <t>Elections; Voter Registration Suppression; destroy any application for voter registration</t>
  </si>
  <si>
    <t>25-2421a(a)(1)</t>
  </si>
  <si>
    <t>Elections; Voter Registration Suppression; fail to deliver a signed application for voter registration</t>
  </si>
  <si>
    <t>25-2421a(a)(3)</t>
  </si>
  <si>
    <t>Elections; Voter Registration Suppression; obstruct delivery of a signed application for voter registration</t>
  </si>
  <si>
    <t>25-2421a(a)(2)</t>
  </si>
  <si>
    <t>Elections; Voting by new and former residents in presidential elections; knowingly and willfully falsely declaring any material fact in a declaration form provided in K.S.A. 25-1806</t>
  </si>
  <si>
    <t>25-1806a</t>
  </si>
  <si>
    <t>Elections; Voting Machine Fraud; being in unlawful or unauthorized possession of a voting machine key</t>
  </si>
  <si>
    <t>25-2425(a)</t>
  </si>
  <si>
    <t>Elections; Voting Machine Fraud; intentionally tamper with, alter, disarrange, deface, impair or destroy any voting machine, automatic ballot, voting machine label or register or record made by a voting machine</t>
  </si>
  <si>
    <t>25-2425(b)</t>
  </si>
  <si>
    <t>Elections; Voting without being qualified; knowingly voting or attempting to vote at any election by a person not a U.S. citizen</t>
  </si>
  <si>
    <t>25-2416(a)(2)</t>
  </si>
  <si>
    <t>Elections; Voting without being qualified; knowingly voting or attempting to vote at any election district when not a lawfully registered voter in such election district</t>
  </si>
  <si>
    <t>25-2416(a)(1)</t>
  </si>
  <si>
    <t>Elections; Willfully and falsely affirm, declare or subscribe to any material fact in an affirmation form for an advance voting ballot or in a declaration form on an advance voting ballot envelope</t>
  </si>
  <si>
    <t>25-1128(e)</t>
  </si>
  <si>
    <t>Electronic Solicitation; Of child believed to be 14 or more yrs of age but less than 16 yrs of age</t>
  </si>
  <si>
    <t>21-5509(a)</t>
  </si>
  <si>
    <t>Electronic Solicitation; Of child believed to be less than 14</t>
  </si>
  <si>
    <t>Embalmers &amp; Funeral Directors; Advertise, practice or hold oneself out as practicing the science of embalming without having complied with the provisions of this act</t>
  </si>
  <si>
    <t>65-1705</t>
  </si>
  <si>
    <t>Embalmers &amp; Funeral Directors; Crematory license required</t>
  </si>
  <si>
    <t>65-1768(a)</t>
  </si>
  <si>
    <t>Embalmers &amp; Funeral Directors; Crematory violations</t>
  </si>
  <si>
    <t>65-1766</t>
  </si>
  <si>
    <t>Embalmers &amp; Funeral Directors; Embalming without permission of coroner when suspicion of crime in connection with the cause of death</t>
  </si>
  <si>
    <t>65-1707</t>
  </si>
  <si>
    <t>Embalmers &amp; Funeral Directors; Fail, neglect or refuse to pay establishment fee</t>
  </si>
  <si>
    <t>65-1731</t>
  </si>
  <si>
    <t>Embalmers &amp; Funeral Directors; Funeral director's license required</t>
  </si>
  <si>
    <t>65-1714(a)</t>
  </si>
  <si>
    <t>Embalmers &amp; Funeral Directors; Holding oneself out as an operator in charge of a crematory when not so</t>
  </si>
  <si>
    <t>65-1768(f)</t>
  </si>
  <si>
    <t>Embalmers &amp; Funeral Directors; License required to perform embalming</t>
  </si>
  <si>
    <t>65-1703</t>
  </si>
  <si>
    <t>Embalmers &amp; Funeral Directors; Licensure of crematory required</t>
  </si>
  <si>
    <t>65-1761(a)</t>
  </si>
  <si>
    <t>Embalmers &amp; Funeral Directors; Operate, offer to operate, advertise or represent oneself as operating a funeral or branch establishment without license to do so</t>
  </si>
  <si>
    <t>65-1729(e)</t>
  </si>
  <si>
    <t>Embalmers &amp; Funeral Directors; Violate or refuse or neglect to obey rules and regulations pertaining to the practice of embalming and transportation of dead bodies</t>
  </si>
  <si>
    <t>65-1712</t>
  </si>
  <si>
    <t>Emergency Management Act; Violation of act, rules, regulations, orders or proclamations under act</t>
  </si>
  <si>
    <t>48-939</t>
  </si>
  <si>
    <t>Emergency Planning &amp; Community Right-To-Know; Fail to submit lists of chemicals and M.S.D.S sheets</t>
  </si>
  <si>
    <t>65-5707</t>
  </si>
  <si>
    <t>Employment Security Law; Knowingly make a false statement or representation or knowingly fail to disclose a material fact, to obtain or increase any benefit or other payment under this act; punished in accordance with K.S.A. 21-3701-Theft; less than $1,000</t>
  </si>
  <si>
    <t>44-719(a)</t>
  </si>
  <si>
    <t>Employment Security Law; Knowingly obtain or attempt to obtain a reduced liability for contributions</t>
  </si>
  <si>
    <t>44-719(f)</t>
  </si>
  <si>
    <t>Employment Security Law; Make a false statement or representation/fail to disclose a material fact, to obtain or increase any benefit or other payment under this act; $100,000 or more</t>
  </si>
  <si>
    <t>Employment Security Law; Make a false statement or representation/fail to disclose a material fact, to obtain or increase any benefit or other payment under this act; at least $1,000 but less than $25,000</t>
  </si>
  <si>
    <t>Employment Security Law; Make a false statement or representation/fail to disclose a material fact, to obtain or increase any benefit or other payment under this act; at least $25,000 but less than $100,000</t>
  </si>
  <si>
    <t>Employment Security Law; Make a false statement or representation/fail to disclose a material fact, to obtain or increase any benefit or other payment under this act; value less than $1,000 by a person with 2 or more prior theft convictions</t>
  </si>
  <si>
    <t>Employment Systems; Penalty for any violation of act</t>
  </si>
  <si>
    <t>19-4331</t>
  </si>
  <si>
    <t>Employment Systems; Use of one's authority/official influence to compel any officer/employee covered by the this act to apply for membership in or become a member of any organization</t>
  </si>
  <si>
    <t>19-4330</t>
  </si>
  <si>
    <t>EMS; Represent oneself as an attendant or instructor-coordinator without holding a valid certificate</t>
  </si>
  <si>
    <t>65-6150(a)</t>
  </si>
  <si>
    <t>EMS; Unlawful to operate ambulance service without a permit</t>
  </si>
  <si>
    <t>65-6125</t>
  </si>
  <si>
    <t>EMS; Violation of act, rule or regulation</t>
  </si>
  <si>
    <t>65-6137</t>
  </si>
  <si>
    <t>Endangering a Child; Knowingly and unreasonably cause or permit a child less than 18 yrs of age to be placed in situation in which child's life, body or health may be endangered</t>
  </si>
  <si>
    <t>21-5601(a)</t>
  </si>
  <si>
    <t>Endangering the Food Supply; Knowingly bring into this state any domestic animal which is affected with or exposed to any contagious or infectious disease</t>
  </si>
  <si>
    <t>21-6317(a)(1)</t>
  </si>
  <si>
    <t>Endangering the Food Supply; Knowingly bring into this state any domestic animal which is infected with or exposed to foot-and-mouth disease</t>
  </si>
  <si>
    <t>Endangering the Food Supply; Knowingly bring or release into this state any plant pest or expose any plant to a plant pest</t>
  </si>
  <si>
    <t>21-6317(a)(3)</t>
  </si>
  <si>
    <t>Endangering the Food Supply; Knowingly expose any animal in this state to any contagious or infectious disease</t>
  </si>
  <si>
    <t>21-6317(a)(2)</t>
  </si>
  <si>
    <t>Endangering the Food Supply; Knowingly expose any animal in this state to foot-and-mouth disease</t>
  </si>
  <si>
    <t>Endangering the Food Supply; Knowingly expose any raw agricultural commodity, animal feed or processed food to any contaminant or contagious or infectious disease</t>
  </si>
  <si>
    <t>21-6317(a)(4)</t>
  </si>
  <si>
    <t>Endangering the Food Supply; Knowingly expose any raw agricultural commodity, animal feed or processed food to foot-and-mouth disease</t>
  </si>
  <si>
    <t>Endangerment; Recklessly exposing another person to a danger of great bodily harm or death</t>
  </si>
  <si>
    <t>21-5429</t>
  </si>
  <si>
    <t>Escape From Custody; While held in custody on a charge or adjudication or arrest as a juvenile offender where the act, if committed by an adult, would constitute a misdemeanor</t>
  </si>
  <si>
    <t>21-5911(a)(2)</t>
  </si>
  <si>
    <t>Escape From Custody; While held in custody on a charge, conviction of or arrest for a misdemeanor</t>
  </si>
  <si>
    <t>21-5911(a)(1)</t>
  </si>
  <si>
    <t>Escape From Custody; While held in custody on a commitment to the state security hospital as provided in K.S.A. 22-3428, based on a finding that the person committed an act constituting a misdemeanor or by a person 18 years of age or over who is being held in custody on an adjudication of a misdemeanor</t>
  </si>
  <si>
    <t>21-5911(a)(3)</t>
  </si>
  <si>
    <t>Examination/Registration/Licensing &amp; Bonding of Abstracters; Unlawful for county officers to prevent use of records</t>
  </si>
  <si>
    <t>58-2810</t>
  </si>
  <si>
    <t>Examination/Registration/Licensing &amp; Bonding of Abstracters; Violation by licensee</t>
  </si>
  <si>
    <t>58-2809</t>
  </si>
  <si>
    <t>Expanded Lottery Act; Knowingly cheating including possession of or use of cheating device</t>
  </si>
  <si>
    <t>74-8760(c)</t>
  </si>
  <si>
    <t>Expanded Lottery Act; Manipulation of an electronic gaming machine or lottery facility game with intent to change the outcome, pay out or operation thereof</t>
  </si>
  <si>
    <t>74-8759</t>
  </si>
  <si>
    <t>Expanded Lottery Act; Place in operation, continue to operate any gray machine for use by the public</t>
  </si>
  <si>
    <t>74-8761</t>
  </si>
  <si>
    <t>Expanded Lottery Act; Unauthorized playing of an electronic gaming machine at lottery gaming facility; 1st offense</t>
  </si>
  <si>
    <t>74-8758(b)</t>
  </si>
  <si>
    <t>Expanded Lottery Act; Unauthorized playing of an electronic gaming machine at lottery gaming facility; 2nd or subs. offense</t>
  </si>
  <si>
    <t>Expanded Lottery Act; Unauthorized playing of an electronic gaming machine at racetrack gaming facility; 1st offense</t>
  </si>
  <si>
    <t>74-8758(a)</t>
  </si>
  <si>
    <t>Expanded Lottery Act; Unauthorized playing of an electronic gaming machine at racetrack gaming facility; 2nd or subs. offense</t>
  </si>
  <si>
    <t>Expanded Lottery Act; Unauthorized wagering or playing electronic gaming machine by select persons at racetrack gaming facility</t>
  </si>
  <si>
    <t>74-8760(b)</t>
  </si>
  <si>
    <t>Expanded Lottery Act; Unauthorized wagering or playing electronic gaming machine or lottery facility game by select persons at lottery gaming facility</t>
  </si>
  <si>
    <t>74-8760(a)</t>
  </si>
  <si>
    <t>Expanded Lottery Act; Wager and loan violations; 1st offense</t>
  </si>
  <si>
    <t>74-8756</t>
  </si>
  <si>
    <t>Expanded Lottery Act; Wager and loan violations; 2nd or subs. offense</t>
  </si>
  <si>
    <t>Expanded Lottery Act; Willful violations of restrictions on officials and affiliated persons</t>
  </si>
  <si>
    <t>74-8762</t>
  </si>
  <si>
    <t>Exposing Another to a Life Threatening Communicable Disease; Intentionally and knowingly engage in sexual intercourse or sodomy with another individual</t>
  </si>
  <si>
    <t>21-5424(a)(1)</t>
  </si>
  <si>
    <t>Exposing Another to a Life Threatening Communicable Disease; Intentionally and knowingly sell or donate one's own blood, blood products, semen, tissue, organs or other body fluids</t>
  </si>
  <si>
    <t>21-5424(a)(2)</t>
  </si>
  <si>
    <t>Exposing Another to a Life Threatening Communicable Disease; Intentionally and knowingly share a hypodermic needle, syringe, or both, with another</t>
  </si>
  <si>
    <t>21-5424(a)(3)</t>
  </si>
  <si>
    <t>Extortion; Threat or promise to diminish or eliminate competition</t>
  </si>
  <si>
    <t>21-6501(a)(2)(A)</t>
  </si>
  <si>
    <t>Extortion; Threat or promise to increase, decrease or maintain the price of goods or services purchased or sold</t>
  </si>
  <si>
    <t>21-6501(a)(2)(B)</t>
  </si>
  <si>
    <t>Extortion; Threat or promise to protect the business, person or family of the owner, proprietor or interested person by violence or other unlawful means</t>
  </si>
  <si>
    <t>21-6501(a)(2)(C)</t>
  </si>
  <si>
    <t>Failure to Appear; Knowingly incurring a forfeiture of an appearance bond and failing to surrender oneself within 30 days of forfeiture by one charged with or convicted of a misdemeanor</t>
  </si>
  <si>
    <t>21-5915(a)</t>
  </si>
  <si>
    <t>Failure to Maintain Adequate Records; Negligently fail to maintain records necessary to fully disclose all income and expenditures upon which rates of medical payments were based</t>
  </si>
  <si>
    <t>21-5930(a)(2)</t>
  </si>
  <si>
    <t>Failure to Maintain Adequate Records; Negligently fail to maintain records necessary to fully disclose the nature of goods, services, items, facilities or accommodations for which a medicaid claim was submitted or payment received</t>
  </si>
  <si>
    <t>21-5930(a)(1)</t>
  </si>
  <si>
    <t>Failure to register an aircraft</t>
  </si>
  <si>
    <t>21-5935(a)</t>
  </si>
  <si>
    <t>Failure to Register Explosives; Receipt of explosives or detonating substance</t>
  </si>
  <si>
    <t>21-6311(a)(2)</t>
  </si>
  <si>
    <t>Failure to Register Explosives; Sale of explosives or detonating substance</t>
  </si>
  <si>
    <t>21-6311(a)(1)</t>
  </si>
  <si>
    <t>Failure to Remain; At scene of accident resulting in death of any person</t>
  </si>
  <si>
    <t>8-1602(a)</t>
  </si>
  <si>
    <t>Failure to Remain; At scene of accident resulting in death of any person, if the person knew or reasonably should have known that such accident resulted in injury or death</t>
  </si>
  <si>
    <t>Failure to Remain; At scene of accident resulting in great bodily harm to any person</t>
  </si>
  <si>
    <t>Failure to Remain; At scene of accident resulting in injury to any person or total property damages in excess of $1,000 or more</t>
  </si>
  <si>
    <t>Failure to Remain; At scene of accident resulting in total property damages or less than $1,000; 1st offense</t>
  </si>
  <si>
    <t>Failure to Remain; At scene of accident resulting in total property damages or less than $1,000; 2nd offense within 1 yr of the 1st offense</t>
  </si>
  <si>
    <t>Failure to Remain; At scene of accident resulting in total property damages or less than $1,000; 3rd or subs. offense within 1 yr of the 1st</t>
  </si>
  <si>
    <t>Failure to Report a Wound; Any bullet wound, gunshot wound, powder burn or other injury arising from or caused by a firearm</t>
  </si>
  <si>
    <t>21-6319(a)(1)</t>
  </si>
  <si>
    <t>Failure to Report a Wound; Any wound potentially resulting in death and apparently inflicted by a knife, ice pick, or other sharp or pointed instrument</t>
  </si>
  <si>
    <t>21-6319(a)(2)</t>
  </si>
  <si>
    <t>Failure to Report Accident; Fail to file written report as required; 1st violation</t>
  </si>
  <si>
    <t>8-1609</t>
  </si>
  <si>
    <t>Failure to Report Accident; Fail to file written report as required; 2nd violation within 1 yr of 1st offense</t>
  </si>
  <si>
    <t>Failure to Report Accident; Fail to file written report as required; 3rd violation within 1 yr of 1st offense</t>
  </si>
  <si>
    <t>Failure to Report Accident; Resulting in damage to unattended vehicle or property; 1st offense</t>
  </si>
  <si>
    <t>8-1605(a)</t>
  </si>
  <si>
    <t>Failure to Report Accident; Resulting in damage to unattended vehicle or property; 2nd offense within 1 yr of the 1st offense</t>
  </si>
  <si>
    <t>Failure to Report Accident; Resulting in damage to unattended vehicle or property; 3rd or subs. offense within 1 yr of the 1st offense</t>
  </si>
  <si>
    <t>Failure to Report the Death of a Child; Knowingly failing to report the death to law enforcement officer or agencies with intent to conceal a crime by certain person required to report abuse or neglect in K.S.A. 38-2223</t>
  </si>
  <si>
    <t>21-5938(b)(1)(B)</t>
  </si>
  <si>
    <t>Failure to Report the Death of a Child; Knowingly failing to report the death to law enforcement officer or agencies with intent to conceal a crime by parent, legal guardian or caretaker</t>
  </si>
  <si>
    <t>21-5938(b)(1)(A)</t>
  </si>
  <si>
    <t>Failure to Report the Disappearance of a Child under 13; Knowingly failing to report the disappearance to law enforcement officer or agencies by parent, legal guardian or caretaker when person knows or reasonably should know child has been missing, with intent to conceal commission of a crime</t>
  </si>
  <si>
    <t>21-5938(a)(1)</t>
  </si>
  <si>
    <t>Failure to Report the Disappearance of a Child under 13; Knowingly failing to report the disappearance to law enforcement officer or agencies by parent, legal guardian or caretaker when person knows that child is missing and has reason to believe that child is in imminent danger of death or great bodily harm</t>
  </si>
  <si>
    <t>21-5938(a)(2)</t>
  </si>
  <si>
    <t>Fair Credit Reporting Act; Any violation of K.S.A. 50-701 to 50-719, inclusive, unless otherwise provided</t>
  </si>
  <si>
    <t>50-720</t>
  </si>
  <si>
    <t>Fair Credit Reporting Act; Obtaining information under false pretenses</t>
  </si>
  <si>
    <t>50-718</t>
  </si>
  <si>
    <t>Fair Credit Reporting Act; Unauthorized disclosures by officers or employees</t>
  </si>
  <si>
    <t>50-719</t>
  </si>
  <si>
    <t>False Alarm; Knowingly making an emergency assistance call</t>
  </si>
  <si>
    <t>21-6207(a)(2)</t>
  </si>
  <si>
    <t>False Alarm; Knowingly making an emergency assistance call; including false information that violent criminal activity or immediate threat to a person's life or safety is taking place</t>
  </si>
  <si>
    <t>False Alarm; Knowingly making an emergency assistance call; using electronic device or software to alter, conceal or disguise identity</t>
  </si>
  <si>
    <t>False Alarm; Knowingly transmitting a false fire alarm</t>
  </si>
  <si>
    <t>21-6207(a)(1)</t>
  </si>
  <si>
    <t>False Alarm; Knowingly transmitting a false fire alarm; including false information that violent criminal activity or immediate threat to a person's life or safety is taking place</t>
  </si>
  <si>
    <t>False Alarm; Knowingly transmitting a false fire alarm; using electronic device or software to alter, conceal or disguise identity</t>
  </si>
  <si>
    <t>False Impersonation</t>
  </si>
  <si>
    <t>21-5917(a)</t>
  </si>
  <si>
    <t>False Information or Report; Knowingly give false information or report concerning accident</t>
  </si>
  <si>
    <t>8-1608</t>
  </si>
  <si>
    <t>False Membership Claim; Knowingly and falsely represent oneself to be a member of a fraternal or veteran's organization</t>
  </si>
  <si>
    <t>21-6410(a)</t>
  </si>
  <si>
    <t>False Signing of a Petition; Knowingly affixing any fictitious or unauthorized signature to document intended to presented to the legislature or any agency or officer of the state</t>
  </si>
  <si>
    <t>21-5916(a)</t>
  </si>
  <si>
    <t>False Writing; Make, generate, distribute or draw, any written instrument, electronic data or entry in a book of account knowing that such information falsely states or represents some material matter or is not what it purports to be, and with intent to defraud, obstruct the detection of a theft or felony offense or induce official action</t>
  </si>
  <si>
    <t>21-5824(a)</t>
  </si>
  <si>
    <t>Farm Produce; Dressed poultry; increasing weight prohibited</t>
  </si>
  <si>
    <t>2-1113</t>
  </si>
  <si>
    <t>Farm Produce; Failure to maintain purchase memorandum manifesting the name and address of the seller, the number and kinds or colors of poultry purchased as required</t>
  </si>
  <si>
    <t>2-1110</t>
  </si>
  <si>
    <t>Farm Produce; Fraudulent examination of records; penalty for violation</t>
  </si>
  <si>
    <t>2-1112</t>
  </si>
  <si>
    <t>Farm Produce; Unlawful sale of dressed poultry</t>
  </si>
  <si>
    <t>2-1114</t>
  </si>
  <si>
    <t>Farm Produce; Unlawful use of end intake air probes; penalty</t>
  </si>
  <si>
    <t>2-1117</t>
  </si>
  <si>
    <t>Fees &amp; Salaries; Certain Counties over 140,000;  penalties for violation of 1911 act ; officer, deputy, assistant or clerk, who fails to perform any of the duties prescribed by this act</t>
  </si>
  <si>
    <t>28-318</t>
  </si>
  <si>
    <t>Fees &amp; Salaries; Counties between 130,000 and 185,000; officer, deputy, assistant or clerk, who fails to perform any of the duties prescribed by this act</t>
  </si>
  <si>
    <t>28-226</t>
  </si>
  <si>
    <t>Fees &amp; Salaries; Counties Designated Urban Areas; officer, deputy, assistant or clerk, who fails to perform any of the duties prescribed by this act</t>
  </si>
  <si>
    <t>28-1008</t>
  </si>
  <si>
    <t>Fees &amp; Salaries; Counties over 300,000; officer, deputy, assistant or clerk, who fails to perform any of the duties prescribed by this act</t>
  </si>
  <si>
    <t>28-619</t>
  </si>
  <si>
    <t>Female Genital Mutilation; Causing or permitting another to perform the acts described in (a)(1) or (a)(2) by a parent, caretaker or guardian</t>
  </si>
  <si>
    <t>21-5431(a)(3)</t>
  </si>
  <si>
    <t>Female Genital Mutilation; Knowingly circumcising, excising or infibulating the whole or part of the labia majora, labia minora or clitoris of a female under 18</t>
  </si>
  <si>
    <t>21-5431(a)(1)</t>
  </si>
  <si>
    <t>Female Genital Mutilation; Removing a female under 18 from the state for the purpose of circumcising, excising or infibulating the whole or part of the labia majora, labia minora or clitoris of such female</t>
  </si>
  <si>
    <t>21-5431(a)(2)</t>
  </si>
  <si>
    <t>Fences; Legal Enclosures; interfering with fence described in K.S.A. 29-106 or leaving gates open</t>
  </si>
  <si>
    <t>29-107</t>
  </si>
  <si>
    <t>Fertilizers; Fail or neglect to file the tonnage reports or affidavit or pay the inspection fee</t>
  </si>
  <si>
    <t>2-1208(2)(b)</t>
  </si>
  <si>
    <t>Fertilizers; Failure to provide, or have available for use, safety material and effective safety equipment, as required by regulation</t>
  </si>
  <si>
    <t>2-1218(c)</t>
  </si>
  <si>
    <t>Fertilizers; Handling/Storage/Disposal; failure to comply with a stop sale order or stop use order issued pursuant to K.S.A. 2-1232</t>
  </si>
  <si>
    <t>2-1230(f)</t>
  </si>
  <si>
    <t>Fertilizers; Handling/Storage/Disposal; failure to provide, or have available for use, safety material and effective safety equipment, as required by regulation</t>
  </si>
  <si>
    <t>2-1230(c)</t>
  </si>
  <si>
    <t>Fertilizers; Handling/Storage/Disposal; impede, obstruct or hinder, prevent or to attempt to prevent, authorized personnel/employee in performance of duties in connection with administration of this act</t>
  </si>
  <si>
    <t>2-1230(e)</t>
  </si>
  <si>
    <t>Fertilizers; Handling/Storage/Disposal; penalty for violation of any rule and regulation adopted under K.S.A. 2-1227</t>
  </si>
  <si>
    <t>2-1230(d)</t>
  </si>
  <si>
    <t>Fertilizers; Handling/Storage/Disposal; unlawful operation of facilities or equipment</t>
  </si>
  <si>
    <t>2-1230(a)</t>
  </si>
  <si>
    <t>Fertilizers; Handling/Storage/Disposal; use of defective/unsafe product container, piping, valve, hose, appurtenances or other equipment for handling/storage of commercial fertilizer and fertilizer materials</t>
  </si>
  <si>
    <t>2-1230(b)</t>
  </si>
  <si>
    <t>Fertilizers; Impede, obstruct or hinder, or to otherwise prevent or to attempt to prevent, authorized personnel/employee in performance of duties in connection with administration of this act</t>
  </si>
  <si>
    <t>2-1218(d)</t>
  </si>
  <si>
    <t>Fertilizers; Impede, obstruct, hinder or otherwise prevent or attempt to prevent the secretary/authorized agent in performance of their duty in connection with administration of provisions of this act</t>
  </si>
  <si>
    <t>2-1208(2)(c)</t>
  </si>
  <si>
    <t>Fertilizers; Mutilate, destroy, obliterate or remove the label or any part thereof; or do any act which may result in the misbranding or false labeling of any commercial fertilizer</t>
  </si>
  <si>
    <t>2-1208(2)(a)</t>
  </si>
  <si>
    <t>Fertilizers; Unauthorized failure to comply with the requirements of K.S.A. 2-1201a</t>
  </si>
  <si>
    <t>2-1201b(a)(2)</t>
  </si>
  <si>
    <t>Fertilizers; Unlawful operation of any anhydrous ammonia facility, any transportation equipment, or unlawful sale/offer to sell any anhydrous ammonia</t>
  </si>
  <si>
    <t>2-1218(a)</t>
  </si>
  <si>
    <t>Fertilizers; Unlicensed sale or distribution of any custom blended fertilizer</t>
  </si>
  <si>
    <t>2-1201b(a)(1)</t>
  </si>
  <si>
    <t>Fertilizers; Use of any product container, piping, valve, hose, appurtenances or other equipment for handling anhydrous ammonia which is defective or which is otherwise unsafe</t>
  </si>
  <si>
    <t>2-1218(b)</t>
  </si>
  <si>
    <t>Fetal Organs &amp; Tissue; Annual written report to the secretary of the department of health and environment required for any transfer of fetal tissue to another person; contents</t>
  </si>
  <si>
    <t>65-67a05(a)</t>
  </si>
  <si>
    <t>Fetal Organs &amp; Tissue; Breach in Confidentiality of information obtained under this section</t>
  </si>
  <si>
    <t>65-67a05(d)</t>
  </si>
  <si>
    <t>Fetal Organs &amp; Tissue; Breach in confidentiality of the donating woman's identity</t>
  </si>
  <si>
    <t>65-67a05(b)</t>
  </si>
  <si>
    <t>Fetal Organs &amp; Tissue; Intentional, knowing or reckless use of fetal organs or tissue for medical, scientific, experimental or therapeutic use with out voluntary and informed consent of the woman donating such tissue</t>
  </si>
  <si>
    <t>65-67a07(a)</t>
  </si>
  <si>
    <t>Fetal Organs &amp; Tissue; Offer any monetary or other inducement to person for the purpose of procuring an abortion for the medical, scientific, experimental or therapeutic use of fetal organs or tissue</t>
  </si>
  <si>
    <t>65-67a06(a)</t>
  </si>
  <si>
    <t>Fetal Organs &amp; Tissue; Offer or accept any valuable consideration for the fetal organs or tissue resulting from an abortion</t>
  </si>
  <si>
    <t>65-67a06(b)</t>
  </si>
  <si>
    <t>Fetal Organs &amp; Tissue; Reports required by this section shall identify the name and address of the person submitting such report only by confidential code number</t>
  </si>
  <si>
    <t>65-67a05(e)</t>
  </si>
  <si>
    <t>Fetal Organs &amp; Tissue; Ship fetal tissue without disclosing to the delivery service that human tissue is contained in such shipment</t>
  </si>
  <si>
    <t>65-67a05(c)</t>
  </si>
  <si>
    <t>Fetal Organs &amp; Tissue; Solicit, offer, knowingly acquire or accept or transfer any fetal tissue for consideration</t>
  </si>
  <si>
    <t>65-67a04(a)</t>
  </si>
  <si>
    <t>Fetal Organs &amp; Tissue; Solicit, offer, knowingly acquire or accept or transfer any fetal tissue for the purpose of transplanting such into another where tissue was obtained from abortion with promise that the donated tissue will be transplanted into a recipient specified by the donating individual</t>
  </si>
  <si>
    <t>65-67a04(b)</t>
  </si>
  <si>
    <t>Fire Safety &amp; Prevention; Sale to or purchase by fire department of clothing or equipment which does not meet standards set by national fire protection association</t>
  </si>
  <si>
    <t>31-158(a)</t>
  </si>
  <si>
    <t>Fire Safety &amp; Prevention; Violations of fire prevention code</t>
  </si>
  <si>
    <t>31-150a(a)</t>
  </si>
  <si>
    <t>Fire Safety and Prevention; Bottle rockets; Unlawful selling, offering or possession with intent to sell or offer for sale</t>
  </si>
  <si>
    <t>31-507(a)(1)</t>
  </si>
  <si>
    <t>Fire Safety and Prevention; Bottle rockets; Unlawful use, firing, setting off or ignition</t>
  </si>
  <si>
    <t>31-507(a)(2)</t>
  </si>
  <si>
    <t>Firearms; Possession of a firearm under the influence; knowingly possess or carry a firearm under the influence of alcohol or drugs to such a degree as to render such person incapable of safely operating</t>
  </si>
  <si>
    <t>21-6332(a)</t>
  </si>
  <si>
    <t>Fleeing or Attempting to Elude a Law Enforcement Officer - 1st conviction</t>
  </si>
  <si>
    <t>8-1568(a)</t>
  </si>
  <si>
    <t>Fleeing or Attempting to Elude a Law Enforcement Officer - 2nd conviction</t>
  </si>
  <si>
    <t>Fleeing or Attempting to Elude a LEO; 3rd or subs. conviction</t>
  </si>
  <si>
    <t>Fleeing or Attempting to Elude a LEO; Evade road block, drive reckless, involved in accident, commit 5 moving violations, attempt to elude from felony capture</t>
  </si>
  <si>
    <t>8-1568(b)</t>
  </si>
  <si>
    <t>Flood Control; Failure to obtain excavation permit</t>
  </si>
  <si>
    <t>19-3310</t>
  </si>
  <si>
    <t>Food Advertising &amp; Sales Practices; Any violation of act; 1st offense</t>
  </si>
  <si>
    <t>50-904(a)</t>
  </si>
  <si>
    <t>Food Advertising &amp; Sales Practices; Any violation of act; 2nd offense</t>
  </si>
  <si>
    <t>Food Advertising &amp; Sales Practices; Any violation of act; 3rd or subs.</t>
  </si>
  <si>
    <t>Food, Drugs &amp; Cosmetics Act; Adulterate or misbranded any food, drug, device, or cosmetic</t>
  </si>
  <si>
    <t>65-657(b)</t>
  </si>
  <si>
    <t>Food, Drugs &amp; Cosmetics Act; Alteration, mutilation, destruction, obliteration or removal of the whole or any part of the labeling of, or the doing of any other act with respect to a food, drug, device or cosmetic, if such act is done while such article is held for sale and results in such article being misbranded</t>
  </si>
  <si>
    <t>65-657(h)</t>
  </si>
  <si>
    <t>Food, Drugs &amp; Cosmetics Act; Dispense a different drug or brand of drug in place of the one ordered or prescribed without express permission in each case of the person ordering or prescribing</t>
  </si>
  <si>
    <t>65-657(n)</t>
  </si>
  <si>
    <t>Food, Drugs &amp; Cosmetics Act; Dissemination of any false advertisement</t>
  </si>
  <si>
    <t>65-657(d)</t>
  </si>
  <si>
    <t>Food, Drugs &amp; Cosmetics Act; Forging, counterfeiting, simulating or falsely representing, or without proper authority using any mark, stamp, tag, label or other identification method authorized, or required by rules and regulations promulgated under the provisions of this act</t>
  </si>
  <si>
    <t>65-657(i)</t>
  </si>
  <si>
    <t>Food, Drugs &amp; Cosmetics Act; Giving of a guaranty or undertaking which is false</t>
  </si>
  <si>
    <t>65-657(f)</t>
  </si>
  <si>
    <t>Food, Drugs &amp; Cosmetics Act; Knowingly kill, sell, trade, exchange or offer to sell trade or exchange any diseased animal for human consumption</t>
  </si>
  <si>
    <t>65-657(o)</t>
  </si>
  <si>
    <t>Food, Drugs &amp; Cosmetics Act; Knowingly purchase or otherwise obtain possession of any diseased animal for the purpose and intent of disposing the same for food</t>
  </si>
  <si>
    <t>65-657(p)</t>
  </si>
  <si>
    <t>Food, Drugs &amp; Cosmetics Act; Make, sell, dispose of or cause such, or possess with intent to defraud, any item designed to print, imprint or reproduce a trade name or other identifying mark or imprint of another or any likeness of any of the foregoing upon any drug, device or container thereof</t>
  </si>
  <si>
    <t>65-657(m)(3)</t>
  </si>
  <si>
    <t>Food, Drugs &amp; Cosmetics Act; Manufacturer, packer or distributor of a prescription drug; fail to maintain for transmittal, or fail to transmit, copies of printed matter required to be included in drug packaging, or other federally approved printed matter, to any practitioner licensed to administer such drug, upon request</t>
  </si>
  <si>
    <t>65-657(l)</t>
  </si>
  <si>
    <t>Food, Drugs &amp; Cosmetics Act; Offer or expose for sale at retail, for human consumption, any slaughtered wild or domestic fowl, rabbit, squirrel or other small animal unless entrails, crops and other offensive parts are drawn and removed and carcass cooled until delivery to end consumer</t>
  </si>
  <si>
    <t>65-657(q)</t>
  </si>
  <si>
    <t>Food, Drugs &amp; Cosmetics Act; Place, or cause to be placed, upon any drug or device or container thereof, with intent to defraud, the trade name or other identifying mark, or imprint of another or any likeness of any of the foregoing</t>
  </si>
  <si>
    <t>65-657(m)(1)</t>
  </si>
  <si>
    <t>Food, Drugs &amp; Cosmetics Act; Receipt in commerce of any food, drug, device or cosmetic knowing it to be adulterated or misbranded, and the delivery or proffered delivery thereof for pay or otherwise</t>
  </si>
  <si>
    <t>65-657(c)</t>
  </si>
  <si>
    <t>Food, Drugs &amp; Cosmetics Act; Recklessly or intentionally violate the provisions of the food, drug and cosmetic act, or its rules and regulations</t>
  </si>
  <si>
    <t>65-682(d)</t>
  </si>
  <si>
    <t>Food, Drugs &amp; Cosmetics Act; Refuse to permit entry, inspection, or taking of a sample, as authorized by K.S.A. 65-674</t>
  </si>
  <si>
    <t>65-657(e)</t>
  </si>
  <si>
    <t>Food, Drugs &amp; Cosmetics Act; Remove or dispose of a detained or embargoed article in violation of K.S.A. 65-660 and amendments thereto</t>
  </si>
  <si>
    <t>65-657(g)</t>
  </si>
  <si>
    <t>Food, Drugs &amp; Cosmetics Act; Sell, dispense, dispose of or conceal or possess with intent to sell, any drug, device or any container thereof, knowing that the trade name or other identifying mark or imprint of another or any likeness of any of the foregoing has been placed thereon with intent 65-657(m)(1)</t>
  </si>
  <si>
    <t>65-657(m)(2)</t>
  </si>
  <si>
    <t>Food, Drugs &amp; Cosmetics Act; The processing, storage or distribution of any food, drug, device, or cosmetic that is adulterated or misbranded</t>
  </si>
  <si>
    <t>65-657(a)</t>
  </si>
  <si>
    <t>Food, Drugs &amp; Cosmetics Act; Using of any person to such person's own advantage, or revealing, any information acquired under authority of this act concerning a trade secret under the uniform trade secrets act, K.S.A. 60-3320 et seq. and amendments thereto, which is entitled to protection</t>
  </si>
  <si>
    <t>65-657(j)</t>
  </si>
  <si>
    <t>Food, Drugs &amp; Cosmetics Act; Using, on the labeling of any drug or in any advertisement relating to such drug, any representation or suggestion that an application with respect to such drug is effective under K.S.A. 65-669a, and amendments thereto, or that such drug complies with the provisions of such section</t>
  </si>
  <si>
    <t>65-657(k)</t>
  </si>
  <si>
    <t>Food, Drugs &amp; Cosmetics Act; Wholesale, retail food establishments, processing plants and peddlers; Failing to protect slaughtered fresh meats, fish, fowl or game for human consumption from dust, flies and other vermin or other substances that that may injuriously affect it</t>
  </si>
  <si>
    <t>65-657(r)</t>
  </si>
  <si>
    <t>Food, Drugs &amp; Cosmetics; Sell prescription medicine, prescription-only drug, drug which contains ephedrine alkaloids, drug intended for human use by hypodermic injection or poison via vending machine</t>
  </si>
  <si>
    <t>65-650(a)</t>
  </si>
  <si>
    <t>Food, Drugs &amp; Cosmetics; Violate requirements for sale of nonprescription drugs via vending machine</t>
  </si>
  <si>
    <t>65-650(b)</t>
  </si>
  <si>
    <t>Forgery; With intent to defraud; Issuing or delivering a forged instrument knowing it is forged</t>
  </si>
  <si>
    <t>21-5823(a)(2)</t>
  </si>
  <si>
    <t>Forgery; With intent to defraud; Possess, with intent to issue or deliver, any forged instrument knowing it is forged</t>
  </si>
  <si>
    <t>21-5823(a)(3)</t>
  </si>
  <si>
    <t>Forgery; With intent to defraud; Without authorization; make, alter or endorse any written instrument so it appears to have been made, altered or endorsed by another; alter a written instrument so it appears to have been made at another time or with different provisions; make, alter or endorse any written instrument so it appears to have been made, altered or endorsed with authority</t>
  </si>
  <si>
    <t>21-5823(a)(1)</t>
  </si>
  <si>
    <t>Franchise; Franchise required for construction, installation, operation or maintenance of a cable television service within the corporate limits of any city</t>
  </si>
  <si>
    <t>Fraudulent Acts; Aircraft Identification Numbers; Buy, distribute, receive, dispose of, conceal, operate or have in possession any aircraft or part thereof on which the assigned identification numbers do not meet the requirements of the federal aviation regulations</t>
  </si>
  <si>
    <t>21-5937(a)(1)</t>
  </si>
  <si>
    <t>Fraudulent Acts; Aircraft Identification Numbers; Possess, manufacture, distribute or exchange or give away any counterfeit manufacturer's aircraft identification number plate or decal used for the purpose of identification of any aircraft</t>
  </si>
  <si>
    <t>21-5937(a)(2)</t>
  </si>
  <si>
    <t>Fraudulent Aircraft Registration; Knowingly supply false information in regard to ownership of an aircraft in or operated in this state if it is determined that the firm, business or corporation is not, or has never been, a legal entity in this state or any other state or has lapsed as an entity</t>
  </si>
  <si>
    <t>21-5936(a)(3)</t>
  </si>
  <si>
    <t>Fraudulent Aircraft Registration; Knowingly supply false information in regard to the name, address, business name or business address of the owner of an aircraft in or operated in the state</t>
  </si>
  <si>
    <t>21-5936(a)(2)</t>
  </si>
  <si>
    <t>Fraudulent Aircraft Registration; Own, possess or operate any aircraft knowing it is registered to a nonexistent person, firm, business or corporation or to a firm, business or corporation which is no longer a legal entity</t>
  </si>
  <si>
    <t>21-5936(a)(1)</t>
  </si>
  <si>
    <t>Funeral &amp; Cemetery Merchandise Agreements; Misappropriation of funds &lt; $1000</t>
  </si>
  <si>
    <t>16-305(b)(3)</t>
  </si>
  <si>
    <t>Funeral &amp; Cemetery Merchandise Agreements; Misappropriation of funds; amount $25,000 or more</t>
  </si>
  <si>
    <t>16-305(b)</t>
  </si>
  <si>
    <t>Funeral &amp; Cemetery Merchandise Agreements; Misappropriation of funds; amount at least $1000 but less than $25,000</t>
  </si>
  <si>
    <t>Funeral &amp; Cemetery Merchandise Agreements; Violation other than misappropriation</t>
  </si>
  <si>
    <t>16-305(a)</t>
  </si>
  <si>
    <t>Furnishing Alcoholic Beverages to Minor; For illicit purposes; child less than 18</t>
  </si>
  <si>
    <t>21-5607(b)</t>
  </si>
  <si>
    <t>Furnishing Alcoholic Liquor or Cereal Malt Beverage to a Minor; Recklessly buy for or distribute to minor</t>
  </si>
  <si>
    <t>21-5607(a)</t>
  </si>
  <si>
    <t>Furthering Terrorism/Illegal Use of Weapons of Mass Destruction; Conduct financial transaction involving property to commit or further the commission of terrorism or illegal use of weapons of mass destruction when the transaction is disguised to conceal</t>
  </si>
  <si>
    <t>21-5423(d)</t>
  </si>
  <si>
    <t>Furthering Terrorism/Illegal Use of Weapons of Mass Destruction; Intentionally direct/plan/organize/initiate/finance/manage/supervise or facilitate transportation or distribution of property used to commit or further the commission of terrorism or illegal use of weapons of mass destruction</t>
  </si>
  <si>
    <t>21-5423(c)</t>
  </si>
  <si>
    <t>Furthering Terrorism/Illegal Use of Weapons of Mass Destruction; Intentionally invest/conceal/distribute/transport or maintain an interest in or otherwise make available property intended to be used to commit or further the commission of terrorism or illegal use of weapons of mass destruction</t>
  </si>
  <si>
    <t>21-5423(b)</t>
  </si>
  <si>
    <t>Furthering Terrorism/Illegal Use of Weapons of Mass Destruction; Raise, solicit, collect or provide material support for planning, preparing, carrying out terrorism or illegal use of weapons of mass destruction or hindering prosecution or concealment or escape thereof</t>
  </si>
  <si>
    <t>21-5423(e)</t>
  </si>
  <si>
    <t>Furthering Terrorism/Illegal Use of Weapons of Mass Destruction; Receiving or acquiring property/engaging in transactions to commit or further the commission of terrorism or illegal use of weapons of mass destruction</t>
  </si>
  <si>
    <t>21-5423(a)</t>
  </si>
  <si>
    <t>Gambling; Entering or remaining in a gambling place with intent to make a bet, to participate in a lottery, or to play a gambling device</t>
  </si>
  <si>
    <t>21-6404(a)(2)</t>
  </si>
  <si>
    <t>Gambling; Making a bet</t>
  </si>
  <si>
    <t>21-6404(a)(1)</t>
  </si>
  <si>
    <t>Giving a Worthless Check; $25,000 or more</t>
  </si>
  <si>
    <t>21-5821(a)</t>
  </si>
  <si>
    <t>Giving a Worthless Check; At least $1,000 but less than $25,000</t>
  </si>
  <si>
    <t>Giving a Worthless Check; Check drawn less than $1,000</t>
  </si>
  <si>
    <t>Giving a Worthless Check; Less than $1,000 if person has been convicted of giving a worthless check 2 or more times within 5 yrs</t>
  </si>
  <si>
    <t>Giving a Worthless Check; More than once within a 7 day period if the combined total is $25,000 or more</t>
  </si>
  <si>
    <t>Giving a Worthless Check; More than once within a 7 day period if the combined total is at least $1,000 but less than $25,000</t>
  </si>
  <si>
    <t>Grain &amp; Forage; Negotiation of receipt for encumbered grain with intent to defraud</t>
  </si>
  <si>
    <t>34-295</t>
  </si>
  <si>
    <t>Grain &amp; Forage; Penalty for failure to obtain license required herein</t>
  </si>
  <si>
    <t>34-231(a)</t>
  </si>
  <si>
    <t>Grain &amp; Forage; Penalty for failure to post certificate of bond or letter of credit information</t>
  </si>
  <si>
    <t>34-229(i)</t>
  </si>
  <si>
    <t>Grain &amp; Forage; Penalty for refusal to comply with provisions</t>
  </si>
  <si>
    <t>34-234(c)</t>
  </si>
  <si>
    <t>Grain &amp; Forage; Penalty for violation of act</t>
  </si>
  <si>
    <t>34-298</t>
  </si>
  <si>
    <t>Grain &amp; Forage; Public Warehouses; penalty for violation of any provision of this section</t>
  </si>
  <si>
    <t>34-102</t>
  </si>
  <si>
    <t>Grain &amp; Forage; Unauthorized disclosure of certain confidential information</t>
  </si>
  <si>
    <t>34-251(c)</t>
  </si>
  <si>
    <t>Grain &amp; Forage; Unlawful issuance of receipt for warehouse grain</t>
  </si>
  <si>
    <t>34-293</t>
  </si>
  <si>
    <t>Grain Commodity Commissions; Penalty for violation of act</t>
  </si>
  <si>
    <t>Guardians or Conservators; Willful violation of confidentiality of medical records and other reports</t>
  </si>
  <si>
    <t>59-3093(a)</t>
  </si>
  <si>
    <t>Harassment by Telefacsimile Communication</t>
  </si>
  <si>
    <t>21-6206(a)(2)</t>
  </si>
  <si>
    <t>Harassment by Telephone; Knowingly make or transmit any comment, request, suggestion or proposal, image or text which is obscene, lewd, lascivious or indecent</t>
  </si>
  <si>
    <t>21-6206(a)(1)(A)</t>
  </si>
  <si>
    <t>Harassment by Telephone; Knowingly permit any telecommunications device under one's control to be used for harassment</t>
  </si>
  <si>
    <t>21-6206(a)(1)(F)</t>
  </si>
  <si>
    <t>Harassment by Telephone; Knowingly playing any unauthorized recording on a telephone</t>
  </si>
  <si>
    <t>21-6206(a)(1)(E)</t>
  </si>
  <si>
    <t>Harassment by Telephone; Make or cause a telecommunications device to repeatedly ring or activate with intent to harass any person at the receiving end</t>
  </si>
  <si>
    <t>21-6206(a)(1)(D)</t>
  </si>
  <si>
    <t>Harassment by Telephone; Make or transmit a call, whether or not conversation ensues, with intent to abuse, threaten or harass any person at the receiving end</t>
  </si>
  <si>
    <t>21-6206(a)(1)(B)</t>
  </si>
  <si>
    <t>Harassment by Telephone; Make or transmit any comment, request, suggestion, proposal, image or text with intent to abuse, threaten or harass any person at the receiving end</t>
  </si>
  <si>
    <t>21-6206(a)(1)(C)</t>
  </si>
  <si>
    <t>Hazardous Household Articles; Hold for sale, offer for sale or sell any household article in violation of regulations</t>
  </si>
  <si>
    <t>65-2704</t>
  </si>
  <si>
    <t>Hazing; Recklessly coercing, demanding or encouraging hazing</t>
  </si>
  <si>
    <t>21-5418(a)</t>
  </si>
  <si>
    <t>Health Care Data; Unauthorized disclosure of data and other information collected pursuant to this act by the Kansas Department of Health and Environment; making public, information which would identify individuals</t>
  </si>
  <si>
    <t>65-6804(d)</t>
  </si>
  <si>
    <t>Health Care Providers; Willful and knowing failure to make a report required by K.S.A. 65-4923 or 65-4924</t>
  </si>
  <si>
    <t>65-4927(c)</t>
  </si>
  <si>
    <t>Health Maintenance Organization Act; Penalty for violation of provisions of act</t>
  </si>
  <si>
    <t>40-3216</t>
  </si>
  <si>
    <t>Higher Education Coordination; State Board of Regents; Penalty for violation of any of the provisions of this act or any rule or policy made thereunder</t>
  </si>
  <si>
    <t>74-3215</t>
  </si>
  <si>
    <t>Historical Property; Penalty for violation of act</t>
  </si>
  <si>
    <t>76-2029</t>
  </si>
  <si>
    <t>Home Health Agencies; Disclosure of confidential information</t>
  </si>
  <si>
    <t>65-5117(f)(5)</t>
  </si>
  <si>
    <t>Home Health Agencies; Home health agencies required to be licensed</t>
  </si>
  <si>
    <t>65-5102</t>
  </si>
  <si>
    <t>Home Health Agencies; Unlicensed employees prohibited from prefilling insulin syringes</t>
  </si>
  <si>
    <t>65-5116(b)</t>
  </si>
  <si>
    <t>Homestead Property Tax Refunds; Fraudulently filing excessive homestead property tax claim</t>
  </si>
  <si>
    <t>79-4513</t>
  </si>
  <si>
    <t>Hospitals &amp; Other Facilities; Establish, conduct, manage, or operate any medical care facility without a license</t>
  </si>
  <si>
    <t>65-439</t>
  </si>
  <si>
    <t>Hospitals &amp; Other Facilities; License required to establish, conduct or maintain a medical care facility</t>
  </si>
  <si>
    <t>65-427</t>
  </si>
  <si>
    <t>Hospitals &amp; Other Facilities; Violation of confidentiality provisions</t>
  </si>
  <si>
    <t>65-445(c)</t>
  </si>
  <si>
    <t>Hotels/Lodging Houses/Restaurants; Use of flexible metal gas connector in connection with natural gas-fired movable cooking equipment which does not meet the design and construction requirements approved by the state fire marshal pursuant to K.S.A. 36-133</t>
  </si>
  <si>
    <t>36-134</t>
  </si>
  <si>
    <t>Human Trafficking; Intentionally benefitting financially or receiving anything of value for participation in human trafficking</t>
  </si>
  <si>
    <t>21-5426(a)(2)</t>
  </si>
  <si>
    <t>Human Trafficking; Intentionally, recruiting, harboring, transporting, providing or obtaining a person for labor or services, through use of force, fraud or coercion for purpose of subjecting person to involuntary servitude or forced labor</t>
  </si>
  <si>
    <t>21-5426(a)(1)</t>
  </si>
  <si>
    <t>Human Trafficking; Knowingly coercing employment by obtaining or maintaining labor or services that are performed or provided by another through abusing or threatening to abuse the law or legal process</t>
  </si>
  <si>
    <t>21-5426(a)(3)(C)</t>
  </si>
  <si>
    <t>Human Trafficking; Knowingly coercing employment by obtaining or maintaining labor or services that are performed or provided by another through causing or threatening to cause physical injury to any person</t>
  </si>
  <si>
    <t>21-5426(a)(3)(A)</t>
  </si>
  <si>
    <t>Human Trafficking; Knowingly coercing employment by obtaining or maintaining labor or services that are performed or provided by another through knowingly destroying, concealing, removing, confiscating or possessing any actual or purported government identification document of another person</t>
  </si>
  <si>
    <t>21-5426(a)(3)(E)</t>
  </si>
  <si>
    <t>Human Trafficking; Knowingly coercing employment by obtaining or maintaining labor or services that are performed or provided by another through physically restraining or threatening to physically restrain another person</t>
  </si>
  <si>
    <t>21-5426(a)(3)(B)</t>
  </si>
  <si>
    <t>Human Trafficking; Knowingly coercing employment by obtaining or maintaining labor or services that are performed or provided by another through threatening to withhold food, lodging or clothing</t>
  </si>
  <si>
    <t>21-5426(a)(3)(D)</t>
  </si>
  <si>
    <t>Human Trafficking; Knowingly hold another in condition of peonage (involuntary servitude) in satisfaction of debt owed</t>
  </si>
  <si>
    <t>21-5426(a)(4)</t>
  </si>
  <si>
    <t>Humane Slaughter; Bleed/slaughter any livestock except by a humane method</t>
  </si>
  <si>
    <t>47-1403(b)</t>
  </si>
  <si>
    <t>Humane Slaughter; Certain method of slaughter declared inhumane</t>
  </si>
  <si>
    <t>47-1404</t>
  </si>
  <si>
    <t>Humane Slaughter; Shackle, hoist, or otherwise bring livestock into position for slaughter, by any method which shall cause injury or pain</t>
  </si>
  <si>
    <t>47-1403(a)</t>
  </si>
  <si>
    <t>ID &amp; Detection of Crimes &amp; Criminals; DNA sampling; dissemination of samples or records not in accordance with applicable laws</t>
  </si>
  <si>
    <t>21-2511(n)(1)</t>
  </si>
  <si>
    <t>ID &amp; Detection of Crimes &amp; Criminals; DNA sampling; fail to provide sample as required</t>
  </si>
  <si>
    <t>21-2511(m)</t>
  </si>
  <si>
    <t>ID &amp; Detection of Crimes &amp; Criminals; DNA sampling; knowingly obtaining samples without authorization</t>
  </si>
  <si>
    <t>21-2511(o)</t>
  </si>
  <si>
    <t>ID &amp; Detection of Crimes &amp; Criminals; DNA sampling; requesting of profile records without a legitimate need for such records</t>
  </si>
  <si>
    <t>21-2511(n)(2)</t>
  </si>
  <si>
    <t>ID &amp; Detection of Crimes &amp; Criminals; Neglect of any officer to furnish information required by K.S.A. 21-2501, 21-2501a, 21-2502, 21-2503, 21-2504</t>
  </si>
  <si>
    <t>21-2505</t>
  </si>
  <si>
    <t>Identification Cards; Display canceled ID card</t>
  </si>
  <si>
    <t>8-1327(a)(9)</t>
  </si>
  <si>
    <t>Identification Cards; Display ID card which belongs to another</t>
  </si>
  <si>
    <t>8-1327(a)(3)</t>
  </si>
  <si>
    <t>Identification Cards; Display or possess fictitious or fraudulent ID card</t>
  </si>
  <si>
    <t>8-1327(a)(1)</t>
  </si>
  <si>
    <t>Identification Cards; Display or possess fictitious/ fraudulent ID by one &lt; 21 for purchase of liquor/CMB; 1st conviction</t>
  </si>
  <si>
    <t>8-1327(c)(4)</t>
  </si>
  <si>
    <t>Identification Cards; Display or possess fictitious/ fraudulent ID by one &lt; 21 for purchase of liquor/CMB; 2nd conviction</t>
  </si>
  <si>
    <t>Identification Cards; Display reproduction of an ID card</t>
  </si>
  <si>
    <t>8-1327(a)(6)</t>
  </si>
  <si>
    <t>Identification Cards; Fail or refuse to surrender any ID card which is canceled</t>
  </si>
  <si>
    <t>8-1327(a)(8)</t>
  </si>
  <si>
    <t>Identification Cards; Lend any ID card to another or knowingly permit use by another</t>
  </si>
  <si>
    <t>8-1327(a)(2)</t>
  </si>
  <si>
    <t>Identification Cards; Lend ID card to one &lt; 21 for consumption or purchase of CMB; 1st conviction</t>
  </si>
  <si>
    <t>8-1327(c)(2)</t>
  </si>
  <si>
    <t>Identification Cards; Lend ID card to one &lt; 21 for consumption or purchase of CMB; 2nd conviction</t>
  </si>
  <si>
    <t>Identification Cards; Lend ID card to person &lt; 21 for purchase of alcohol; 1st conviction</t>
  </si>
  <si>
    <t>8-1327(c)(1)</t>
  </si>
  <si>
    <t>Identification Cards; Lend ID card to person &lt; 21 for purchase of alcohol; 2nd conviction</t>
  </si>
  <si>
    <t>Identification Cards; Lend ID/DL or other ID to aid another in obtaining ID; 1st conviction</t>
  </si>
  <si>
    <t>8-1327(c)(3)</t>
  </si>
  <si>
    <t>Identification Cards; Lend ID/DL or other ID to aid another in obtaining ID; 2nd conviction</t>
  </si>
  <si>
    <t>Identification Cards; Permit unlawful use of ID card</t>
  </si>
  <si>
    <t>8-1327(a)(4)</t>
  </si>
  <si>
    <t>Identification Cards; Reproduce ID card to be mistaken for valid</t>
  </si>
  <si>
    <t>8-1327(a)(7)</t>
  </si>
  <si>
    <t>Identity Fraud; Altering, amending, counterfeiting, making, manufacturing or otherwise replicating any document containing personal identifying information with intent to deceive</t>
  </si>
  <si>
    <t>21-6107(b)(2)</t>
  </si>
  <si>
    <t>Identity Fraud; Using or supplying information the person knows to be false in order to obtain a document containing personal identifying information</t>
  </si>
  <si>
    <t>21-6107(b)(1)</t>
  </si>
  <si>
    <t>Identity Theft; Misrepresenting a person to subject that person to economic or bodily harm; monetary loss to victim less than $100,000</t>
  </si>
  <si>
    <t>21-6107(a)(2)</t>
  </si>
  <si>
    <t>Identity Theft; Misrepresenting a person to subject that person to economic or bodily harm; monetary loss to victim more than $100,000</t>
  </si>
  <si>
    <t>Identity Theft; Obtaining, possessing, transferring, using, selling or purchasing personal identifying information, with intent to defraud, to receive a benefit; monetary loss $100,000 or less</t>
  </si>
  <si>
    <t>21-6107(a)(1)</t>
  </si>
  <si>
    <t>Identity Theft; Obtaining, possessing, transferring, using, selling or purchasing personal identifying information, with intent to defraud, to receive a benefit; monetary loss more than $100,000</t>
  </si>
  <si>
    <t>Illegal BINGO operation; Knowing and unlawful management, operation or conduct of such</t>
  </si>
  <si>
    <t>21-6405(a)</t>
  </si>
  <si>
    <t>Illegal Ownership or Keeping of a Dog</t>
  </si>
  <si>
    <t>21-6415(a)</t>
  </si>
  <si>
    <t>Illegal Use of Weapons of Mass Destruction; Knowingly and without lawful authority, develop, produce, stockpile, transfer, acquire, retain or possess any biological agent toxin or delivery system for use as a weapon, or attempt, conspire or solicit to commit such acts</t>
  </si>
  <si>
    <t>21-5422(a)(1)(A)</t>
  </si>
  <si>
    <t>Illegal Use of Weapons of Mass Destruction; Knowingly and without lawful authority, develop, produce, stockpile, transfer, acquire, retain or possess any chemical weapon, or attempt, conspire or solicit to commit such acts</t>
  </si>
  <si>
    <t>21-5422(a)(1)(B)</t>
  </si>
  <si>
    <t>Illegal Use of Weapons of Mass Destruction; Knowingly and without lawful authority, develop, produce, stockpile, transfer, acquire, retain or possess any nuclear materials or nuclear byproduct materials for use as a weapon, or attempt, conspire or solicit to commit such acts</t>
  </si>
  <si>
    <t>21-5422(a)(1)(C)</t>
  </si>
  <si>
    <t>Illegal Use of Weapons of Mass Destruction; Knowingly assist a foreign state or organization to use WMDs, or attempt, conspire or solicit to commit such acts</t>
  </si>
  <si>
    <t>21-5422(a)(2)</t>
  </si>
  <si>
    <t>Illegal Use of Weapons of Mass Destruction; Threaten to use WMDs, or attempt, conspire or solicit to commit such act</t>
  </si>
  <si>
    <t>21-5422(a)(3)</t>
  </si>
  <si>
    <t>Impairing a Security Interest; With intent to defraud secured party; Damage, destroy or conceal any personal property subject to a security interest; $25,000 or more</t>
  </si>
  <si>
    <t>21-5830(a)(1)</t>
  </si>
  <si>
    <t>Impairing a Security Interest; With intent to defraud secured party; Damage, destroy or conceal any personal property subject to a security interest; at least $1000 but less than $25, 000</t>
  </si>
  <si>
    <t>Impairing a Security Interest; With intent to defraud secured party; Fail to account for the proceeds of the sale, exchange or other disposition of any personal property subject to a security interest; $25,000 or more</t>
  </si>
  <si>
    <t>21-5830(a)(3)</t>
  </si>
  <si>
    <t>Impairing a Security Interest; With intent to defraud secured party; Fail to account for the proceeds of the sale, exchange or other disposition of any personal property subject to a security interest; at least $1,000 but less than $25,000</t>
  </si>
  <si>
    <t>Impairing a Security Interest; With intent to defraud secured party; Sell, exchange or otherwise dispose of any personal property subject to a security interest without consent of secured party; $25,000 or more</t>
  </si>
  <si>
    <t>21-5830(a)(2)</t>
  </si>
  <si>
    <t>Impairing a Security Interest; With intent to defraud secured party; Sell, exchange or otherwise dispose of any personal property subject to a security interest without consent of secured party; at least $1,000 but less than $25,000</t>
  </si>
  <si>
    <t>Impairing a Security Interest; With intent to defraud the secured party; Damaging, destroying or concealing any personal property subject to a security interest; value less than $1,000 or security interest less than $1000</t>
  </si>
  <si>
    <t>Impairing a Security Interest; With intent to defraud the secured party; Failure to account to the secured party for the proceeds of the sale, exchange or other disposition of any personal property subject to a security interest; value less than $1,000 or security interest less than $1,000</t>
  </si>
  <si>
    <t>Impairing a Security Interest; With intent to defraud the secured party; Unauthorized selling, exchanging or otherwise disposing of any personal property subject to a security interest without the written consent of the secured party; value less than $1,000 or security interest less than $1,000</t>
  </si>
  <si>
    <t>Incest; Marriage to or engaging in sexual intercourse or sodomy with a person who is 18 or more and a known biological relative</t>
  </si>
  <si>
    <t>21-5604(a)</t>
  </si>
  <si>
    <t>Incitement to Riot</t>
  </si>
  <si>
    <t>21-6201(b)</t>
  </si>
  <si>
    <t>Income Tax Returns; Unauthorized disclosure or use of information for commercial purposes</t>
  </si>
  <si>
    <t>21-6104(a)</t>
  </si>
  <si>
    <t>Indecent Liberties with a Child; Lewd fondling/touching; child 14 or more but less than 16</t>
  </si>
  <si>
    <t>21-5506(a)(1)</t>
  </si>
  <si>
    <t>Indecent Liberties with a Child; Soliciting the child to engage in any lewd fondling/touching; child 14 or more but less than 16</t>
  </si>
  <si>
    <t>21-5506(a)(2)</t>
  </si>
  <si>
    <t>Indecent Solicitation of Child; Commit or submit to unlawful sexual act; child 14 or more but less than 16</t>
  </si>
  <si>
    <t>21-5508(a)(1)</t>
  </si>
  <si>
    <t>Indecent Solicitation of Child; Inviting to enter secluded place; child 14 or more but less than 16</t>
  </si>
  <si>
    <t>21-5508(a)(2)</t>
  </si>
  <si>
    <t>Installing Communications Facilities for Gamblers; Allowing continued use of communication facilities knowing they are being used principally for transferring information for making or settling bets</t>
  </si>
  <si>
    <t>21-6409(a)(3)</t>
  </si>
  <si>
    <t>Installing Communications Facilities for Gamblers; Knowing that such facilities will be used principally for transferring information to be used in making or settling bets</t>
  </si>
  <si>
    <t>21-6409(a)(2)</t>
  </si>
  <si>
    <t>Installing Communications Facilities for Gamblers; Within a place known by installer to be a gambling place</t>
  </si>
  <si>
    <t>21-6409(a)(1)</t>
  </si>
  <si>
    <t>Insurance Holding Company Act; Making false statements, reports or filings with intent to deceive the commissioner</t>
  </si>
  <si>
    <t>40-3311</t>
  </si>
  <si>
    <t>Insurance Holding Company Act; Willful violation of the act by a director, officer, employee or agent</t>
  </si>
  <si>
    <t>Insurance; Fraud; knowingly/willfully make any false or fraudulent statement/representation in or with reference to any application for life insurance, or for the purpose of obtaining any fee, commission, money or benefits from any company transacting business under this act</t>
  </si>
  <si>
    <t>40-417</t>
  </si>
  <si>
    <t>Insurance; Fraudulent Acts; $25,000 or more</t>
  </si>
  <si>
    <t>40-2,118(a)</t>
  </si>
  <si>
    <t>Insurance; Fraudulent Acts; an amount less than $1,000</t>
  </si>
  <si>
    <t>Insurance; Fraudulent Acts; at least $1,000 but less than $5,000</t>
  </si>
  <si>
    <t>Insurance; Fraudulent Acts; at least $5,000 but less than $25,000</t>
  </si>
  <si>
    <t>Insurance; Insurance agent or broker failure to pay premium; $25,000 or more</t>
  </si>
  <si>
    <t>40-247(a)</t>
  </si>
  <si>
    <t>Insurance; Insurance agent or broker failure to pay premium; at least $1000 less than $25,000</t>
  </si>
  <si>
    <t>Insurance; Insurance agent or broker failure to pay premium; premium is less than $1000 and agent or broker has been convicted of this two or more times within 5 yrs</t>
  </si>
  <si>
    <t>Insurance; Insurer or broker failing to pay premium to company; loss of &lt; $1000</t>
  </si>
  <si>
    <t>Interference With Conduct of Public Business; Knowingly deny to any public official, public employee, or any invitee on such premises, the lawful rights of such official, employee, or invitee to enter, to use the facilities or to leave any such public building</t>
  </si>
  <si>
    <t>21-5922(a)(1)</t>
  </si>
  <si>
    <t>Interference With Conduct of Public Business; Knowingly impede any public official or employee in the lawful performance of duties or activities through the use of restraint, abduction, coercion, or intimidation or by force and violence or threat thereof</t>
  </si>
  <si>
    <t>21-5922(a)(2)</t>
  </si>
  <si>
    <t>Interference With Conduct of Public Business; Knowingly impede, disrupt or hinder the normal proceedings of any executive body or official, by any act of intrusion</t>
  </si>
  <si>
    <t>21-5922(a)(5)</t>
  </si>
  <si>
    <t>Interference With Conduct of Public Business; Knowingly impede, disrupt or hinder the normal proceedings of any meeting or session conducted by a judicial or legislative body or official, by any act of intrusion or by any act designed to intimidate, coerce or hinder any member of such body or any official engaged in the performance of duties at such meeting or session</t>
  </si>
  <si>
    <t>21-5922(a)(4)</t>
  </si>
  <si>
    <t>Interference With Conduct of Public Business; Knowingly refuse or fail to leave any public building upon being requested to do so by the chief administrative officer if such person is committing, threatens to commit, or incites others to commit, any act which did or would if completed, disrupt, impair, interfere with, or obstruct the lawful missions, processes, procedures or functions being carried on in such public building</t>
  </si>
  <si>
    <t>21-5922(a)(3)</t>
  </si>
  <si>
    <t>Interference With Custody; Of a committed person</t>
  </si>
  <si>
    <t>21-5410(a)</t>
  </si>
  <si>
    <t>Interference with Law Enforcement; Falsely reporting death or disappearance of a child under 13 and intending that officer shall act in reliance upon such information</t>
  </si>
  <si>
    <t>21-5904(a)(1)(D)</t>
  </si>
  <si>
    <t>Interference with Law Enforcement; In the case of a felony; Concealing, destroying or materially altering evidence with intent to prevent or hinder the apprehension or prosecution of a person</t>
  </si>
  <si>
    <t>21-5904(a)(2)</t>
  </si>
  <si>
    <t>Interference with Law Enforcement; In the case of a felony; Falsely reporting to law enforcement officer or state investigative agency any information, knowing that such information is false and intending to influence, impede or obstruct such officer's or agency's duty</t>
  </si>
  <si>
    <t>21-5904(a)(1)(C)</t>
  </si>
  <si>
    <t>Interference with Law Enforcement; In the case of a felony; Falsely reporting to law enforcement officer or state investigative agency that a law enforcement officer has commited a crime or misconduct in such officer's duties knowing such information is false and intending that the officer or agency act in reliance on such information</t>
  </si>
  <si>
    <t>21-5904(a)(1)(B)</t>
  </si>
  <si>
    <t>Interference with Law Enforcement; In the case of a felony; Falsely reporting to law enforcement officer or state investigative agency that person has committed a crime, knowing the information is false and intending that the officer or agency act in reliance on that information</t>
  </si>
  <si>
    <t>21-5904(a)(1)(A)</t>
  </si>
  <si>
    <t>Interference with Law Enforcement; In the case of a felony; Knowingly obstruct, resist or oppose any person authorized by law to serve process in service or attempt to serve any writ, warrant, process or order of court or in discharge of any official duty</t>
  </si>
  <si>
    <t>21-5904(a)(3)</t>
  </si>
  <si>
    <t>Interference with Law Enforcement; In the case of a misdemeanor; Concealing, destroying or materially altering evidence with intent to prevent or hinder the apprehension or prosecution of a person</t>
  </si>
  <si>
    <t>Interference with Law Enforcement; In the case of a misdemeanor; Falsely reporting to law enforcement officer or state investigative agency any information, knowing that such information is false and intending to influence, impede or obstruct such officer's or agency's duty</t>
  </si>
  <si>
    <t>Interference with Law Enforcement; In the case of a misdemeanor; Falsely reporting to law enforcement officer or state investigative agency that a law enforcement officer has commited a crime or misconduct in such officer's duties knowing such information is false and intending that the officer or agency act in reliance on such information</t>
  </si>
  <si>
    <t>Interference with Law Enforcement; In the case of a misdemeanor; Falsely reporting to law enforcement officer or state investigative agency that person has committed a crime, knowing the information is false and intending that the officer or agency act in reliance on that information</t>
  </si>
  <si>
    <t>Interference with Law Enforcement; In the case of a misdemeanor; Knowingly obstruct, resist or oppose any person authorized by law to serve process in service or attempt to serve any writ, warrant, process or order of court or in discharge of any official duty</t>
  </si>
  <si>
    <t>Interference With Parental Custody; By parent if parent is entitled to joint custody</t>
  </si>
  <si>
    <t>21-5409(a)</t>
  </si>
  <si>
    <t>Interference with Parental Custody; Taking or enticing away any child under 16 with intent to detain or conceal such child from parent, guardian, or other person having the lawful charge of the child</t>
  </si>
  <si>
    <t>Interference with the Judicial Process; Attempting to Influence a Judicial Officer</t>
  </si>
  <si>
    <t>21-5905(a)(1)</t>
  </si>
  <si>
    <t>Interference with the Judicial Process; Attempting to influence, impede or obstruct a judicial officer or prosecutor by communicating threat of violence</t>
  </si>
  <si>
    <t>21-5905(a)(2)(A)</t>
  </si>
  <si>
    <t>Interference with the Judicial Process; Attempting to influence, impede or obstruct a judicial officer or prosecutor by harassing by repeated vituperative (abusive) communication</t>
  </si>
  <si>
    <t>21-5905(a)(2)(B)</t>
  </si>
  <si>
    <t>Interference with the Judicial Process; Attempting to influence, impede or obstruct a judicial officer or prosecutor by picketing, parading or demonstrating in or near a building housing a judicial officer or prosecutor</t>
  </si>
  <si>
    <t>21-5905(a)(3)</t>
  </si>
  <si>
    <t>Interference with the Judicial Process; Attempting to influence, impede or obstruct a judicial officer or prosecutor by picketing, parading or demonstrating near a judicial officer's or prosecutor's residence</t>
  </si>
  <si>
    <t>21-5905(a)(2)(C)</t>
  </si>
  <si>
    <t>Interference with the Judicial Process; Corrupt Conduct of a Juror; Intentionally promising or agree to wrongfully give a verdict for or against any party in any proceeding</t>
  </si>
  <si>
    <t>21-5905(a)(6)(B)</t>
  </si>
  <si>
    <t>Interference with the Judicial Process; Corrupt Conduct of a Juror; Intentionally soliciting, accepting or agreeing to accept a benefit as consideration for a promise to wrongfully give a verdict for or against any party in any proceeding</t>
  </si>
  <si>
    <t>21-5905(a)(6)(A)</t>
  </si>
  <si>
    <t>Interference with the Judicial Process; Corrupt Conduct of a Juror; Knowingly receive evidence or information pertaining to the trial of which such juror has been or will be sworn, without the authority of the court or officer before whom such juror has been summoned, and without immediate disclosure of the same</t>
  </si>
  <si>
    <t>21-5905(a)(6)(C)</t>
  </si>
  <si>
    <t>Interference with the Judicial Process; In the case of a felony; Intentionally in any criminal proceeding or investigation; Alter, damage, remove or destroy any record, document or thing with intent to prevent its production or use as evidence</t>
  </si>
  <si>
    <t>21-5905(a)(5)(C)</t>
  </si>
  <si>
    <t>Interference with the Judicial Process; In the case of a felony; Intentionally in any criminal proceeding or investigation; Induce witness or informant to withhold or unreasonably delay producing testimony, information, document or thing</t>
  </si>
  <si>
    <t>21-5905(a)(5)(A)</t>
  </si>
  <si>
    <t>Interference with the Judicial Process; In the case of a felony; Intentionally in any criminal proceeding or investigation; Make, present, or use a false record, document or thing with intent that the same appear in evidence to mislead the court, master or law enforcement officer</t>
  </si>
  <si>
    <t>21-5905(a)(5)(D)</t>
  </si>
  <si>
    <t>Interference with the Judicial Process; In the case of a felony; Intentionally in any criminal proceeding or investigation; withhold or unreasonably delay production of testimony, information, document or thing after a court orders production of the same</t>
  </si>
  <si>
    <t>21-5905(a)(5)(B)</t>
  </si>
  <si>
    <t>Interference with the Judicial Process; Intentionally in any criminal proceeding or investigation; Alter, damage, remove or destroy any record, document or thing the  intent to prevent its production or use as evidence</t>
  </si>
  <si>
    <t>Interference with the Judicial Process; Intentionally in any criminal proceeding or investigation; Induce witness or informant to withhold or unreasonably delay producing testimony, information, document or thing</t>
  </si>
  <si>
    <t>Interference with the Judicial Process; Intentionally in any criminal proceeding or investigation; Make, present, or use a false record, document or thing with the intent that the same appear in evidence to mislead the court, master or law enforcement officer</t>
  </si>
  <si>
    <t>Interference with the Judicial Process; Intentionally in any criminal proceeding or investigation; withhold or unreasonably delay production of testimony, information, document or thing after a court orders production of the same</t>
  </si>
  <si>
    <t>Interference with the Judicial Process; Knowingly accepting or agreeing to accept anything of value as consideration for a promise not to initiate or aid in a prosecution if the crime is a felony</t>
  </si>
  <si>
    <t>21-5905(a)(4)(A)</t>
  </si>
  <si>
    <t>Interference with the Judicial Process; Knowingly accepting or agreeing to accept anything of value as consideration for a promise to conceal or destroy evidence of a crime if the crime is a felony</t>
  </si>
  <si>
    <t>21-5905(a)(4)(B)</t>
  </si>
  <si>
    <t>Interference with the Judicial Process; Knowingly accepting or agreeing to accept anything of value as consideration for a promise to conceal or destroy evidence of a misdemeanor</t>
  </si>
  <si>
    <t>Interference with the Judicial Process; Knowingly accepting or agreeing to accept anything of value as consideration for a promise to not to initiate or aid in a prosecution of a person who has committed a misdemeanor</t>
  </si>
  <si>
    <t>Interference with the Judicial Process; Knowingly making available personal information about a judge or a judge's immediate family member if dissemination of such information poses an imminent and serious threat to such judge or family member and person knows or reasonably should know of such threat; 1st conviction</t>
  </si>
  <si>
    <t>21-5905(a)(7)</t>
  </si>
  <si>
    <t>Interference with the Judicial Process; Knowingly making available personal information about a judge or a judge's immediate family member if dissemination of such information poses an imminent and serious threat to such judge or family member and person knows or reasonably should know of such threat; 2nd or subsequent conviction</t>
  </si>
  <si>
    <t>Interstate Compact on Placement of Children; Failure of any professional to comply with provisions of compact</t>
  </si>
  <si>
    <t>38-1206</t>
  </si>
  <si>
    <t>Intimidation of Witness or Victim; Prevent or dissuade, or attempt to prevent or dissuade any witness or victim from attending or giving testimony at any civil or criminal trial, proceeding or inquiry authorized by law</t>
  </si>
  <si>
    <t>21-5909(a)(1)</t>
  </si>
  <si>
    <t>Intimidation of Witness or Victim; Prevent or dissuade, or attempt to prevent or dissuade any witness, victim or person acting on behalf of a victim from arresting, causing or seeking the arrest of any person in connection with the victimization of a victim</t>
  </si>
  <si>
    <t>21-5909(a)(2)(D)</t>
  </si>
  <si>
    <t>Intimidation of Witness or Victim; Prevent or dissuade, or attempt to prevent or dissuade any witness, victim or person acting on behalf of a victim from causing a civil action to be filed and prosecuted and assisting in its prosecution</t>
  </si>
  <si>
    <t>21-5909(a)(2)(C)</t>
  </si>
  <si>
    <t>Intimidation of Witness or Victim; Prevent or dissuade, or attempt to prevent or dissuade any witness, victim or person acting on behalf of a victim from causing a complaint, indictment or information to be sought and prosecuted, or causing a violation of probation, parole or assignment to a community correctional services program to be reported and prosecuted, and assisting in its prosecution</t>
  </si>
  <si>
    <t>21-5909(a)(2)(B)</t>
  </si>
  <si>
    <t>Intimidation of Witness or Victim; Prevent or dissuade, or attempt to prevent or dissuade any witness, victim or person acting on behalf of a victim from making any report of the victimization of a victim</t>
  </si>
  <si>
    <t>21-5909(a)(2)(A)</t>
  </si>
  <si>
    <t>Involuntary Manslaughter; In commission of lawful act in unlawful manner</t>
  </si>
  <si>
    <t>21-5405(a)(4)</t>
  </si>
  <si>
    <t>Involuntary Manslaughter; In the commission, attempted commission, or flight from DUI</t>
  </si>
  <si>
    <t>21-5405(a)(3)</t>
  </si>
  <si>
    <t>Involuntary Manslaughter; In the commission, attempted commission, or flight from other felonies excluding DUI</t>
  </si>
  <si>
    <t>21-5405(a)(2)</t>
  </si>
  <si>
    <t>Involuntary Manslaughter; Recklessly</t>
  </si>
  <si>
    <t>21-5405(a)(1)</t>
  </si>
  <si>
    <t>Irrigation Districts; Discrimination in rates unlawful</t>
  </si>
  <si>
    <t>42-389</t>
  </si>
  <si>
    <t>Irrigation Districts; Failure of proprietors to construct or maintain head gate</t>
  </si>
  <si>
    <t>42-3,102</t>
  </si>
  <si>
    <t>Irrigation Districts; Failure to construct devices, or to lock head gate and deliver key, or to maintain such devices</t>
  </si>
  <si>
    <t>42-3,101</t>
  </si>
  <si>
    <t>Irrigation Districts; Penalty for excessive charges</t>
  </si>
  <si>
    <t>42-390</t>
  </si>
  <si>
    <t>Irrigation Districts; Refusal to furnish water upon tender of charges</t>
  </si>
  <si>
    <t>42-391</t>
  </si>
  <si>
    <t>Irrigation Districts; Unlawful acts affecting artesian well</t>
  </si>
  <si>
    <t>42-399</t>
  </si>
  <si>
    <t>Irrigation Districts; Unlawful acts affecting works</t>
  </si>
  <si>
    <t>42-395</t>
  </si>
  <si>
    <t>Irrigation Districts; Waste of water by water bailiff, ditch rider, superintendent or other in charge</t>
  </si>
  <si>
    <t>42-394</t>
  </si>
  <si>
    <t>Irrigation; Unlawful acts affecting irrigating canals where ditch company has secured the right of way</t>
  </si>
  <si>
    <t>42-122</t>
  </si>
  <si>
    <t>Jurors; Failure to or falsely answering questions on juror questionnaires</t>
  </si>
  <si>
    <t>43-161</t>
  </si>
  <si>
    <t>Jurors; Penalty for seeking jury service or to have another placed on jury list</t>
  </si>
  <si>
    <t>43-127</t>
  </si>
  <si>
    <t>Juvenile Justice Code; Unauthorized disclosure of juvenile diagnostic, treatment or medical records</t>
  </si>
  <si>
    <t>38-2311(a)</t>
  </si>
  <si>
    <t>Juvenile Justice Code; Unauthorized disclosure of juvenile HIV or Hepatitis B test results or reports</t>
  </si>
  <si>
    <t>38-2317(h)</t>
  </si>
  <si>
    <t>Kansas Act Against Discrimination; Destroying any employment records required to be kept under the laws of the state of Kansas for the purpose of hindering any proceeding commenced pursuant to this act</t>
  </si>
  <si>
    <t>44-1041(a)</t>
  </si>
  <si>
    <t>Kansas Act Against Discrimination; Destroying any records or other information involved in any proceeding brought pursuant to this act for the purpose of hindering such proceedings</t>
  </si>
  <si>
    <t>44-1041(b)</t>
  </si>
  <si>
    <t>Kansas Act Against Discrimination; Failure to comply with subpoena of Kansas Human Rights Commission or falsifying reports or other documents</t>
  </si>
  <si>
    <t>44-1020</t>
  </si>
  <si>
    <t>Kansas Act Against Discrimination; Intentionally and falsely swear, testify, affirm, declare or subscribe to any material fact upon oath or affirmation required by the Kansas act against discrimination; at felony trial</t>
  </si>
  <si>
    <t>44-1039</t>
  </si>
  <si>
    <t>Kansas Act Against Discrimination; Intentionally and falsely swear, testify, affirm, declare or subscribe to any material fact upon oath or affirmation required by the Kansas act against discrimination; at proceeding other than felony trial</t>
  </si>
  <si>
    <t>Kansas Act Against Discrimination; Willfully resist, prevent, impede or interfere with commission or any of its members or representatives in performance of duty under this act; willfully violate an order of the commission</t>
  </si>
  <si>
    <t>44-1013</t>
  </si>
  <si>
    <t>Kansas Age Discrimination In Employment Act; Willfully resist, prevent, impede or interfere with the commission, members or representatives in the performance of duty under this act or willfully violate an order of the commission</t>
  </si>
  <si>
    <t>44-1117(a)</t>
  </si>
  <si>
    <t>Kansas Healing Arts Act; False impersonation</t>
  </si>
  <si>
    <t>65-2860</t>
  </si>
  <si>
    <t>Kansas Healing Arts Act; False swearing</t>
  </si>
  <si>
    <t>65-2861</t>
  </si>
  <si>
    <t>Kansas Healing Arts Act; Falsify or forge the declaration of another/willfully conceal or withhold personal knowledge of the revocation of a declaration with intent to cause a withholding or withdrawal of life-sustaining procedures contrary to the wishes of the declarant, and which directly causes life-sustaining procedures to be withheld or withdrawn and death to be hastened</t>
  </si>
  <si>
    <t>65-28,107(c)</t>
  </si>
  <si>
    <t>Kansas Healing Arts Act; Filling false documents</t>
  </si>
  <si>
    <t>65-2859</t>
  </si>
  <si>
    <t>Kansas Healing Arts Act; License prerequisite to practice</t>
  </si>
  <si>
    <t>65-2803(a)</t>
  </si>
  <si>
    <t>Kansas Healing Arts Act; Open/maintain an office for practice of the healing arts or, announce/hold out to the public the intention, authority or skill to practice the healing arts by the use of any professional degree or designation, sign, card, circular, device, advertisement or representation if not licensed</t>
  </si>
  <si>
    <t>65-2867</t>
  </si>
  <si>
    <t>Kansas Healing Arts Act; Penalties for violations of act; 1st and 2nd conviction</t>
  </si>
  <si>
    <t>65-2862</t>
  </si>
  <si>
    <t>Kansas Healing Arts Act; Unauthorized disclosure of criminal history record information, criminal intelligence information and information relating to criminal and background investigations</t>
  </si>
  <si>
    <t>65-2839a(c)</t>
  </si>
  <si>
    <t>Kansas Healing Arts Act; Willfully conceal, cancel, deface, obliterate or damage the declaration of another without declarant's consent; falsify or forge a revocation of the declaration of another</t>
  </si>
  <si>
    <t>65-28,107(b)</t>
  </si>
  <si>
    <t>Kansas Highway Patrol; Violation of rules/regulations checks for verification on VIN's/fraud</t>
  </si>
  <si>
    <t>74-2135</t>
  </si>
  <si>
    <t>Kansas Liquor Control Act; Warehouse; false reports and unlawful removal</t>
  </si>
  <si>
    <t>41-405</t>
  </si>
  <si>
    <t>Kansas Money Transmitter Act; Penalty for knowingly violating provisions of the Act</t>
  </si>
  <si>
    <t>9-512</t>
  </si>
  <si>
    <t>Kansas Offender Registration Act; Aggravated failure to register as required                                                                                            * See 2016 Supp. K.S.A. 22-4903</t>
  </si>
  <si>
    <t>22-4903(b)</t>
  </si>
  <si>
    <t>* P or NP</t>
  </si>
  <si>
    <t>Kansas Offender Registration Act; Failure to register as required; 1st conviction                                                                                       * See 2016 Supp. K.S.A. 22-4903</t>
  </si>
  <si>
    <t>22-4903(a)</t>
  </si>
  <si>
    <t>Kansas Offender Registration Act; Failure to register as required; 2nd conviction                                                                                      * See 2016 Supp. K.S.A. 22-4903</t>
  </si>
  <si>
    <t>Kansas Offender Registration Act; Failure to register as required; 3rd and subs. conviction                                                                      * See 2016 Supp. K.S.A. 22-4903</t>
  </si>
  <si>
    <t>Kansas Offender Registration Act; Failure to remit payment as required by K.S.A. 22-4905(k); failure to remit one full payment                                        * See 2016 Supp. K.S.A. 22-4903</t>
  </si>
  <si>
    <t>Kansas Offender Registration Act; Failure to remit payment as required by K.S.A. 22-4905(k); failure to remit two or more full payments                          * See 2016 Supp. K.S.A. 22-4903</t>
  </si>
  <si>
    <t>Kansas Sheep Council; Violation of provisions of act</t>
  </si>
  <si>
    <t>47-2007</t>
  </si>
  <si>
    <t>Kansas Uniform Securities Act; Intentional fraud in providing investment advice; employ a device, scheme, or artifice to defraud another; $1,000,000 or more; if victim was an elder person (presumptive imprisonment)</t>
  </si>
  <si>
    <t>17-12a502(a)(1)</t>
  </si>
  <si>
    <t>Kansas Uniform Securities Act; Intentional fraud in providing investment advice; engage in act, practice, or course of business that operates as a fraud or deceit; $1,000,000 or more; if victim was an elder person (presumptive imprisonment)</t>
  </si>
  <si>
    <t>17-12a502(a)(2)</t>
  </si>
  <si>
    <t>Kansas Uniform Securities Act; Intentional general fraud in connection with offer, sale, or purchase of a security; employing device, scheme or artifice to defraud; $1,000,000 or more; if victim was an elder person (presumptive imprisonment)</t>
  </si>
  <si>
    <t>17-12a501(1)</t>
  </si>
  <si>
    <t>Kansas Uniform Securities Act; Intentional general fraud in connection with offer, sale, or purchase of a security; engage in act, practice, or course of business that operates as a fraud or deceit; $1,000,000 or more; if victim was an elder person (presumptive imprisonment)</t>
  </si>
  <si>
    <t>17-12a501(3)</t>
  </si>
  <si>
    <t>Kansas Uniform Securities Act; Intentional general fraud in connection with offer, sale, or purchase of a security; false statement of or omission of material fact; $1,000,000 or more; if victim was an elder person (presumptive imprisonment)</t>
  </si>
  <si>
    <t>17-12a501(2)</t>
  </si>
  <si>
    <t>Kansas Uniform Securities Act; Intentional fraud in providing investment advice; employ a device, scheme, or artifice to defraud another; $1,000,000 or more (presumptive imprisonment)</t>
  </si>
  <si>
    <t>Kansas Uniform Securities Act; Intentional fraud in providing investment advice; employ a device, scheme, or artifice to defraud another; at least $250,000 but less than $1,000,000; if victim was an elder person (presumptive imprisonment)</t>
  </si>
  <si>
    <t>Kansas Uniform Securities Act; Intentional fraud in providing investment advice; engage in act, practice, or course of business that operates as a fraud or deceit; $1,000,000 or more (presumptive imprisonment)</t>
  </si>
  <si>
    <t>Kansas Uniform Securities Act; Intentional fraud in providing investment advice; engage in act, practice, or course of business that operates as a fraud or deceit; at least $250,000 but less than $1,000,000; if victim was an elder person (presumptive imprisonment)</t>
  </si>
  <si>
    <t>Kansas Uniform Securities Act; Intentional general fraud in connection with offer, sale, or purchase of a security; employing device, scheme or artifice to defraud; $1,000,000 or more (presumptive imprisonment)</t>
  </si>
  <si>
    <t>Kansas Uniform Securities Act; Intentional general fraud in connection with offer, sale, or purchase of a security; employing device, scheme or artifice to defraud; at least $250,000 but at less than $1,000,000; if victim was an elder person (presumptive imprisonment)</t>
  </si>
  <si>
    <t>Kansas Uniform Securities Act; Intentional general fraud in connection with offer, sale, or purchase of a security; engage in act, practice, or course of business that operates as a fraud or deceit; $1,000,000 or more (presumptive imprisonment)</t>
  </si>
  <si>
    <t>Kansas Uniform Securities Act; Intentional general fraud in connection with offer, sale, or purchase of a security; engage in act, practice, or course of business that operates as a fraud or deceit; at least $250,000 but less than $1,000,000; if victim was an elder person (presumptive imprisonment)</t>
  </si>
  <si>
    <t>Kansas Uniform Securities Act; Intentional general fraud in connection with offer, sale, or purchase of a security; false statement of or omission of material fact; $1,000,000 or more (presumptive imprisonment)</t>
  </si>
  <si>
    <t>Kansas Uniform Securities Act; Intentional general fraud in connection with offer, sale, or purchase of a security; false statement of or omission of material fact; at least $250,000 but less than $1,000,000; if victim was an elder person (presumptive imprisonment)</t>
  </si>
  <si>
    <t>Kansas Uniform Securities Act; Intentional fraud in providing investment advice; employ a device, scheme, or artifice to defraud another; at least $100,000 but less than $250,000; if victim was an elder person (presumptive imprisonment)</t>
  </si>
  <si>
    <t>Kansas Uniform Securities Act; Intentional fraud in providing investment advice; employ a device, scheme, or artifice to defraud another; at least $250,000 but less than $1,000,000 (presumptive imprisonment)</t>
  </si>
  <si>
    <t>Kansas Uniform Securities Act; Intentional fraud in providing investment advice; engage in act, practice, or course of business that operates as a fraud or deceit; at least $100,000 but less than $250,000; if victim was an elder person (presumptive imprisonment)</t>
  </si>
  <si>
    <t>Kansas Uniform Securities Act; Intentional fraud in providing investment advice; engage in act, practice, or course of business that operates as a fraud or deceit; at least $250,000 but less than $1,000,000 (presumptive imprisonment)</t>
  </si>
  <si>
    <t>Kansas Uniform Securities Act; Intentional general fraud in connection with offer, sale, or purchase of a security; employing device, scheme or artifice to defraud; at least $100,000 but less than $250,000; if victim was an elder person (presumptive imprisonment)</t>
  </si>
  <si>
    <t>Kansas Uniform Securities Act; Intentional general fraud in connection with offer, sale, or purchase of a security; employing device, scheme or artifice to defraud; at least $250,000 but at less than $1,000,000 (presumptive imprisonment)</t>
  </si>
  <si>
    <t>Kansas Uniform Securities Act; Intentional general fraud in connection with offer, sale, or purchase of a security; engage in act, practice, or course of business that operates as a fraud or deceit; at least $100,000 but less than $250,000; if victim was an elder person (presumptive imprisonment)</t>
  </si>
  <si>
    <t>Kansas Uniform Securities Act; Intentional general fraud in connection with offer, sale, or purchase of a security; engage in act, practice, or course of business that operates as a fraud or deceit; at least $250,000 but less than $1,000,000 (presumptive imprisonment)</t>
  </si>
  <si>
    <t>Kansas Uniform Securities Act; Intentional general fraud in connection with offer, sale, or purchase of a security; false statement of or omission of material fact; at least $100,000 but less than $250,000; if victim was an elder person (presumptive imprisonment)</t>
  </si>
  <si>
    <t>Kansas Uniform Securities Act; Intentional general fraud in connection with offer, sale, or purchase of a security; false statement of or omission of material fact; at least $250,000 but less than $1,000,000 (presumptive imprisonment)</t>
  </si>
  <si>
    <t>Kansas Uniform Securities Act; Intentional fraud in providing investment advice; employ a device, scheme, or artifice to defraud another; at least $100,000 but less than $250,000 (presumptive imprisonment)</t>
  </si>
  <si>
    <t>Kansas Uniform Securities Act; Intentional fraud in providing investment advice; employ a device, scheme, or artifice to defraud another; at least $25,000 but less than $100,000; if victim was an elder person (presumptive imprisonment)</t>
  </si>
  <si>
    <t>Kansas Uniform Securities Act; Intentional fraud in providing investment advice; engage in act, practice, or course of business that operates as a fraud or deceit; at least $100,000 but less than $250,000 (presumptive imprisonment)</t>
  </si>
  <si>
    <t>Kansas Uniform Securities Act; Intentional fraud in providing investment advice; engage in act, practice, or course of business that operates as a fraud or deceit; at least $25,000 but less than $100,000; if victim was an elder person (presumptive imprisonment)</t>
  </si>
  <si>
    <t>Kansas Uniform Securities Act; Intentional general fraud in connection with offer, sale, or purchase of a security; employing device, scheme or artifice to defraud; at least $100,000 but less than $250,000 (presumptive imprisonment)</t>
  </si>
  <si>
    <t>Kansas Uniform Securities Act; Intentional general fraud in connection with offer, sale, or purchase of a security; employing device, scheme or artifice to defraud; at least $25,000 but less than $100,000; if victim was an elder person (presumptive imprisonment)</t>
  </si>
  <si>
    <t>Kansas Uniform Securities Act; Intentional general fraud in connection with offer, sale, or purchase of a security; engage in act, practice, or course of business that operates as a fraud or deceit; at least $100,000 but less than $250,000 (presumptive imprisonment)</t>
  </si>
  <si>
    <t>Kansas Uniform Securities Act; Intentional general fraud in connection with offer, sale, or purchase of a security; engage in act, practice, or course of business that operates as a fraud or deceit; at least $25,000 but less than $100,000; if victim was an elder person (presumptive imprisonment)</t>
  </si>
  <si>
    <t>Kansas Uniform Securities Act; Intentional general fraud in connection with offer, sale, or purchase of a security; false statement of or omission of material fact; at least $100,000 but less than $250,000 (presumptive imprisonment)</t>
  </si>
  <si>
    <t>Kansas Uniform Securities Act; Intentional general fraud in connection with offer, sale, or purchase of a security; false statement of or omission of material fact; at least $25,000 but less than $100,000; if victim was an elder person (presumptive imprisonment)</t>
  </si>
  <si>
    <t>Kansas Uniform Securities Act; Intentional violation of agent registration requirements; $100,000 or more; if victim was an elder person (presumptive imprisonment)</t>
  </si>
  <si>
    <t>17-12a402(a)</t>
  </si>
  <si>
    <t>Kansas Uniform Securities Act; Intentional violation of broker-dealer registration requirements; $100,000 or more; if victim was an elder person (presumptive imprisonment)</t>
  </si>
  <si>
    <t>17-12a401(a)</t>
  </si>
  <si>
    <t>Kansas Uniform Securities Act; Intentional violation of investment adviser registration requirements; $100,000 or more; if victim was an elder person (presumptive imprisonment)</t>
  </si>
  <si>
    <t>17-12a403(a)</t>
  </si>
  <si>
    <t>Kansas Uniform Securities Act; Intentional violation of investment adviser representative limits on employment or association; if victim was an elder person</t>
  </si>
  <si>
    <t>17-12a404(e)</t>
  </si>
  <si>
    <t>Kansas Uniform Securities Act; Intentional violation of investment adviser representative registration requirements; $100,000 or more; if victim was an elder person (presumptive imprisonment)</t>
  </si>
  <si>
    <t>17-12a404(a)</t>
  </si>
  <si>
    <t>Kansas Uniform Securities Act; Intentional, unlawful offering or selling security in this state; security not a federally covered security; $100,000 or more; if victim was an elder person (presumptive imprisonment)</t>
  </si>
  <si>
    <t>17-12a301(1)</t>
  </si>
  <si>
    <t>Kansas Uniform Securities Act; Intentional, unlawful offering or selling security in this state; security not exempt from registration; $100,000 or more; if victim was an elder person (presumptive imprisonment)</t>
  </si>
  <si>
    <t>17-12a301(2)</t>
  </si>
  <si>
    <t>Kansas Uniform Securities Act; Intentional, unlawful offering or selling security in this state; security not registered; $100,000 or more; if victim was an elder person (presumptive imprisonment)</t>
  </si>
  <si>
    <t>17-12a301(3)</t>
  </si>
  <si>
    <t>Kansas Uniform Securities Act; Misleading filings; coercion; obstruction; alter, destroy, shred, mutilate or conceal a record with intent to impair the object's integrity or availability for the use in a proceeding; if victim was an elder person</t>
  </si>
  <si>
    <t>17-12a505(c)(2)</t>
  </si>
  <si>
    <t>Kansas Uniform Securities Act; Misleading filings; coercion; obstruction; alter, destroy, shred, mutilate, conceal, cover up or falsify any record with intent to impede, obstruct or influence an investigation; if victim was an elder person</t>
  </si>
  <si>
    <t>17-12a505(c)(1)</t>
  </si>
  <si>
    <t>Kansas Uniform Securities Act; Misleading filings; coercion; obstruction; intentionally influence, coerce, manipulate, or mislead another in connection with financial statements or appraisals to be used in offer, sale or purchase of securities; if victim was an elder person</t>
  </si>
  <si>
    <t>17-12a505(b)</t>
  </si>
  <si>
    <t>Kansas Uniform Securities Act; Misleading filings; coercion; obstruction; make a false or misleading statement in a material respect or omission of material fact; if victim was an elder person</t>
  </si>
  <si>
    <t>17-12a505(a)</t>
  </si>
  <si>
    <t>Kansas Uniform Securities Act; Misleading filings; coercion; obstruction; take action harmful to another with intent to retaliate, including, but not limited to, interference with lawful employment of such person; if victim was an elder person</t>
  </si>
  <si>
    <t>17-12a505(c)(3)</t>
  </si>
  <si>
    <t>Kansas Uniform Securities Act; Intentional fraud in providing investment advice; employ a device, scheme, or artifice to defraud another; at least $25,000 but less than $100,000 (presumptive imprisonment)</t>
  </si>
  <si>
    <t>Kansas Uniform Securities Act; Intentional fraud in providing investment advice; employ a device, scheme, or artifice to defraud another; less than $25,000; if victim was an elder person</t>
  </si>
  <si>
    <t>Kansas Uniform Securities Act; Intentional fraud in providing investment advice; engage in act, practice, or course of business that operates as a fraud or deceit; at least $25,000 but less than $100,000 (presumptive imprisonment)</t>
  </si>
  <si>
    <t>Kansas Uniform Securities Act; Intentional fraud in providing investment advice; engage in act, practice, or course of business that operates as a fraud or deceit; less than $25,000; if victim was an elder person</t>
  </si>
  <si>
    <t>Kansas Uniform Securities Act; Intentional general fraud in connection with offer, sale, or purchase of a security; employing device, scheme or artifice to defraud; at least $25,000 but less than $100,000 (presumptive imprisonment)</t>
  </si>
  <si>
    <t>Kansas Uniform Securities Act; Intentional general fraud in connection with offer, sale, or purchase of a security; employing device, scheme or artifice to defraud; less than $25,000; if victim was an elder person</t>
  </si>
  <si>
    <t>Kansas Uniform Securities Act; Intentional general fraud in connection with offer, sale, or purchase of a security; engage in act, practice, or course of business that operates as a fraud or deceit; at least $25,000 but less than $100,000 (presumptive imprisonment)</t>
  </si>
  <si>
    <t>Kansas Uniform Securities Act; Intentional general fraud in connection with offer, sale, or purchase of a security; engage in act, practice, or course of business that operates as a fraud or deceit; less than $25,000; if victim was an elder person</t>
  </si>
  <si>
    <t>Kansas Uniform Securities Act; Intentional general fraud in connection with offer, sale, or purchase of a security; false statement of or omission of material fact; at least $25,000 but less than $100,000 (presumptive imprisonment)</t>
  </si>
  <si>
    <t>Kansas Uniform Securities Act; Intentional general fraud in connection with offer, sale, or purchase of a security; false statement of or omission of material fact; less than $25,000; if victim was an elder person</t>
  </si>
  <si>
    <t>Kansas Uniform Securities Act; Intentional violation of agent registration requirements; $100,000 or more (presumptive imprisonment)</t>
  </si>
  <si>
    <t>Kansas Uniform Securities Act; Intentional violation of agent registration requirements; at least $25,000 but less than $100,000; if victim was an elder person (presumptive imprisonment)</t>
  </si>
  <si>
    <t>Kansas Uniform Securities Act; Intentional violation of broker-dealer limits on employment or association; if victim was an elder person</t>
  </si>
  <si>
    <t>17-12a401(c)</t>
  </si>
  <si>
    <t>Kansas Uniform Securities Act; Intentional violation of broker-dealer registration requirements; $100,000 or more (presumptive imprisonment)</t>
  </si>
  <si>
    <t>Kansas Uniform Securities Act; Intentional violation of broker-dealer registration requirements; at least $25,000 but less than $100,000; if victim was an elder person (presumptive imprisonment)</t>
  </si>
  <si>
    <t>Kansas Uniform Securities Act; Intentional violation of investment adviser limits on employment or association; if victim was an elder person</t>
  </si>
  <si>
    <t>17-12a403(c)</t>
  </si>
  <si>
    <t>Kansas Uniform Securities Act; Intentional violation of investment adviser registration requirements; $100,000 or more (presumptive imprisonment)</t>
  </si>
  <si>
    <t>Kansas Uniform Securities Act; Intentional violation of investment adviser registration requirements; at least $25,000 but less than $100,000; if victim was an elder person (presumptive imprisonment)</t>
  </si>
  <si>
    <t>Kansas Uniform Securities Act; Intentional violation of investment adviser representative limits on employment or association</t>
  </si>
  <si>
    <t>Kansas Uniform Securities Act; Intentional violation of investment adviser representative registration requirements; $100,000 or more (presumptive imprisonment)</t>
  </si>
  <si>
    <t>Kansas Uniform Securities Act; Intentional violation of investment adviser representative registration requirements; at least $25,000 but less than $100,000; if victim was an elder person (presumptive imprisonment)</t>
  </si>
  <si>
    <t>Kansas Uniform Securities Act; Intentional, unlawful offering or selling security in this state; security not a federally covered security; $100,000 or more (presumptive imprisonment)</t>
  </si>
  <si>
    <t>Kansas Uniform Securities Act; Intentional, unlawful offering or selling security in this state; security not a federally covered security; at least $25,000 but less than $100,000; if victim was an elder person (presumptive imprisonment)</t>
  </si>
  <si>
    <t>Kansas Uniform Securities Act; Intentional, unlawful offering or selling security in this state; security not exempt from registration; $100,000 or more (presumptive imprisonment)</t>
  </si>
  <si>
    <t>Kansas Uniform Securities Act; Intentional, unlawful offering or selling security in this state; security not exempt from registration; at least $25,000 but less than $100,000; if victim was an elder person (presumptive imprisonment)</t>
  </si>
  <si>
    <t>Kansas Uniform Securities Act; Intentional, unlawful offering or selling security in this state; security not registered; $100,000 or more (presumptive imprisonment)</t>
  </si>
  <si>
    <t>Kansas Uniform Securities Act; Intentional, unlawful offering or selling security in this state; security not registered; at least $25,000 but less than $100,000; if victim was an elder person (presumptive imprisonment)</t>
  </si>
  <si>
    <t>Kansas Uniform Securities Act; Misleading filings; coercion; obstruction; alter, destroy, shred, mutilate or conceal a record with intent to impair the object's integrity or availability for the use in a proceeding</t>
  </si>
  <si>
    <t>Kansas Uniform Securities Act; Misleading filings; coercion; obstruction; alter, destroy, shred, mutilate, conceal, cover up or falsify any record with intent to impede, obstruct or influence an investigation</t>
  </si>
  <si>
    <t>Kansas Uniform Securities Act; Misleading filings; coercion; obstruction; intentionally influence, coerce, manipulate, or mislead another in connection with financial statements or appraisals to be used in offer, sale or purchase of securities</t>
  </si>
  <si>
    <t>Kansas Uniform Securities Act; Misleading filings; coercion; obstruction; make a false or misleading statement in a material respect or omission of material fact</t>
  </si>
  <si>
    <t>Kansas Uniform Securities Act; Misleading filings; coercion; obstruction; take action harmful to another with intent to retaliate, including, but not limited to, interference with lawful employment of such person</t>
  </si>
  <si>
    <t>Kansas Uniform Securities Act; Criminal Penalties; Intentional violation of this act, or rule adopted or order issued under this act, except as provided in subsections (a) (2) through (a) (4) of K.S.A. 17-12a508, K.S.A. 2005 Supp. 17-12a504, (filing requirement) or the notice filing requirements of K.S.A. 2005 Supp. 17-12a302, (required filing of record) or 17-12a405, (notice filing requirement); if the victim was an elder person  An individual may be fined, but not imprisoned, if the individual did not have knowledge of the rule or order</t>
  </si>
  <si>
    <t>17-12a101 et. seq.</t>
  </si>
  <si>
    <t>Kansas Uniform Securities Act; Intentional fraud in providing investment advice; employ a device, scheme, or artifice to defraud another; less than $25,000</t>
  </si>
  <si>
    <t>Kansas Uniform Securities Act; Intentional fraud in providing investment advice; engage in act, practice, or course of business that operates as a fraud or deceit; less than $25,000</t>
  </si>
  <si>
    <t>Kansas Uniform Securities Act; Intentional general fraud in connection with offer, sale, or purchase of a security; employing device, scheme or artifice to defraud; less than $25,000</t>
  </si>
  <si>
    <t>Kansas Uniform Securities Act; Intentional general fraud in connection with offer, sale, or purchase of a security; engage in act, practice, or course of business that operates as a fraud or deceit; less than $25,000</t>
  </si>
  <si>
    <t>Kansas Uniform Securities Act; Intentional general fraud in connection with offer, sale, or purchase of a security; false statement of or omission of material fact; less than $25,000</t>
  </si>
  <si>
    <t>Kansas Uniform Securities Act; Intentional violation of agent limits on employment or association; if victim was an elder person</t>
  </si>
  <si>
    <t>17-12a402(d)</t>
  </si>
  <si>
    <t>Kansas Uniform Securities Act; Intentional violation of agent registration requirements; at least $25,000 but less than $100,000 (presumptive imprisonment)</t>
  </si>
  <si>
    <t>Kansas Uniform Securities Act; Intentional violation of agent registration requirements; less than $25,000; if victim was an elder person</t>
  </si>
  <si>
    <t>Kansas Uniform Securities Act; Intentional violation of broker-dealer limits on employment or association</t>
  </si>
  <si>
    <t>Kansas Uniform Securities Act; Intentional violation of broker-dealer registration requirements; at least $25,000 but less than $100,000 (presumptive imprisonment)</t>
  </si>
  <si>
    <t>Kansas Uniform Securities Act; Intentional violation of broker-dealer registration requirements; less than $25,000; if victim was an elder person</t>
  </si>
  <si>
    <t>Kansas Uniform Securities Act; Intentional violation of investment adviser limits on employment or association</t>
  </si>
  <si>
    <t>Kansas Uniform Securities Act; Intentional violation of investment adviser registration requirements; at least $25,000 but less than $100,000 (presumptive imprisonment)</t>
  </si>
  <si>
    <t>Kansas Uniform Securities Act; Intentional violation of investment adviser registration requirements; less than $25,000; if victim was an elder person</t>
  </si>
  <si>
    <t>Kansas Uniform Securities Act; Intentional violation of investment adviser representative registration requirements; at least $25,000 but less than $100,000 (presumptive imprisonment)</t>
  </si>
  <si>
    <t>Kansas Uniform Securities Act; Intentional violation of investment adviser representative registration requirements; less than $25,000; if victim was an elder person</t>
  </si>
  <si>
    <t>Kansas Uniform Securities Act; Intentional violation of investment adviser representative registration; if victim was an elder person</t>
  </si>
  <si>
    <t>17-12a403(d)</t>
  </si>
  <si>
    <t>Kansas Uniform Securities Act; Intentional, unlawful offering or selling security in this state; security not a federally covered security; at least $25,000 but less than $100,000 (presumptive imprisonment)</t>
  </si>
  <si>
    <t>Kansas Uniform Securities Act; Intentional, unlawful offering or selling security in this state; security not a federally covered security; less than $25,000; if victim was an elder person</t>
  </si>
  <si>
    <t>Kansas Uniform Securities Act; Intentional, unlawful offering or selling security in this state; security not exempt from registration; at least $25,000 but less than $100,000 (presumptive imprisonment)</t>
  </si>
  <si>
    <t>Kansas Uniform Securities Act; Intentional, unlawful offering or selling security in this state; security not exempt from registration; less than $25,000; if victim was an elder person</t>
  </si>
  <si>
    <t>Kansas Uniform Securities Act; Intentional, unlawful offering or selling security in this state; security not registered; at least $25,000 but less than $100,000 (presumptive imprisonment)</t>
  </si>
  <si>
    <t>Kansas Uniform Securities Act; Intentional, unlawful offering or selling security in this state; security not registered; less than $25,000; if victim was an elder person</t>
  </si>
  <si>
    <t>Kansas Uniform Securities Act; Misrepresentations concerning registration</t>
  </si>
  <si>
    <t>17-12a506</t>
  </si>
  <si>
    <t>Kansas Uniform Securities Act; Criminal Penalties; Intentional violation of this act, or rule adopted or order issued under this act, except as provided in subsections (a) (2) through (a) (4) of K.S.A. 17-12a508, K.S.A. 2005 Supp. 17-12a504, (filing requirement) and amendments thereto, or the notice filing requirements of K.S.A. 2005 Supp. 17-12a302, (required filing of record) or 17-12a405, (notice filing requirement) and amendments thereto.  An individual may be fined, but not imprisoned, if the individual did not have knowledge of the rule or order</t>
  </si>
  <si>
    <t>Kansas Uniform Securities Act; Intentional violation of agent limits on employment or association</t>
  </si>
  <si>
    <t>Kansas Uniform Securities Act; Intentional violation of agent registration requirements; less than $25,000</t>
  </si>
  <si>
    <t>Kansas Uniform Securities Act; Intentional violation of broker-dealer registration requirements; less than $25,000</t>
  </si>
  <si>
    <t>Kansas Uniform Securities Act; Intentional violation of investment adviser registration requirements; less than $25,000</t>
  </si>
  <si>
    <t>Kansas Uniform Securities Act; Intentional violation of investment adviser representative registration</t>
  </si>
  <si>
    <t>Kansas Uniform Securities Act; Intentional violation of investment adviser representative registration requirements; less than $25,000</t>
  </si>
  <si>
    <t>Kansas Uniform Securities Act; Intentional, unlawful offering or selling security in this state; security not a federally covered security; less than $25,000</t>
  </si>
  <si>
    <t>Kansas Uniform Securities Act; Intentional, unlawful offering or selling security in this state; security not exempt from registration; less than $25,000</t>
  </si>
  <si>
    <t>Kansas Uniform Securities Act; Intentional, unlawful offering or selling security in this state; security not registered; less than $25,000</t>
  </si>
  <si>
    <t>Keg Registration Act; Deface beer keg ID number by person not a retailer</t>
  </si>
  <si>
    <t>41-2905(d)(2)</t>
  </si>
  <si>
    <t>Keg Registration Act; Deface CMB keg ID number by person not a retailer</t>
  </si>
  <si>
    <t>41-2906(d)(2)</t>
  </si>
  <si>
    <t>Keg Registration Act; Possession of beer keg without ID number by person not a retailer</t>
  </si>
  <si>
    <t>41-2905(d)(3)</t>
  </si>
  <si>
    <t>Keg Registration Act; Possession of CMB keg without ID number by person not a retailer</t>
  </si>
  <si>
    <t>41-2906(d)(3)</t>
  </si>
  <si>
    <t>Keg Registration Act; Removal of beer keg ID number by person who is not a retailer</t>
  </si>
  <si>
    <t>41-2905(d)(1)</t>
  </si>
  <si>
    <t>Keg Registration Act; Removal of CMB keg ID number by person not a retailer</t>
  </si>
  <si>
    <t>41-2906(d)(1)</t>
  </si>
  <si>
    <t>Kidnapping; For ransom, or as a shield or hostage</t>
  </si>
  <si>
    <t>21-5408(a)(1)</t>
  </si>
  <si>
    <t>Kidnapping; To facilitate flight or the commission of any crime</t>
  </si>
  <si>
    <t>21-5408(a)(2)</t>
  </si>
  <si>
    <t>Kidnapping; To inflict bodily injury or to terrorize the victim or another</t>
  </si>
  <si>
    <t>21-5408(a)(3)</t>
  </si>
  <si>
    <t>Kidnapping; To interfere with the performance of any governmental or political function</t>
  </si>
  <si>
    <t>21-5408(a)(4)</t>
  </si>
  <si>
    <t>Labeling of Ag. Products; Grade any agricultural product, and identify it or its container, with a false established standard</t>
  </si>
  <si>
    <t>Labeling of Ag. Products; Misleading labeling</t>
  </si>
  <si>
    <t>2-2302(a)</t>
  </si>
  <si>
    <t>Labeling of Ag. Products; Misleading representations</t>
  </si>
  <si>
    <t>2-2302(b)</t>
  </si>
  <si>
    <t>Labeling of Ag. Products; Move into KS for sale, have possession for sale, or sale of, any agricultural product labeled or represented in a misleading manner</t>
  </si>
  <si>
    <t>2-2302(c)</t>
  </si>
  <si>
    <t>Labor &amp; Industries; Conditions of employment detrimental to health and welfare unlawful</t>
  </si>
  <si>
    <t>44-640</t>
  </si>
  <si>
    <t>Labor &amp; Industries; Discharge or discriminate against employee because employee filed a complaint with, or furnished information to, the secretary of labor concerning unsafe or hazardous working conditions</t>
  </si>
  <si>
    <t>44-636(f)</t>
  </si>
  <si>
    <t>Labor &amp; Industries; Employer preventing discharged employee from obtaining employment</t>
  </si>
  <si>
    <t>44-117</t>
  </si>
  <si>
    <t>Labor &amp; Industries; Employment Security Law; Knowingly and intentionally misclassify an employee as an independent contractor for sole or primary purpose to avoid state income tax withholding and reporting requirements or state unemployment insurance contributions reporting requirements; 2nd violation</t>
  </si>
  <si>
    <t>44-766(a)</t>
  </si>
  <si>
    <t>Labor &amp; Industries; Employment Security Law; Knowingly and intentionally misclassify an employee as an independent contractor for sole or primary purpose to avoid state income tax withholding and reporting requirements or state unemployment insurance contributions reporting requirements; 3rd or subs. violation</t>
  </si>
  <si>
    <t>Labor &amp; Industries; Penalty for any violation of K.S.A. 44-401 through 44-412, inclusive</t>
  </si>
  <si>
    <t>44-410</t>
  </si>
  <si>
    <t>Labor &amp; Industries; Penalty for failure to testify when subpoenaed</t>
  </si>
  <si>
    <t>44-635</t>
  </si>
  <si>
    <t>Labor &amp; Industries; Penalty for Violation of Act</t>
  </si>
  <si>
    <t>44-129</t>
  </si>
  <si>
    <t>Labor &amp; Industries; Penalty for violation of act</t>
  </si>
  <si>
    <t>44-648</t>
  </si>
  <si>
    <t>Labor &amp; Industries; Penalty for violation of K.S.A. 44-601 to 44-628</t>
  </si>
  <si>
    <t>44-618</t>
  </si>
  <si>
    <t>Labor &amp; Industries; Remove or require to be removed, or made ineffective any practical safeguard around or safety attachment to any machinery, vats, pan, or other apparatus or device mentioned in this section while the same is in use; require or permit the operation of, or operate, the dangerous machine, apparatus or device without the required safeguards or safety attachments</t>
  </si>
  <si>
    <t>44-636(c)</t>
  </si>
  <si>
    <t>Labor &amp; Industries; Unlawful acts against witnesses and litigants</t>
  </si>
  <si>
    <t>44-615</t>
  </si>
  <si>
    <t>Labor &amp; Industries; Unlawful installation or operation of any boiler or pressure vessel in this state; construction of any boiler or pressure vessel for use in this state in violation of this act, or rules and regulations hereunder</t>
  </si>
  <si>
    <t>44-925(c)</t>
  </si>
  <si>
    <t>Labor &amp; Industries; Unlawful limitation or cessation of business operations</t>
  </si>
  <si>
    <t>44-616</t>
  </si>
  <si>
    <t>Labor &amp; Industries; Unlawful operation of a pressure vessel installed after January 1, 1999, or a boiler without valid inspection certificate, and the operation of a pressure vessel installed after January 1, 1999, or a boiler without such inspection certificate or at a pressure exceeding that specified in such inspection certificate</t>
  </si>
  <si>
    <t>44-925(a)</t>
  </si>
  <si>
    <t>Labor &amp; Industries; Violations of Act; quitting employment; picketing; intimidation</t>
  </si>
  <si>
    <t>44-617</t>
  </si>
  <si>
    <t>Legislative Post Audit; Failure to make records available for post audit</t>
  </si>
  <si>
    <t>46-1116</t>
  </si>
  <si>
    <t>Levees; Summoning labor for emergency work on levee; refusing summons</t>
  </si>
  <si>
    <t>24-811</t>
  </si>
  <si>
    <t>Levees; Willfully cut, break, damage or make a leak in levee; build any cross-levee, dike or embankment, to prevent the flow of the surface water in its natural course to the sewer pipes or openings provided for the escape of such surface water, or otherwise change the contour of such levee districts by building cross-levees or embankments, or by any other act render the protection afforded by said levee to all parties less effective and complete</t>
  </si>
  <si>
    <t>24-815</t>
  </si>
  <si>
    <t>Lewd and Lascivious Behavior; Publicly engage sexual intercourse or sodomy with knowledge or reasonable anticipation of being viewed by others; if done in presence of persons 16 or older</t>
  </si>
  <si>
    <t>21-5513(a)(1)</t>
  </si>
  <si>
    <t>Lewd and Lascivious Behavior; Publicly engaging in sexual intercourse or sodomy; In presence of person under 16</t>
  </si>
  <si>
    <t>Lewd and Lascivious Behavior; Publicly expose a sex organ or expose a sex organ in presence of one not the spouse of offender without consent, with intent to arouse or gratify the sexual desires of the offender or another; if done in presence of person 16 or older</t>
  </si>
  <si>
    <t>21-5513(a)(2)</t>
  </si>
  <si>
    <t>Lewd and Lascivious Behavior; Publicly exposing a sex organ or exposing a sex organ to one other than spouse; committed in presence of person under 16</t>
  </si>
  <si>
    <t>Liquefied Petroleum Gas; Unlawful for any person except owner or a person authorized in writing by him or her to fill or refill such container</t>
  </si>
  <si>
    <t>55-1102(a)(1)</t>
  </si>
  <si>
    <t>Liquefied Petroleum Gas; Unlawful for any person to place the name, mark, initials or other identifying device of any person other than the owner on any liquefied petroleum gas container</t>
  </si>
  <si>
    <t>55-1102(b)</t>
  </si>
  <si>
    <t>Liquefied Petroleum Gas; Unlawful for person other than owner or owner's agent to buy, sell, offer for sale, give, take, loan, deliver or permit to be delivered, or otherwise use, dispose of, or traffic in any such container</t>
  </si>
  <si>
    <t>55-1102(a)(2)</t>
  </si>
  <si>
    <t>Liquefied Petroleum Gas; Unlawful for person other than owner or owner's agent to deface, erase, obliterate, cover up or otherwise remove or conceal or change any such name, mark, initials or other identifying device of the owner or to place the name, mark, initials or other identifying device of any person other than the owner on such container</t>
  </si>
  <si>
    <t>55-1102(a)(3)</t>
  </si>
  <si>
    <t>Liquefied Petroleum Gas; Unlawful to fill or refill unmarked containers if notified by owner</t>
  </si>
  <si>
    <t>55-1103</t>
  </si>
  <si>
    <t>Liquor Control Act; Certain sales on credit, in trade or by check prohibited</t>
  </si>
  <si>
    <t>41-717</t>
  </si>
  <si>
    <t>Liquor Control Act; Common carriers; must deliver only to consignee</t>
  </si>
  <si>
    <t>41-725</t>
  </si>
  <si>
    <t>Liquor Control Act; Division of Alcoholic Beverage Control; conflict of interest</t>
  </si>
  <si>
    <t>41-206(a)</t>
  </si>
  <si>
    <t>Liquor Control Act; Drink or consume alcoholic liquor on the public streets, alleys, roads or highways or inside vehicles while on the public streets, alleys, roads or highways</t>
  </si>
  <si>
    <t>41-719(a)</t>
  </si>
  <si>
    <t>Liquor Control Act; Duty of county attorney; penalty for neglect; duty of attorney general</t>
  </si>
  <si>
    <t>41-1107</t>
  </si>
  <si>
    <t>Liquor Control Act; Evasion or attempt to evade payment of liquor tax</t>
  </si>
  <si>
    <t>41-407(a)(1)</t>
  </si>
  <si>
    <t>Liquor Control Act; False branding</t>
  </si>
  <si>
    <t>41-905</t>
  </si>
  <si>
    <t>Liquor Control Act; False statements to common carriers unlawful</t>
  </si>
  <si>
    <t>41-726</t>
  </si>
  <si>
    <t>Liquor Control Act; Giving or selling liquor to evade law declared unlawful</t>
  </si>
  <si>
    <t>41-722</t>
  </si>
  <si>
    <t>Liquor Control Act; Knowingly permitting licensee to unlawfully use premises</t>
  </si>
  <si>
    <t>41-903</t>
  </si>
  <si>
    <t>Liquor Control Act; Licensing &amp; Related Provisions; city option; knowingly signing a petition authorized by this section when not a qualified voter; aiding or abetting any other in the same; bribe, give or pay any money or thing of value to any person to induce such person to sign such petition</t>
  </si>
  <si>
    <t>41-302(a)</t>
  </si>
  <si>
    <t>Liquor Control Act; Location of retail store, microbrewery or farm winery; restrictions</t>
  </si>
  <si>
    <t>41-710</t>
  </si>
  <si>
    <t>Liquor Control Act; Manufacturers/distributors provide bonded warehouses</t>
  </si>
  <si>
    <t>41-401</t>
  </si>
  <si>
    <t>Liquor Control Act; No retail licenses to issue in cities where electors voted contrary</t>
  </si>
  <si>
    <t>41-721</t>
  </si>
  <si>
    <t>Liquor Control Act; No supplier, wholesaler, distributor, manufacturer or importer shall by oral or written contract or agreement, expressly or impliedly fix, maintain, coerce or control the resale price of alcoholic liquor, beer or cereal malt beverage to be resold by such wholesaler, distributor, manufacturer or importer</t>
  </si>
  <si>
    <t>41-701(f)</t>
  </si>
  <si>
    <t>Liquor Control Act; Nonbeverage licensee forbidden to give or sell alcoholic liquors</t>
  </si>
  <si>
    <t>41-720</t>
  </si>
  <si>
    <t>Liquor Control Act; Open Saloon</t>
  </si>
  <si>
    <t>41-803(a)</t>
  </si>
  <si>
    <t>Liquor Control Act; Places and properties operated or used in violation of act</t>
  </si>
  <si>
    <t>41-805(1)</t>
  </si>
  <si>
    <t>Liquor Control Act; Possession of alcoholic liquor, without mark indicating payment of liquor tax</t>
  </si>
  <si>
    <t>41-407(a)(2)</t>
  </si>
  <si>
    <t>Liquor Control Act; Possession of untaxed liquor by retailer</t>
  </si>
  <si>
    <t>41-508</t>
  </si>
  <si>
    <t>Liquor Control Act; Purchase/consumption of alcoholic beverage by minor; violation by 1 18-20 yrs of age</t>
  </si>
  <si>
    <t>41-727(a)</t>
  </si>
  <si>
    <t>Liquor Control Act; Retail sales at less than cost</t>
  </si>
  <si>
    <t>41-729(a)</t>
  </si>
  <si>
    <t>Liquor Control Act; Retailer must obtain from licensed distributor</t>
  </si>
  <si>
    <t>41-708</t>
  </si>
  <si>
    <t>Liquor Control Act; Retailers; mixing drinks on premises and employment of certain persons prohibited</t>
  </si>
  <si>
    <t>41-713</t>
  </si>
  <si>
    <t>Liquor Control Act; Sale at retail forbidden on certain premises</t>
  </si>
  <si>
    <t>41-711</t>
  </si>
  <si>
    <t>Liquor Control Act; Sale by distributor of alcoholic liquor or CMB to a club, drinking establishment or caterer on credit prohibited; purchase of alcoholic liquor or cereal malt beverage from a distributor by a club, drinking establishment or caterer on credit prohibited</t>
  </si>
  <si>
    <t>41-728(a)</t>
  </si>
  <si>
    <t>Liquor Control Act; Sale of liquor forbidden on certain days</t>
  </si>
  <si>
    <t>41-712</t>
  </si>
  <si>
    <t>Liquor Control Act; Sale of liquor to incapacitated or intoxicated person</t>
  </si>
  <si>
    <t>41-715(a)</t>
  </si>
  <si>
    <t>Liquor Control Act; Sale only in original package; refilling prohibited</t>
  </si>
  <si>
    <t>41-718</t>
  </si>
  <si>
    <t>Liquor Control Act; Sales of alcoholic liquor or CMB by a distributor to a club, drinking establishment, caterer or retailer licensed under the Kansas liquor control act or under K.S.A. 41-2702 shall be separate from sales to any other club, drinking establishment, caterer or retailer even if the licensee is the same</t>
  </si>
  <si>
    <t>41-728(b)</t>
  </si>
  <si>
    <t>Liquor Control Act; Unauthorized drinking / consuming alcoholic liquor on private property</t>
  </si>
  <si>
    <t>41-719(b)</t>
  </si>
  <si>
    <t>Liquor Control Act; Unauthorized drinking / consuming alcoholic liquor on public property</t>
  </si>
  <si>
    <t>41-719(c)</t>
  </si>
  <si>
    <t>Liquor Control Act; Unauthorized manufacturing, bottling, blending, selling, bartering, transporting, delivering, furnishing or possessing any alcoholic liquor for beverage purposes</t>
  </si>
  <si>
    <t>41-104</t>
  </si>
  <si>
    <t>Liquor Control Act; Unauthorized sale or attempted sale of alcoholic liquor or CMB by manufacturer of alcoholic liquor or cereal malt beverage</t>
  </si>
  <si>
    <t>41-701(e)</t>
  </si>
  <si>
    <t>Liquor Control Act; Unauthorized sale or attempted sale of beer or CMB beverage by distributor</t>
  </si>
  <si>
    <t>41-701(c)</t>
  </si>
  <si>
    <t>Liquor Control Act; Unauthorized sale or attempted sale of spirits by distributor</t>
  </si>
  <si>
    <t>41-701(a)</t>
  </si>
  <si>
    <t>Liquor Control Act; Unauthorized sale or attempted sale of wine by distributor</t>
  </si>
  <si>
    <t>41-701(b)</t>
  </si>
  <si>
    <t>Liquor Control Act; Unauthorized sale or delivery by manufacturer or distributor</t>
  </si>
  <si>
    <t>41-709</t>
  </si>
  <si>
    <t>Liquor Control Act; Unauthorized transportation of liquor into state forbidden</t>
  </si>
  <si>
    <t>41-724</t>
  </si>
  <si>
    <t>Liquor Control Act; Violations of act by persons required to be licensed</t>
  </si>
  <si>
    <t>41-901(a)</t>
  </si>
  <si>
    <t>Listing Property for Taxation; Failure of Owner, lessee or operator of dock to notify assessor of watercraft on dock and owners of such</t>
  </si>
  <si>
    <t>79-339</t>
  </si>
  <si>
    <t>Listing Property for Taxation; Failure of Owner, lessee or operator of park or land to notify assessor of all mobile and manufactured homes located in park or on land</t>
  </si>
  <si>
    <t>79-337</t>
  </si>
  <si>
    <t>Listing Property for Taxation; Knowingly giving a false or fraudulent list, schedule or statement; temporarily convert any taxable property into property not taxable, to prevent such property from being listed, or to evade the payment of taxes</t>
  </si>
  <si>
    <t>79-333</t>
  </si>
  <si>
    <t>Listing Property for Taxation; Unauthorized removal of buildings from delinquent real estate</t>
  </si>
  <si>
    <t>79-319a</t>
  </si>
  <si>
    <t>Livestock/Domestic Animals; Bonding of livestock dealers required</t>
  </si>
  <si>
    <t>47-1808(a)</t>
  </si>
  <si>
    <t>Livestock/Domestic Animals; Certificates of health required</t>
  </si>
  <si>
    <t>47-607(b)</t>
  </si>
  <si>
    <t>Livestock/Domestic Animals; Deliveries in Motor Vehicles; penalty for violations</t>
  </si>
  <si>
    <t>47-1102(a)</t>
  </si>
  <si>
    <t>Livestock/Domestic Animals; Disposal of dead animals; penalty for violations of act</t>
  </si>
  <si>
    <t>47-1217</t>
  </si>
  <si>
    <t>Livestock/Domestic Animals; Enter or remain on an animal facility or enter any property with intent to damage</t>
  </si>
  <si>
    <t>47-1827(f)</t>
  </si>
  <si>
    <t>Livestock/Domestic Animals; Exercise control with intent to deprive owner and damage enterprise at facility</t>
  </si>
  <si>
    <t>47-1827(b)</t>
  </si>
  <si>
    <t>Livestock/Domestic Animals; Fail or refuse to make payment for livestock purchased for slaughter on the day ownership is transferred unless exception applies; requirements for check payments</t>
  </si>
  <si>
    <t>47-1802(a)</t>
  </si>
  <si>
    <t>Livestock/Domestic Animals; Fail to obtain a permit to engage in the business of raising domesticated deer</t>
  </si>
  <si>
    <t>47-2101(a)</t>
  </si>
  <si>
    <t>Livestock/Domestic Animals; Injection of virulent hog-cholera virus into hogs without permit unlawful</t>
  </si>
  <si>
    <t>47-629</t>
  </si>
  <si>
    <t>Livestock/Domestic Animals; Intent to damage and destroy enterprise at facility, property in or on the facility; damage is $25,000 or more</t>
  </si>
  <si>
    <t>47-1827(a)</t>
  </si>
  <si>
    <t>Livestock/Domestic Animals; Intent to damage and destroy enterprise at facility, property in or on the facility; damage is at least $1,000 but less than $25,000</t>
  </si>
  <si>
    <t>Livestock/Domestic Animals; Intent to damage or destroy field crop; University or private research facility or federal, state or local government; damage is $25,000 or more</t>
  </si>
  <si>
    <t>47-1827(e)</t>
  </si>
  <si>
    <t>Livestock/Domestic Animals; Intent to damage or destroy field crop; University or private research facility or federal, state or local government; damage is at least $1,000 but less than $25,000</t>
  </si>
  <si>
    <t>Livestock/Domestic Animals; Intentionally damage or destroy an animal facility or animal or property in or on an animal facility without consent; less than $1,000</t>
  </si>
  <si>
    <t>Livestock/Domestic Animals; Intentionally damage or destroy any field crop product grown in the context of a product development program in conjunction or coordination with a private research facility or a university or any federal, state or local governmental agency without consent; less than $1,000</t>
  </si>
  <si>
    <t>Livestock/Domestic Animals; Intentionally releasing domesticated deer</t>
  </si>
  <si>
    <t>47-2102(a)</t>
  </si>
  <si>
    <t>Livestock/Domestic Animals; Knowingly permit any dead animals, carcasses of such animals or domestic fowl, or any part thereof, to remain in any well, spring, brook, branch, river, creek, pond, road, street, alley, lane other than the person's own driveway, lot, field, meadow not owned or leased by such person or commonly-owned or public property</t>
  </si>
  <si>
    <t>47-1219(b)</t>
  </si>
  <si>
    <t>Livestock/Domestic Animals; Marks &amp; Brands; bill of sale required for sale of animals in inspection areas</t>
  </si>
  <si>
    <t>47-438</t>
  </si>
  <si>
    <t>Livestock/Domestic Animals; Marks &amp; Brands; penalty for violation of K.S.A. 47-420, 47-446, and any provisions of act</t>
  </si>
  <si>
    <t>47-447</t>
  </si>
  <si>
    <t>Livestock/Domestic Animals; Marks &amp; Brands; required contents of bill of sale</t>
  </si>
  <si>
    <t>47-440</t>
  </si>
  <si>
    <t>Livestock/Domestic Animals; Marks &amp; Brands; unlawful branding or defacing of brands</t>
  </si>
  <si>
    <t>47-421</t>
  </si>
  <si>
    <t>Livestock/Domestic Animals; Marks &amp; Brands; unlawful to fail or refuse to exhibit bill of sale</t>
  </si>
  <si>
    <t>47-439</t>
  </si>
  <si>
    <t>Livestock/Domestic Animals; Marks &amp; Brands; unlawful to move cattle within area without inspection</t>
  </si>
  <si>
    <t>47-442</t>
  </si>
  <si>
    <t>Livestock/Domestic Animals; Marks &amp; Brands; unlawful to remove cattle from area without inspection certificate</t>
  </si>
  <si>
    <t>47-441</t>
  </si>
  <si>
    <t>Livestock/Domestic Animals; Marks &amp; Brands; use of brand by other than recorded owner</t>
  </si>
  <si>
    <t>47-422</t>
  </si>
  <si>
    <t>Livestock/Domestic Animals; Marks &amp; Brands; willfully and knowingly brand or cause to be branded with such person's brand, or any brand not the recorded brand of the owner, any livestock being the property of another, or who shall willfully or knowingly efface, deface or obliterate any brand upon any livestock</t>
  </si>
  <si>
    <t>47-421(b)</t>
  </si>
  <si>
    <t>Livestock/Domestic Animals; Marks &amp; Brands; willfully brand cattle in manner other than as required; falsely brand cattle so as to incorrectly designate the disease control identification or ownership of livestock</t>
  </si>
  <si>
    <t>47-418a</t>
  </si>
  <si>
    <t>Livestock/Domestic Animals; Marks &amp; Brands; willfully brands or causes to be branded any livestock in any manner other than as required or authorized by the laws of this state and the rules and regulations of the animal health commissioner</t>
  </si>
  <si>
    <t>47-421(a)</t>
  </si>
  <si>
    <t>Livestock/Domestic Animals; Penalty for violating act; refuse to allow examination of domestic animals for any infectious or contagious disease; hinder or obstruct any examination of or in an attempt to examine domestic animals</t>
  </si>
  <si>
    <t>47-662</t>
  </si>
  <si>
    <t>Livestock/Domestic Animals; Penalty for violating K.S.A. 47-629 to 47-629c</t>
  </si>
  <si>
    <t>47-629c</t>
  </si>
  <si>
    <t>Livestock/Domestic Animals; Penalty for violating quarantine; 1st conviction</t>
  </si>
  <si>
    <t>47-604</t>
  </si>
  <si>
    <t>Livestock/Domestic Animals; Penalty for violating quarantine; 2nd or subs. conviction</t>
  </si>
  <si>
    <t>Livestock/Domestic Animals; Place any dead animals, carcasses of such animals or domestic fowl, or any part thereof, into any well, spring, brook, branch, river, creek, pond, road, street, alley, lane other than the person's own driveway, lot, field, meadow not owned or leased by such person or commonly-owned or public property</t>
  </si>
  <si>
    <t>47-1219(a)</t>
  </si>
  <si>
    <t>Livestock/Domestic Animals; Rules and regulations of animal health commissioner; special quarantine</t>
  </si>
  <si>
    <t>47-607(c)</t>
  </si>
  <si>
    <t>Livestock/Domestic Animals; Sale as brucellosis or Bang's tested unlawful</t>
  </si>
  <si>
    <t>47-664</t>
  </si>
  <si>
    <t>Livestock/Domestic Animals; Sale of cattle as tuberculosis tested unlawful</t>
  </si>
  <si>
    <t>47-663</t>
  </si>
  <si>
    <t>Livestock/Domestic Animals; Sale of virulent hog-cholera virus by unauthorized vendors unlawful</t>
  </si>
  <si>
    <t>47-629a</t>
  </si>
  <si>
    <t>Livestock/Domestic Animals; Sale of virulent hog-cholera virus to unauthorized purchasers unlawful</t>
  </si>
  <si>
    <t>47-629b</t>
  </si>
  <si>
    <t>Livestock/Domestic Animals; Strays; unlawfully take up any stray or fail to comply with provisions act</t>
  </si>
  <si>
    <t>47-237</t>
  </si>
  <si>
    <t>Livestock/Domestic Animals; Transport uninspected animals into state without obtaining special permit if required</t>
  </si>
  <si>
    <t>47-607a</t>
  </si>
  <si>
    <t>Livestock/Domestic Animals; Unlawful to transport uninspected animals into state</t>
  </si>
  <si>
    <t>47-607(a)</t>
  </si>
  <si>
    <t>Livestock/Domestic Animals; With intent to damage &amp; without consent; enter an animal facility and commit or attempt to commit a prohibited act</t>
  </si>
  <si>
    <t>47-1827(c)(3)</t>
  </si>
  <si>
    <t>Livestock/Domestic Animals; With intent to damage &amp; without consent; enter an animal facility, not open to the public, with intent to commit a prohibited act</t>
  </si>
  <si>
    <t>47-1827(c)(1)</t>
  </si>
  <si>
    <t>Livestock/Domestic Animals; With intent to damage &amp; without consent; enter animal facility to take pictures by photograph, video camera or by any other means</t>
  </si>
  <si>
    <t>47-1827(c)(4)</t>
  </si>
  <si>
    <t>Livestock/Domestic Animals; With intent to damage &amp; without consent; enter or remain on animal facility having had notice that entry was forbidden</t>
  </si>
  <si>
    <t>47-1827(d)(1)(A)</t>
  </si>
  <si>
    <t>Livestock/Domestic Animals; With intent to damage &amp; without consent; enter or remain on animal facility having received notice to depart but failing to do so</t>
  </si>
  <si>
    <t>47-1827(d)(1)(B)</t>
  </si>
  <si>
    <t>Livestock/Domestic Animals; With intent to damage &amp; without consent; remain concealed, with intent to commit an act prohibited by this section</t>
  </si>
  <si>
    <t>47-1827(c)(2)</t>
  </si>
  <si>
    <t>Livestock; Feedlots; penalty for violation of act</t>
  </si>
  <si>
    <t>47-1509</t>
  </si>
  <si>
    <t>Livestock; Stock Running at Large; unlawful driving of animals</t>
  </si>
  <si>
    <t>47-121</t>
  </si>
  <si>
    <t>Loan Brokers; Employ any device, scheme or artifice to defraud</t>
  </si>
  <si>
    <t>50-1017(1)</t>
  </si>
  <si>
    <t>Loan Brokers; Engage in any act, practice or course of business that operates or would operate as a fraud or deceit upon any person</t>
  </si>
  <si>
    <t>50-1017(3)</t>
  </si>
  <si>
    <t>Loan Brokers; Engage in business as an unregistered loan broker</t>
  </si>
  <si>
    <t>50-1002</t>
  </si>
  <si>
    <t>Loan Brokers; Make false or misleading filing or statement</t>
  </si>
  <si>
    <t>50-1018</t>
  </si>
  <si>
    <t>Loan Brokers; Make untrue statements of a material fact or omit a necessary material fact</t>
  </si>
  <si>
    <t>50-1017(2)</t>
  </si>
  <si>
    <t>Loan Brokers; Penalty for willful violation of the loan broker act</t>
  </si>
  <si>
    <t>50-1013(a)</t>
  </si>
  <si>
    <t>Local Boards of Health; Clinics; Fail or neglect to perform duties prescribed by this act</t>
  </si>
  <si>
    <t>65-202</t>
  </si>
  <si>
    <t>Lodging Inspection Act; Installing or owning any gas stove in a public building, resort, hotel, restaurant, tourist camp or other similar public place without proper connection to a chimney or other outlet</t>
  </si>
  <si>
    <t>36-516(a)</t>
  </si>
  <si>
    <t>Marriage &amp; Family Therapists Licensure Act; Practice marriage/family therapy as a clinical marriage/family therapist without a license; hold oneself out as licensed clinical marriage/family therapist or clinical marriage/family therapist without such a license</t>
  </si>
  <si>
    <t>65-6403(b)</t>
  </si>
  <si>
    <t>Marriage &amp; Family Therapists Licensure Act; Practice marriage/family therapy without license; hold oneself out as licensed marriage/ family therapist or marriage/family therapist without such a license</t>
  </si>
  <si>
    <t>65-6403(a)</t>
  </si>
  <si>
    <t>Marriage; Marriage License - False Swearing in Affidavit</t>
  </si>
  <si>
    <t>23-2505</t>
  </si>
  <si>
    <t>Marriage; Penalty for judge or clerk not complying with statutory requirements</t>
  </si>
  <si>
    <t>23-2513</t>
  </si>
  <si>
    <t>Marriage; Unauthorized Solemnizing of marriage</t>
  </si>
  <si>
    <t>23-2517</t>
  </si>
  <si>
    <t>Maternity Centers &amp; Child Care Facilities; Unauthorized disclosure of confidential criminal history record by staff of child placement agency</t>
  </si>
  <si>
    <t>65-516(i)(5)</t>
  </si>
  <si>
    <t>Maternity Centers &amp; Child Care Facilities; Violations of article 5 of chapter 65</t>
  </si>
  <si>
    <t>65-514</t>
  </si>
  <si>
    <t>Meat &amp; Poultry Inspection Act; Penalty for any violation of act</t>
  </si>
  <si>
    <t>65-6a52</t>
  </si>
  <si>
    <t>Meat &amp; Poultry; Imported catfish; labeling as imported required</t>
  </si>
  <si>
    <t>65-6a53</t>
  </si>
  <si>
    <t>Meat &amp; Poultry; Inspections; penalty for any violation of act</t>
  </si>
  <si>
    <t>65-6a40</t>
  </si>
  <si>
    <t>Meat &amp; Poultry; Labeling; penalty for violation of act</t>
  </si>
  <si>
    <t>65-6a55</t>
  </si>
  <si>
    <t>Meat &amp; Poultry; Violation of act involving intent to defraud, or any transportation or distribution or attempted transportation or distribution of an article that is adulterated</t>
  </si>
  <si>
    <t>Medicaid fraud; intentionally executing or attempting a scheme or artifice to defraud medicaid program or contractor or subcontractor thereof; When death results from such act</t>
  </si>
  <si>
    <t>21-5927(a)(2)</t>
  </si>
  <si>
    <t>Medicaid fraud; Knowingly make any false statement/representation for use by another in obtaining any goods, service, item, facility or accommodation under the Medicaid program; When death results from such act</t>
  </si>
  <si>
    <t>21-5927(a)(1)(E)</t>
  </si>
  <si>
    <t>Medicaid fraud; Make any claim for payment for any goods, service, item, facility, or accommodation, not medically necessary; When death results from such act</t>
  </si>
  <si>
    <t>21-5927(a)(1)(F)</t>
  </si>
  <si>
    <t>Medicaid fraud; Make any false or fraudulent report or filing used in computing or determining a rate of payment; When death results from such act</t>
  </si>
  <si>
    <t>21-5927(a)(1)(C)</t>
  </si>
  <si>
    <t>Medicaid fraud; Make any false or fraudulent statement/representation for use in determining payments;  When death results from such act</t>
  </si>
  <si>
    <t>21-5927(a)(1)(B)</t>
  </si>
  <si>
    <t>Medicaid fraud; Make any false or fraudulent statement/representation in connection with any report or filing used in computing or determining a rate of payment; When death results from such act</t>
  </si>
  <si>
    <t>21-5927(a)(1)(D)</t>
  </si>
  <si>
    <t>Medicaid fraud; Make any wholly or partially false or fraudulent book, record, document, data or instrument, which is required to be kept or kept as documentation; When death results from such act</t>
  </si>
  <si>
    <t>21-5927(a)(1)(G)</t>
  </si>
  <si>
    <t>Medicaid fraud; Make false or fraudulent claim for payment for any goods, service, item, facility, or accommodation; When death results from such act</t>
  </si>
  <si>
    <t>21-5927(a)(1)(A)</t>
  </si>
  <si>
    <t>Medicaid fraud; intentionally executing or attempting a scheme or artifice to defraud medicaid program or contractor or subcontractor thereof; Aggregate payments claimed $250,000 or more</t>
  </si>
  <si>
    <t>Medicaid fraud; Knowingly make any false statement/representation for use by another in obtaining any goods, service, item, facility or accommodation under the Medicaid program;  Aggregate payments claimed $250,000 or more</t>
  </si>
  <si>
    <t>Medicaid fraud; Make any claim for payment for any goods, service, item, facility, or accommodation, not medically necessary;  Aggregate payments claimed $250,000 or more</t>
  </si>
  <si>
    <t>Medicaid fraud; Make any false or fraudulent report or filing used in computing or determining a rate of payment; Aggregate payments claimed $250,000 or more</t>
  </si>
  <si>
    <t>Medicaid fraud; Make any false or fraudulent statement/representation for use in determining payments; Aggregate payments claimed $250,000 or more</t>
  </si>
  <si>
    <t>Medicaid fraud; Make any false or fraudulent statement/representation in connection with any report or filing used in computing or determining a rate of payment; Aggregate payments claimed $250,000 or more</t>
  </si>
  <si>
    <t>Medicaid fraud; Make any wholly or partially false or fraudulent book, record, document, data or instrument, which is required to be kept or kept as documentation; Aggregate payments claimed $250,000 or more</t>
  </si>
  <si>
    <t>Medicaid fraud; Make false or fraudulent claim for payment for any goods, service, item, facility, or accommodation; Aggregate payments claimed $250,000 or more</t>
  </si>
  <si>
    <t>Medicaid fraud; intentionally executing or attempting a scheme or artifice to defraud medicaid program or contractor or subcontractor thereof; When great bodily harm results from such act</t>
  </si>
  <si>
    <t>Medicaid fraud; Knowingly make any false statement/representation for use by another in obtaining any goods, service, item, facility or accommodation under the Medicaid program; When great bodily harm results from such act</t>
  </si>
  <si>
    <t>Medicaid fraud; Make any claim for payment for any goods, service, item, facility, or accommodation, not medically necessary; When great bodily harm results from such act</t>
  </si>
  <si>
    <t>Medicaid fraud; Make any false or fraudulent report or filing used in computing or determining a rate of payment; When great bodily harm results from such act</t>
  </si>
  <si>
    <t>Medicaid fraud; Make any false or fraudulent statement/representation for use in determining payments;  When great bodily harm results from such act</t>
  </si>
  <si>
    <t>Medicaid fraud; Make any false or fraudulent statement/representation in connection with any report or filing used in computing or determining a rate of payment; When great bodily harm results from such act</t>
  </si>
  <si>
    <t>Medicaid fraud; Make any wholly or partially false or fraudulent book, record, document, data or instrument, which is required to be kept or kept as documentation; When great bodily harm results from such act</t>
  </si>
  <si>
    <t>Medicaid fraud; Make false or fraudulent claim for payment for any goods, service, item, facility, or accommodation; When great bodily harm results from such act</t>
  </si>
  <si>
    <t>Medicaid fraud; intentionally executing or attempting a scheme or artifice to defraud medicaid program or contractor or subcontractor thereof; Aggregate payments claimed at least $100,000 but less than $250,000</t>
  </si>
  <si>
    <t>Medicaid fraud; Knowingly make any false statement/representation for use by another in obtaining any goods, service, item, facility or accommodation under the Medicaid program; Aggregate payments claimed at least $100,000 but less than $250,000</t>
  </si>
  <si>
    <t>Medicaid fraud; Make any claim for payment for any goods, service, item, facility, or accommodation, not medically necessary; Aggregate payments claimed at least $100,000 but less than $250,000</t>
  </si>
  <si>
    <t>Medicaid fraud; Make any false or fraudulent report or filing used in computing or determining a rate of payment; Aggregate payments claimed at least $100,000 but less than $250,000</t>
  </si>
  <si>
    <t>Medicaid fraud; Make any false or fraudulent statement/representation for use in determining payments; Aggregate payments claimed at least $100,000 but less than $250,000</t>
  </si>
  <si>
    <t>Medicaid fraud; Make any false or fraudulent statement/representation in connection with any report or filing used in computing or determining a rate of payment;  Aggregate payments claimed at least $100,000 but less than $250,000</t>
  </si>
  <si>
    <t>Medicaid fraud; Make any wholly or partially false or fraudulent book, record, document, data or instrument, which is required to be kept or kept as documentation; Aggregate payments claimed at least $100,000 but less than $250,000</t>
  </si>
  <si>
    <t>Medicaid fraud; Make false or fraudulent claim for payment for any goods, service, item, facility, or accommodation; Aggregate payments claimed at least $100,000 but less than $250,000</t>
  </si>
  <si>
    <t>Medicaid fraud; Intentionally divide or share any funds illegally obtained from the Medicaid program</t>
  </si>
  <si>
    <t>21-5928(a)(3)</t>
  </si>
  <si>
    <t>Medicaid fraud; intentionally executing or attempting a scheme or artifice to defraud medicaid program or contractor or subcontractor thereof;  Aggregate payments claimed at least $25,000 but less than $100,000</t>
  </si>
  <si>
    <t>Medicaid fraud; Intentionally offer or pay any remuneration, including kickbacks, bribes or rebates to any person for Medicaid goods</t>
  </si>
  <si>
    <t>21-5928(a)(2)</t>
  </si>
  <si>
    <t>Medicaid fraud; Intentionally solicit or receive any remuneration, including kickbacks, bribes or rebates for Medicaid goods</t>
  </si>
  <si>
    <t>21-5928(a)(1)</t>
  </si>
  <si>
    <t>Medicaid fraud; Intentionally trade a Medicaid number for money or other remuneration; sign for services not received; sell or exchange Medicaid goods purchased or provided under the Medicaid program for value</t>
  </si>
  <si>
    <t>21-5928(b)</t>
  </si>
  <si>
    <t>Medicaid fraud; Knowingly make any false statement/representation for use by another in obtaining any goods, service, item, facility or accommodation under the Medicaid program; Aggregate payments claimed at least $25,000 but less than $100,000</t>
  </si>
  <si>
    <t>Medicaid fraud; Make any claim for payment, for any goods, service, item, facility, or accommodation, not medically necessary; Aggregate payments claimed at least $25,000 but less than $100,000</t>
  </si>
  <si>
    <t>Medicaid fraud; Make any false or fraudulent report or filing used in computing or determining a rate of payment for any goods, service, item, facility or accommodation; Aggregate payments claimed at least $25,000 but less than $100,000</t>
  </si>
  <si>
    <t>Medicaid fraud; Make any false or fraudulent statement/representation for use in determining payments; Aggregate payments claimed at least $25,000 but less than $100,000</t>
  </si>
  <si>
    <t>Medicaid fraud; Make any false or fraudulent statement/representation in connection with any report or filing used in computing or determining a rate of payment for any goods, service, item, facility or accommodation; Aggregate payments claimed at least $25,000 but less than $100,000</t>
  </si>
  <si>
    <t>Medicaid fraud; Make any wholly or partially false or fraudulent book, record, document, data or instrument, which is required to be kept or kept as documentation;  Aggregate payments claimed at least $25,000 but less than $100,000</t>
  </si>
  <si>
    <t>Medicaid fraud; Make false or fraudulent claim for payment for any goods, service, item, facility, or accommodation; Aggregate payments claimed at least $25,000 but less than $100,000</t>
  </si>
  <si>
    <t>Medicaid fraud; False or fraudulent statement/representation made with intent to influence an official, employee/agent of a state or federal agency having regulatory or administrative authority over the Kansas Medicaid program</t>
  </si>
  <si>
    <t>21-5927(a)(1)(I)</t>
  </si>
  <si>
    <t>Medicaid fraud; intentionally executing or attempting a scheme or artifice to defraud medicaid program or contractor or subcontractor thereof; Aggregate payments claimed at least $1000 but less than $25,000</t>
  </si>
  <si>
    <t>Medicaid fraud; Knowingly make any false statement/representation for use by another in obtaining any goods, service, item, facility or accommodation under the Medicaid program; Aggregate payments claimed at least $1,000 but less than $25,000</t>
  </si>
  <si>
    <t>Medicaid fraud; Make any claim for payment for any goods, service, item, facility, or accommodation, not medically necessary; Aggregate payments claimed at least $1,000 but less than $25,000</t>
  </si>
  <si>
    <t>Medicaid fraud; Make any false or fraudulent report or filing used in computing or determining a rate of payment; Aggregate payments claimed at least $1,000 but less than $25,000</t>
  </si>
  <si>
    <t>Medicaid fraud; Make any false or fraudulent statement/representation for use in determining payments;  Aggregate payments claimed at least $1,000 but less than $25,000</t>
  </si>
  <si>
    <t>Medicaid fraud; Make any false or fraudulent statement/representation in connection with any report or filing used in computing or determining a rate of payment; Aggregate payments claimed at least $1,000 but less than $25,000</t>
  </si>
  <si>
    <t>Medicaid fraud; Make any wholly or partially false or fraudulent book, record, document, data or instrument, which is required to be kept or kept as documentation; Aggregate payments claimed at least $1,000 but less than $25,000</t>
  </si>
  <si>
    <t>Medicaid fraud; Make false or fraudulent claim for payment for any goods, service, item, facility, or accommodation; Aggregate payments claimed at least $1,000 but less than $25,000</t>
  </si>
  <si>
    <t>Medicaid fraud; Submit false or fraudulent book, record, document, data or instrument to a LEO, attorney general, or to the department of SRS, in connection with any audit or investigation</t>
  </si>
  <si>
    <t>21-5927(a)(1)(H)</t>
  </si>
  <si>
    <t>Medicaid fraud; intentionally executing or attempting a scheme or artifice to defraud medicaid program or contractor or subcontractor thereof; Aggregate payments claimed less than $1,000</t>
  </si>
  <si>
    <t>Medicaid fraud; Knowingly make any false statement/representation for use by another in obtaining any goods, service, item, facility or accommodation under the Medicaid program; Aggregate payments claimed less than $1,000</t>
  </si>
  <si>
    <t>Medicaid fraud; Make any claim for payment for any goods, service, item, facility, or accommodation, not medically necessary; Aggregate payments claimed less than $1,000</t>
  </si>
  <si>
    <t>Medicaid fraud; Make any false or fraudulent report or filing used in computing or determining a rate of payment; Aggregate payments claimed less than $1,000</t>
  </si>
  <si>
    <t>Medicaid fraud; Make any false or fraudulent statement/representation for use in determining payments;  Aggregate payments claimed less than $1,000</t>
  </si>
  <si>
    <t>Medicaid fraud; Make any false or fraudulent statement/representation in connection with any report or filing used in computing or determining a rate of payment; Aggregate payments claimed less than $1,000</t>
  </si>
  <si>
    <t>Medicaid fraud; Make any wholly or partially false or fraudulent book, record, document, data or instrument, which is required to be kept or kept as documentation; Aggregate payments claimed less than $1,000</t>
  </si>
  <si>
    <t>Medicaid fraud; Make false or fraudulent claim for payment for any goods, service, item, facility, or accommodation; Aggregate payments claimed less than $1,000</t>
  </si>
  <si>
    <t>Medicaid; Intentional destruction or concealment of records</t>
  </si>
  <si>
    <t>21-5931(a)</t>
  </si>
  <si>
    <t>Mental Health Tech; 2nd or subs. violation of any provisions of the mental health technician's licensure act</t>
  </si>
  <si>
    <t>65-4214(a)(5)</t>
  </si>
  <si>
    <t>Mental Health Tech; Fraudulently obtain, sell, transfer, or furnish any mental health technician diploma, license, renewal of license or record, or aid or abet another; 1st violation</t>
  </si>
  <si>
    <t>65-4214(a)(1)</t>
  </si>
  <si>
    <t>Mental Health Tech; Fraudulently obtain, sell, transfer, or furnish any mental health technician diploma, license, renewal of license or record, or aid or abet another; 2nd or subs. violation</t>
  </si>
  <si>
    <t>Mental Health Tech; Practice as a mental health technician while license is suspended or revoked; 1st violation</t>
  </si>
  <si>
    <t>65-4214(a)(4)</t>
  </si>
  <si>
    <t>Mental Health Tech; Practice as a mental health technician while license is suspended or revoked; 2nd or subs. violation</t>
  </si>
  <si>
    <t>Mental Health Tech; Represent that a provider of continuing education is approved for educating mental health technicians, without such approval; 1st violation</t>
  </si>
  <si>
    <t>65-4214(a)(6)</t>
  </si>
  <si>
    <t>Mental Health Tech; Represent that a provider of continuing education is approved for educating mental health technicians, without such approval; 2nd or subs. violation</t>
  </si>
  <si>
    <t>Mental Health Tech; Represent, or hold oneself out as a mental health technician or practice as a mental health technician without having a license to so practice; 1st violation</t>
  </si>
  <si>
    <t>65-4214(a)(2)</t>
  </si>
  <si>
    <t>Mental Health Tech; Represent, or hold oneself out as a mental health technician or practice as a mental health technician without having a license to so practice; 2nd or subs. violation</t>
  </si>
  <si>
    <t>Mental Health Tech; Use in connection with one's name any designation intending to imply that such person is a licensed mental health technician without having such license; 1st violation</t>
  </si>
  <si>
    <t>65-4214(a)(3)</t>
  </si>
  <si>
    <t>Mental Health Tech; Use in connection with one's name any designation intending to imply that such person is a licensed mental health technician without having such license; 2nd or subs. violation</t>
  </si>
  <si>
    <t>Mental Health Tech; Violate any of the provisions of the mental health technician's licensure act; 1st violation</t>
  </si>
  <si>
    <t>Mentally Ill, Incapacitated &amp; Dependent Persons; Illegal disposition of assistance; Value $25,000 or more</t>
  </si>
  <si>
    <t>39-717(a)(1)</t>
  </si>
  <si>
    <t>Mentally Ill, Incapacitated &amp; Dependent Persons; Illegal disposition of assistance; value at least $1,000 but less than $25,000</t>
  </si>
  <si>
    <t>Mentally Ill, Incapacitated &amp; Dependent Persons; Illegal disposition of assistance; value less than $1,000</t>
  </si>
  <si>
    <t>Mentally Ill, Incapacitated &amp; Dependent Persons; Illegal purchase, acquisition or possession of assistance; value $25,000 or more</t>
  </si>
  <si>
    <t>39-717(a)(2)</t>
  </si>
  <si>
    <t>Mentally Ill, Incapacitated &amp; Dependent Persons; Illegal purchase, acquisition or possession of assistance; value at least $1,000 but less than $25,000</t>
  </si>
  <si>
    <t>Mentally Ill, Incapacitated &amp; Dependent Persons; Illegal purchase, acquisition or possession of assistance; value less than $1,000</t>
  </si>
  <si>
    <t>Mentally Ill, Incapacitated &amp; Dependent Persons; Unlawful acts relating to information concerning absent parents; unauthorized requesting, obtaining, or seeking out confidential information obtained by the secretary under K.S.A. 39-758 or K.S.A. 39-7,136, 39-7,143 and 39-7,150 done under false pretenses; unauthorized, willful communicating confidential information</t>
  </si>
  <si>
    <t>39-759(a)</t>
  </si>
  <si>
    <t>Mentally Ill, Incapacitated &amp; Dependent Persons; Unlawful acts relating to information concerning absent parents; unauthorized requesting, obtaining, or seeking out confidential information obtained by the secretary under K.S.A. 39-758 or K.S.A. 39-7,136, 39-7,143 and 39-7,150</t>
  </si>
  <si>
    <t>Mentally Ill, Incapacitated &amp; Dependent Persons; Welfare fraud; $100,000 or more</t>
  </si>
  <si>
    <t>39-720</t>
  </si>
  <si>
    <t>Mentally Ill, Incapacitated &amp; Dependent Persons; Welfare fraud; punished according to K.S.A. 21-3701; value less than $1,000</t>
  </si>
  <si>
    <t>Mentally Ill, Incapacitated &amp; Dependent Persons; Welfare fraud; value at least $1,000 but less than $25,000</t>
  </si>
  <si>
    <t>Mentally Ill, Incapacitated &amp; Dependent Persons; Welfare fraud; value at least $25,000 but less than $100,000</t>
  </si>
  <si>
    <t>Milk, Cream &amp; Dairy Products; Adulterate or misbrand any milk, milk products or dairy products</t>
  </si>
  <si>
    <t>65-789(c)</t>
  </si>
  <si>
    <t>Milk, Cream &amp; Dairy Products; Engage in any business or activity requiring a license or permit under this act without having a license or permit</t>
  </si>
  <si>
    <t>65-789(a)</t>
  </si>
  <si>
    <t>Milk, Cream &amp; Dairy Products; Sell, offer for sale or have possession with intent to sell at retail to the final consumer any milk or milk product which has not been inspected and designated grade A pasteurized</t>
  </si>
  <si>
    <t>65-789(d)</t>
  </si>
  <si>
    <t>Milk, Cream &amp; Dairy Products; Sell, offer or expose for sale any milk, milk products or dairy products which are adulterated or misbranded</t>
  </si>
  <si>
    <t>65-789(b)(2)</t>
  </si>
  <si>
    <t>Milk, Cream &amp; Dairy Products; Sell, offer or expose for sale any nonconforming milk, milk products or dairy products</t>
  </si>
  <si>
    <t>65-789(b)(1)</t>
  </si>
  <si>
    <t>Milk, Cream &amp; Dairy Products; Violate any provision of this act or any rules or regulations promulgated thereunder</t>
  </si>
  <si>
    <t>65-789(e)</t>
  </si>
  <si>
    <t>Mineral Severance Tax; Fail to make a return, or pay tax; make a false or fraudulent return; fail to keep required books or records; willful violation of any rules and regulations of this act; aid and abet another in attempting to evade the payment of any tax; violation of any other provisions of this act</t>
  </si>
  <si>
    <t>79-4225(d)</t>
  </si>
  <si>
    <t>Mines &amp; Mining; Falsification of information in application for registration of mining site</t>
  </si>
  <si>
    <t>49-607(a)</t>
  </si>
  <si>
    <t>Mines &amp; Mining; Ingress and egress for survey; penalty for interference with survey</t>
  </si>
  <si>
    <t>49-105</t>
  </si>
  <si>
    <t>Mines &amp; Mining; Penalty for interfering with survey ordered pursuant to K.S.A. 49-106</t>
  </si>
  <si>
    <t>49-108</t>
  </si>
  <si>
    <t>Mistreatment of a Confined Person</t>
  </si>
  <si>
    <t>21-5416(a)</t>
  </si>
  <si>
    <t>Mistreatment of an Elder Person; Knowingly taking the personal property or financial resources of a elder person by taking control, title, use or management of such property or resources; amount of $1,000,000 or more</t>
  </si>
  <si>
    <t>21-5417(b)(1)</t>
  </si>
  <si>
    <t>Mistreatment of an Elder Person; Knowingly taking the personal property or financial resources of a elder person by taking control, title, use or management of such property or resources; amount of at least $100,000 but less than $250,000</t>
  </si>
  <si>
    <t>Mistreatment of an Elder Person; Knowingly taking the personal property or financial resources of a elder person by taking control, title, use or management of such property or resources; amount of at least $25,000 but less than $100,000</t>
  </si>
  <si>
    <t>Mistreatment of an Elder Person; Knowingly taking the personal property or financial resources of a elder person by taking control, title, use or management of such property or resources; amount of at least $250,000 but less than $1,000,000</t>
  </si>
  <si>
    <t>Mistreatment of an Elder Person; Knowingly taking the personal property or financial resources of a elder person by taking control, title, use or management of such property or resources; amount of at least $5000 but less than $25,000</t>
  </si>
  <si>
    <t>Mistreatment of an Elder Person; Knowingly taking the personal property or financial resources of a elder person by taking control, title, use or management of such property or resources; amount of less than $5000</t>
  </si>
  <si>
    <t>Mistreatment of an Elder Person; Knowingly taking the personal property or financial resources of a elder person by taking control, title, use or management of such property or resources; amount of less than $5000 if committed by a person who has been convicted of mistreatment of an elder person two or more times in the previous 5 years</t>
  </si>
  <si>
    <t>Mistreatment of an Elder Person; Omission or deprivation of treatment, goods or services that are necessary to maintain physical or mental health of such elder person</t>
  </si>
  <si>
    <t>21-5417(b)(2)</t>
  </si>
  <si>
    <t>Mistreatment of Dependent Adult; Knowingly inflict physical injury, unreasonable confinement or unreasonable punishment upon a dependent adult</t>
  </si>
  <si>
    <t>21-5417(a)(1)</t>
  </si>
  <si>
    <t>Mistreatment of Dependent Adult; Knowingly omit or deprive of treatment, goods or services necessary to maintain physical or mental health of a dependent adult</t>
  </si>
  <si>
    <t>21-5417(a)(3)</t>
  </si>
  <si>
    <t>Mistreatment of Dependent Adult; Knowingly taking the personal property or financial resources of a dependent adult by taking control, title, use or management of such property or resources; amount is $1,000,000 or more</t>
  </si>
  <si>
    <t>21-5417(a)(2)</t>
  </si>
  <si>
    <t>Mistreatment of Dependent Adult; Knowingly taking the personal property or financial resources of a dependent adult by taking control, title, use or management of such property or resources; amount is at least $1,000 but less than $25,000</t>
  </si>
  <si>
    <t>Mistreatment of Dependent Adult; Knowingly taking the personal property or financial resources of a dependent adult by taking control, title, use or management of such property or resources; amount is at least $100,000 but less than $250,000</t>
  </si>
  <si>
    <t>Mistreatment of Dependent Adult; Knowingly taking the personal property or financial resources of a dependent adult by taking control, title, use or management of such property or resources; amount is at least $25,000 but less than $100,000</t>
  </si>
  <si>
    <t>Mistreatment of Dependent Adult; Knowingly taking the personal property or financial resources of a dependent adult by taking control, title, use or management of such property or resources; amount is at least $250,000 but less than $1,000,000</t>
  </si>
  <si>
    <t>Mistreatment of Dependent Adult; Knowingly taking the personal property or financial resources of a dependent adult by taking control, title, use or management of such property or resources; amount is less than $1,000 but committed by a person who has been convicted of this 2 or more times within 5 yrs</t>
  </si>
  <si>
    <t>Mistreatment of Dependent Adult; Knowingly taking the personal property or financial resources of a dependent adult by taking control, title, use or management of such property or resources; amount less than $1,000</t>
  </si>
  <si>
    <t>Misuse of Public Funds; Aggregate is $100,000 or more</t>
  </si>
  <si>
    <t>21-6005(a)</t>
  </si>
  <si>
    <t>Misuse of Public Funds; Aggregate is at least $1,000 but less than $25,000</t>
  </si>
  <si>
    <t>Misuse of Public Funds; Aggregate is at least $25,000 but less than $100,000</t>
  </si>
  <si>
    <t>Misuse of Public Funds; Aggregate is less than $1,000</t>
  </si>
  <si>
    <t>Mortgage Business Act; Advertise, display, distribute, broadcast or televise, or cause or permit such, any false, misleading or deceptive statement or representation with regard to rates, terms or conditions for a mortgage loan</t>
  </si>
  <si>
    <t>9-2212(i)</t>
  </si>
  <si>
    <t>Mortgage Business Act; Compensate, contract with or employ, any person engaged in mortgage business who is not properly licensed or registered</t>
  </si>
  <si>
    <t>9-2212(a)</t>
  </si>
  <si>
    <t>Mortgage Business Act; Delay closing of a mortgage loan for the purpose of increasing interest, costs, fees or charges payable by the borrower</t>
  </si>
  <si>
    <t>9-2212(c)</t>
  </si>
  <si>
    <t>Mortgage Business Act; Engage in any transaction, practice or business conduct that is not in good faith, or that operates a fraud upon any person connected with the making of, purchase or sale of any mortgage loan</t>
  </si>
  <si>
    <t>9-2212(f)</t>
  </si>
  <si>
    <t>Mortgage Business Act; Engage in fraudulent residential mortgage brokerage or underwriting practices</t>
  </si>
  <si>
    <t>9-2212(h)</t>
  </si>
  <si>
    <t>Mortgage Business Act; License required to conduct mortgage business</t>
  </si>
  <si>
    <t>9-2203(a)</t>
  </si>
  <si>
    <t>Mortgage Business Act; Misrepresent material facts or make false promises intended to influence, persuade or induce an applicant for a mortgage loan, or mortgagee, to take a mortgage loan; cause or contribute to such misrepresentation</t>
  </si>
  <si>
    <t>9-2212(d)</t>
  </si>
  <si>
    <t>Mortgage Business Act; Misrepresent to or conceal from an applicant for a mortgage loan or mortgagor, material facts, terms or conditions of a transaction to which the licensee or registrant is a party</t>
  </si>
  <si>
    <t>9-2212(e)</t>
  </si>
  <si>
    <t>Mortgage Business Act; Receive compensation for rendering mortgage business services when licensee or registrant has otherwise acted as a real estate broker or agent in connection with the sale of the real estate which secures the mortgage transaction without providing written disclosure as required</t>
  </si>
  <si>
    <t>9-2212(g)</t>
  </si>
  <si>
    <t>Mortgage Business Act; Record a mortgage if moneys are not available for the immediate disbursal to the mortgagor without informing the mortgagor in writing of a definite date by which payment shall be made and obtaining the mortgagor's written permission for the delay</t>
  </si>
  <si>
    <t>9-2212(j)</t>
  </si>
  <si>
    <t>Mortgage Business Act; Registration required for a loan originator</t>
  </si>
  <si>
    <t>9-2203(b)</t>
  </si>
  <si>
    <t>Mortgage Business Act; Transfer, assign or attempt to transfer or assign, a license or registration to any other person</t>
  </si>
  <si>
    <t>9-2212(k)</t>
  </si>
  <si>
    <t>Mortgage Business Act; Unauthorized employment of a person who has: (1) had a license or registration denied, revoked, suspended or refused renewal; or (2) been convicted of any crime involving fraud, dishonesty or deceit</t>
  </si>
  <si>
    <t>9-2212(b)</t>
  </si>
  <si>
    <t>Mortgage Business Act; Willful or knowing violation any of the provisions of this act, any rule and regulation</t>
  </si>
  <si>
    <t>9-2203(c)</t>
  </si>
  <si>
    <t>Motion Pictures; Unlawful use of a recording device; 1st conviction</t>
  </si>
  <si>
    <t>51-301(a)</t>
  </si>
  <si>
    <t>Motion Pictures; Unlawful use of a recording device; 2nd or subs. conviction</t>
  </si>
  <si>
    <t>Motor Carriers; Failure or refusal of driver of a vehicle to drive such vehicle to the nearest inspection station or other suitable place when so directed by a member of the highway patrol</t>
  </si>
  <si>
    <t>66-1319(a)</t>
  </si>
  <si>
    <t>Motor Carriers; Penalty for violating any of the provisions of K.S.A. 66-1,139 or 66-1,140</t>
  </si>
  <si>
    <t>66-1315</t>
  </si>
  <si>
    <t>Motorboat Exhaust Noise Emissions in Violation of Limits</t>
  </si>
  <si>
    <t>32-1120(a)</t>
  </si>
  <si>
    <t>Motorboat Exhaust Noise Emissions in Violation of Limits; Failure to comply with a request or direction of officer</t>
  </si>
  <si>
    <t>32-1120(c)</t>
  </si>
  <si>
    <t>Murder; 1st Degree; in the commission of, attempt to commit, or flight from an inherently dangerous felony as defined in K.S.A. 21-5402(c)</t>
  </si>
  <si>
    <t>21-5402(a)(2)</t>
  </si>
  <si>
    <t>Murder; 1st Degree; intentionally and with premeditation</t>
  </si>
  <si>
    <t>21-5402(a)(1)</t>
  </si>
  <si>
    <t>Murder; 2nd Degree; intentional killing</t>
  </si>
  <si>
    <t>21-5403(a)(1)</t>
  </si>
  <si>
    <t>Murder; 2nd Degree; unintentionally but recklessly, under circumstances manifesting extreme indifference to human life</t>
  </si>
  <si>
    <t>21-5403(a)(2)</t>
  </si>
  <si>
    <t>Naturopathic Doctor Licensure Act; Violations</t>
  </si>
  <si>
    <t>65-7211</t>
  </si>
  <si>
    <t>New Goods Public Auction; Engage in, or conduct a public auction, without a license; knowingly advertise, represent or hold forth any sale of goods, wares or merchandise to be conducted contrary to the provisions of this act</t>
  </si>
  <si>
    <t>58-1022</t>
  </si>
  <si>
    <t>New Goods Public Auction; License required to conduct certain auction sales</t>
  </si>
  <si>
    <t>58-1016</t>
  </si>
  <si>
    <t>Nonsupport of Child; Parent's unlawful failure, neglect or refusal to provide support/maintenance of the child</t>
  </si>
  <si>
    <t>21-5606(a)(1)</t>
  </si>
  <si>
    <t>Nonsupport of Spouse; Failure to provide for the support of a person's spouse</t>
  </si>
  <si>
    <t>21-5606(a)(2)</t>
  </si>
  <si>
    <t>Notaries Public &amp; Commissioners; Willful neglect or refusal to provide date of expiration of appointment</t>
  </si>
  <si>
    <t>53-106</t>
  </si>
  <si>
    <t>Notary public - use of "notario publico" prohibited</t>
  </si>
  <si>
    <t>53-121(a)-(b)</t>
  </si>
  <si>
    <t>Nuclear Energy Development &amp; Radiation Control Act; Prohibited uses</t>
  </si>
  <si>
    <t>48-1612</t>
  </si>
  <si>
    <t>Nurse Practice Act; Any other violation of the Kansas nurse practice act or rules and regulations adopted pursuant thereto; 1st violation</t>
  </si>
  <si>
    <t>65-1162(b)(4)</t>
  </si>
  <si>
    <t>Nurse Practice Act; Any other violation of the Kansas nurse practice act or rules and regulations adopted pursuant thereto; 2nd or subs. violation</t>
  </si>
  <si>
    <t>Nurse Practice Act; Employ or offer to employ a person as a registered nurse anesthetist knowing that such person is not authorized to practice as such; 1st violation</t>
  </si>
  <si>
    <t>65-1162(b)(1)</t>
  </si>
  <si>
    <t>Nurse Practice Act; Employ or offer to employ a person as a registered nurse anesthetist knowing that such person is not authorized to practice as such; 2nd or subs. violation</t>
  </si>
  <si>
    <t>Nurse Practice Act; Engage in the administration of general or regional anesthesia without being authorized by the board to practice as a registered nurse anesthetist</t>
  </si>
  <si>
    <t>65-1162(a)</t>
  </si>
  <si>
    <t>Nurse Practice Act; Fraudulently seek, obtain or furnish documents indicating that a person is authorized by the board to practice as a registered nurse anesthetist when such person is not so authorized; aiding and abetting such activities; 1st violation</t>
  </si>
  <si>
    <t>65-1162(b)(2)</t>
  </si>
  <si>
    <t>Nurse Practice Act; Fraudulently seek, obtain or furnish documents indicating that a person is authorized by the board to practice as a registered nurse anesthetist when such person is not so authorized; aiding and abetting such activities; 2nd or subs. violation</t>
  </si>
  <si>
    <t>Nurse Practice Act; Practice or offer to practice as an advanced registered nurse practitioner in this state without being so certified; 1st violation</t>
  </si>
  <si>
    <t>65-1114(b)(1)</t>
  </si>
  <si>
    <t>Nurse Practice Act; Practice or offer to practice as an advanced registered nurse practitioner in this state without being so certified; 2nd or subs. violation</t>
  </si>
  <si>
    <t>Nurse Practice Act; Practice or offer to practice practical nursing in this state without license; 1st violation</t>
  </si>
  <si>
    <t>65-1114(a)(3)</t>
  </si>
  <si>
    <t>Nurse Practice Act; Practice or offer to practice practical nursing in this state without license; 2nd or subs. violation</t>
  </si>
  <si>
    <t>Nurse Practice Act; Practice or to offer to practice professional nursing in this state without license; 1st violation</t>
  </si>
  <si>
    <t>65-1114(a)(1)</t>
  </si>
  <si>
    <t>Nurse Practice Act; Practice or to offer to practice professional nursing in this state without license; 2nd or subs. violation</t>
  </si>
  <si>
    <t>Nurse Practice Act; Practice professional nursing, practical nursing or as an advanced registered nurse practitioner while license or certificate has expired or has been suspended or revoked; 1st violation</t>
  </si>
  <si>
    <t>65-1122(d)</t>
  </si>
  <si>
    <t>Nurse Practice Act; Practice professional nursing, practical nursing or as an advanced registered nurse practitioner while license or certificate has expired or has been suspended or revoked; 2nd or subs. violation</t>
  </si>
  <si>
    <t>Nurse Practice Act; Practice professional nursing, practical nursing or practice as an advanced registered nurse practitioner, without being so licensed or certified; 1st violation</t>
  </si>
  <si>
    <t>65-1122(b)</t>
  </si>
  <si>
    <t>Nurse Practice Act; Practice professional nursing, practical nursing or practice as an advanced registered nurse practitioner, without being so licensed or certified; 2nd or subs. violation</t>
  </si>
  <si>
    <t>Nurse Practice Act; Represent that a provider of continuing nursing education is approved by the board for educating either professional nurses or practical nurses, without being so approved; 1st violation</t>
  </si>
  <si>
    <t>65-1122(g)</t>
  </si>
  <si>
    <t>Nurse Practice Act; Represent that a provider of continuing nursing education is approved by the board for educating either professional nurses or practical nurses, without being so approved; 2nd or subs. violation</t>
  </si>
  <si>
    <t>Nurse Practice Act; Represent that a school for nursing is approved for educating either professional nurses or practical nurses, without being so approved; 1st violation</t>
  </si>
  <si>
    <t>65-1122(e)</t>
  </si>
  <si>
    <t>Nurse Practice Act; Represent that a school for nursing is approved for educating either professional nurses or practical nurses, without being so approved; 2nd or subs. violation</t>
  </si>
  <si>
    <t>Nurse Practice Act; Sell or fraudulently obtain or furnish any nursing diploma, license, record or certificate of qualification; aid and abet such activities; 1st violation</t>
  </si>
  <si>
    <t>65-1122(a)</t>
  </si>
  <si>
    <t>Nurse Practice Act; Sell or fraudulently obtain or furnish any nursing diploma, license, record or certificate of qualification; aid and abet such activities; 2nd or subs. violation</t>
  </si>
  <si>
    <t>Nurse Practice Act; Use any title, abbreviation, letters, figures, sign, card or device to indicate that any person is a licensed practical nurse without being so licensed; 1st violation</t>
  </si>
  <si>
    <t>65-1114(a)(4)</t>
  </si>
  <si>
    <t>Nurse Practice Act; Use any title, abbreviation, letters, figures, sign, card or device to indicate that any person is a licensed practical nurse without being so licensed; 2nd or subs. violation</t>
  </si>
  <si>
    <t>Nurse Practice Act; Use any title, abbreviation, letters, figures, sign, card or device to indicate that any person is a registered professional nurse without such license; 1st violation</t>
  </si>
  <si>
    <t>65-1114(a)(2)</t>
  </si>
  <si>
    <t>Nurse Practice Act; Use any title, abbreviation, letters, figures, sign, card or device to indicate that any person is a registered professional nurse without such license; 2nd or subs. violation</t>
  </si>
  <si>
    <t>Nurse Practice Act; Use any title, abbreviation, letters, figures, sign, card or device to indicate that any person is an advanced registered nurse practitioner without being so certified; 1st violation</t>
  </si>
  <si>
    <t>65-1114(b)(2)</t>
  </si>
  <si>
    <t>Nurse Practice Act; Use any title, abbreviation, letters, figures, sign, card or device to indicate that any person is an advanced registered nurse practitioner without being so certified; 2nd or subs. violation</t>
  </si>
  <si>
    <t>Nurse Practice Act; Use designation implying that such person is a licensed professional nurse, a licensed practical nurse or an advanced registered nurse practitioner unless so licensed or certified; 1st violation</t>
  </si>
  <si>
    <t>65-1122(c)</t>
  </si>
  <si>
    <t>Nurse Practice Act; Use designation implying that such person is a licensed professional nurse, a licensed practical nurse or an advanced registered nurse practitioner unless so licensed or certified; 2nd or subs. violation</t>
  </si>
  <si>
    <t>Nurse Practice Act; Use the title registered nurse anesthetist, the abbreviation R.N.A., or any other designation tending to imply that such person is authorized by the board to practice as a registered nurse anesthetist when such person is not so authorized; 2nd or subs. violation</t>
  </si>
  <si>
    <t>65-1162(b)(3)</t>
  </si>
  <si>
    <t>Nurse Practice Act; Use the title registered nurse anesthetist, the abbreviation R.N.A., or any other designation tending to imply that such person is authorized by the board to practice as a registered nurse anesthetist when such person is not so authorized; 1st violation</t>
  </si>
  <si>
    <t>Nurse Practice Act; Violate any provisions of the Kansas nurse practice act or rules and regulations adopted pursuant to that act; 1st violation</t>
  </si>
  <si>
    <t>65-1122(f)</t>
  </si>
  <si>
    <t>Nurse Practice Act; Violate any provisions of the Kansas nurse practice act or rules and regulations adopted pursuant to that act; 2nd or subs. violation</t>
  </si>
  <si>
    <t>Obstructing Apprehension or Prosecution; Aiding person required to register under Kansas Offender Registration Act to avoid registration or punishment for failure to comply</t>
  </si>
  <si>
    <t>21-5913(a)(2)</t>
  </si>
  <si>
    <t>Obstructing Apprehension or Prosecution; Knowingly harbor, conceal or aid any person who has committed or has been charged with committing a felony to avoid or escape from arrest, trial, conviction or punishment for such felony</t>
  </si>
  <si>
    <t>21-5913(a)(1)</t>
  </si>
  <si>
    <t>Obstructing Apprehension or Prosecution; Knowingly harboring, concealing or aiding a person who has committed or been charged with committing a misdemeanor</t>
  </si>
  <si>
    <t>Obstruction of a Medicaid Fraud Investigation; Falsifying, concealing or covering up material fact by any trick, misstatement, scheme or device</t>
  </si>
  <si>
    <t>21-5929(a)(1)</t>
  </si>
  <si>
    <t>Obstruction of a Medicaid Fraud Investigation; Knowingly making false writing or document</t>
  </si>
  <si>
    <t>21-5929(a)(2)</t>
  </si>
  <si>
    <t>Odometers; Advertise for sale, sell, use or install on any part of a motor vehicle or on any odometer any device which causes the odometer to register other than true mileage</t>
  </si>
  <si>
    <t>21-5835(a)(3)</t>
  </si>
  <si>
    <t>Odometers; Knowingly tamper with, adjust, alter, change, set back, disconnect or fail to connect the odometer of any motor vehicle in order to reflect lower than true mileage</t>
  </si>
  <si>
    <t>21-5835(a)(1)</t>
  </si>
  <si>
    <t>Odometers; Operate, with intent to defraud, motor vehicle knowing that the odometer is disconnected or nonfunctional</t>
  </si>
  <si>
    <t>21-5835(a)(2)</t>
  </si>
  <si>
    <t>Odometers; Repair or replacement; failure to adjust an odometer or affix a notice regarding such adjustment</t>
  </si>
  <si>
    <t>21-5835(b)(1)</t>
  </si>
  <si>
    <t>Odometers; Repair or replacement; remove or alter any notice affixed to a vehicle</t>
  </si>
  <si>
    <t>21-5835(b)(2)</t>
  </si>
  <si>
    <t>Odometers; Sell or offer to sell, with intent to defraud, a motor vehicle knowing that the odometer was tampered with or otherwise altered in order to reflect a lower than true mileage</t>
  </si>
  <si>
    <t>21-5835(a)(4)</t>
  </si>
  <si>
    <t>Official Misconduct; Knowingly destroy, tamper with or conceal evidence of a felony</t>
  </si>
  <si>
    <t>21-6002(a)(5)</t>
  </si>
  <si>
    <t>Official Misconduct; Knowingly destroy, tamper with or conceal evidence of a misdemeanor crime</t>
  </si>
  <si>
    <t>Official Misconduct; Knowingly fail to serve civil process as required by law</t>
  </si>
  <si>
    <t>21-6002(a)(2)</t>
  </si>
  <si>
    <t>Official Misconduct; Knowingly submit a claim for expenses which is false or duplicate; $25,000 or more</t>
  </si>
  <si>
    <t>21-6002(a)(6)</t>
  </si>
  <si>
    <t>Official Misconduct; Knowingly submit a claim for expenses which is false or duplicate; at least $1,000 but &lt; $25,000</t>
  </si>
  <si>
    <t>Official Misconduct; Knowingly submit false claim; claim less than $1,000</t>
  </si>
  <si>
    <t>Official Misconduct; Knowingly use aircraft, vehicle or vessel for private benefit or gain</t>
  </si>
  <si>
    <t>21-6002(a)(1)</t>
  </si>
  <si>
    <t>Official Misconduct; Unauthorized acceptance of bid after deadline has passed</t>
  </si>
  <si>
    <t>21-6002(a)(4)(B)</t>
  </si>
  <si>
    <t>Official Misconduct; Unauthorized alteration of bid or proposal</t>
  </si>
  <si>
    <t>21-6002(a)(4)(C)</t>
  </si>
  <si>
    <t>Official Misconduct; Unauthorized disclosure of bid information</t>
  </si>
  <si>
    <t>21-6002(a)(4)(A)</t>
  </si>
  <si>
    <t>Official Misconduct; Use confidential information for private benefit or gain or to intentionally harm another</t>
  </si>
  <si>
    <t>21-6002(a)(3)</t>
  </si>
  <si>
    <t>Oil &amp; Gas; Act as or represent oneself to be a technical representative without having such license</t>
  </si>
  <si>
    <t>55-443(a)(1)</t>
  </si>
  <si>
    <t>Oil &amp; Gas; Control and management of oil and gas wells; unlawful acts</t>
  </si>
  <si>
    <t>55-102(a)</t>
  </si>
  <si>
    <t>Oil &amp; Gas; Disposal of Brines &amp; Mineralized Waters; dispose of certain waste in oil-field disposal wells at excessive pressures</t>
  </si>
  <si>
    <t>55-1004</t>
  </si>
  <si>
    <t>Oil &amp; Gas; Disposal of Brines &amp; Mineralized Waters; use wells for the disposal of salt brines or other oil field wastes which do not meet the requirements for minimum depth</t>
  </si>
  <si>
    <t>55-1005</t>
  </si>
  <si>
    <t>Oil &amp; Gas; Disposal of Salt Water; contract for the transportation of such salt water with a person, firm, corporation, partnership or other association not licensed under K.S.A. 66-1,114</t>
  </si>
  <si>
    <t>55-904(a)(3)</t>
  </si>
  <si>
    <t>Oil &amp; Gas; Disposal of Salt Water; contract for the transportation of such salt water with a person, firm, corporation, partnership or other association not licensed under K.S.A. 66-1,114; 2nd or subs. violation</t>
  </si>
  <si>
    <t>Oil &amp; Gas; Disposal of Salt Water; dispose of a substance not exempt under 40 C.F.R. 261.4(b)(5), as revised July 1, 1997, in a class II disposal or injection well</t>
  </si>
  <si>
    <t>55-904(a)(2)</t>
  </si>
  <si>
    <t>Oil &amp; Gas; Disposal of Salt Water; dispose of a substance not exempt under 40 C.F.R. 261.4(b)(5), as revised July 1, 1997, in a class II disposal or injection well; 2nd or subs. violation</t>
  </si>
  <si>
    <t>Oil &amp; Gas; Disposal of Salt Water; dispose of salt water in unauthorized manner</t>
  </si>
  <si>
    <t>55-904(a)(1)</t>
  </si>
  <si>
    <t>Oil &amp; Gas; Disposal of Salt Water; dispose of salt water in unauthorized manner; 2nd or subs. violation</t>
  </si>
  <si>
    <t>Oil &amp; Gas; Disposal of Salt Water; own, operate a vehicle being used for transportation of salt water containing an operable "trip-lever" accessible to a person in the passenger compartment of such vehicle</t>
  </si>
  <si>
    <t>55-904(a)(4)</t>
  </si>
  <si>
    <t>Oil &amp; Gas; Disposal of Salt Water; own, operate a vehicle being used for transportation of salt water containing an operable "trip-lever" accessible to a person in the passenger compartment of such vehicle; 2nd or subs. violation</t>
  </si>
  <si>
    <t>Oil &amp; Gas; Fail to complete the testing or placing-in-service report in its entirety and to report the accurate description of the parts replaced, adjusted, reconditioned or work performed</t>
  </si>
  <si>
    <t>55-443(a)(4)</t>
  </si>
  <si>
    <t>Oil &amp; Gas; Fail to follow the applicable version of NIST Handbook as referenced in chapter 83 of the Kansas Statutes Annotated, or any rules and regulations adopted thereunder when installing, repairing, calibrating or testing a device</t>
  </si>
  <si>
    <t>55-443(a)(3)</t>
  </si>
  <si>
    <t>Oil &amp; Gas; Fail to have any commercial dispensing device tested as required by the petroleum products inspection law or chapter 83 of the Kansas Statutes Annotated</t>
  </si>
  <si>
    <t>55-443(a)(8)</t>
  </si>
  <si>
    <t>Oil &amp; Gas; Fail to pay all fees and penalties as required</t>
  </si>
  <si>
    <t>55-443(a)(6)</t>
  </si>
  <si>
    <t>Oil &amp; Gas; Failure to notify commission prior to setting surface casing or plugging</t>
  </si>
  <si>
    <t>55-159</t>
  </si>
  <si>
    <t>Oil &amp; Gas; Failure to notify of intent to drill</t>
  </si>
  <si>
    <t>55-174(a)</t>
  </si>
  <si>
    <t>Oil &amp; Gas; Failure to remove structures and abutments from lands after abandoning wells</t>
  </si>
  <si>
    <t>55-177</t>
  </si>
  <si>
    <t>Oil &amp; Gas; Failure to submit cement bond logs or other surveys for surface casing</t>
  </si>
  <si>
    <t>55-158</t>
  </si>
  <si>
    <t>Oil &amp; Gas; File a false or fraudulent application or report to the secretary</t>
  </si>
  <si>
    <t>55-443(a)(5)</t>
  </si>
  <si>
    <t>Oil &amp; Gas; Misrepresent that diesel fuel is or contains biodiesel fuel blend or otherwise represent that diesel fuel is made from renewable resources</t>
  </si>
  <si>
    <t>55-443(a)(11)</t>
  </si>
  <si>
    <t>Oil &amp; Gas; Obstruct the secretary or any of the secretary's authorized agents in performance of the secretary's official duties under the petroleum products inspection law</t>
  </si>
  <si>
    <t>55-443(a)(2)</t>
  </si>
  <si>
    <t>Oil &amp; Gas; Refuse to keep and make available for examination by the Kansas department of agriculture all books, papers, and other information as required</t>
  </si>
  <si>
    <t>55-443(a)(7)</t>
  </si>
  <si>
    <t>Oil &amp; Gas; Regulatory provisions; fail to cement in the surface casing as required to protect water</t>
  </si>
  <si>
    <t>55-157</t>
  </si>
  <si>
    <t>Oil &amp; Gas; Regulatory provisions; fail to plug well as required to protect water, prior to abandoning well</t>
  </si>
  <si>
    <t>55-156</t>
  </si>
  <si>
    <t>Oil &amp; Gas; Regulatory provisions; removal of seal on well without proper approval</t>
  </si>
  <si>
    <t>55-162(e)</t>
  </si>
  <si>
    <t>Oil &amp; Gas; Sell, offer or expose for sale any petroleum product which does not comply with the provisions of the petroleum products inspection law</t>
  </si>
  <si>
    <t>55-443(a)(9)</t>
  </si>
  <si>
    <t>Oil &amp; Gas; Sell, use, remove, otherwise dispose of or fail to remove from the premises specified, any dispensing device, package or commodity contrary to the terms of any order issued by the secretary</t>
  </si>
  <si>
    <t>55-443(a)(10)</t>
  </si>
  <si>
    <t>Oil &amp; Gas; Transportation of gas; standards for</t>
  </si>
  <si>
    <t>55-112(a)</t>
  </si>
  <si>
    <t>Oil &amp; Gas; Violate any order issued by the secretary pursuant to chapter 83 of the Kansas Statutes Annotated</t>
  </si>
  <si>
    <t>55-443(a)(12)</t>
  </si>
  <si>
    <t>Optometry Law; Dispense ophthalmic lens or lenses without prescription order; 1st offense</t>
  </si>
  <si>
    <t>65-1504b</t>
  </si>
  <si>
    <t>Optometry Law; Dispense ophthalmic lens or lenses without prescription order; 2nd or subs. offense</t>
  </si>
  <si>
    <t>Optometry Law; Unauthorized disclosure of confidential fingerprints and criminal history record check information</t>
  </si>
  <si>
    <t>65-1505(f)(3)</t>
  </si>
  <si>
    <t>Parimutuel Racing; Accept, transmit or deliver, from a person outside a racetrack facility, anything of value to be wagered in any parimutuel system of wagering within a racetrack facility; 1st offense</t>
  </si>
  <si>
    <t>74-8810(i)(2)</t>
  </si>
  <si>
    <t>Parimutuel Racing; Accept, transmit or deliver, from any person outside a racetrack facility, anything of value to be wagered in any parimutuel system of wagering within a racetrack facility; 2nd or subs. offense</t>
  </si>
  <si>
    <t>74-8810(j)(2)</t>
  </si>
  <si>
    <t>Parimutuel Racing; Administer or conspire to administer, any drug or medication to a horse or greyhound in violation of rules and regulations of the commission; 2nd or subs. offense</t>
  </si>
  <si>
    <t>74-8810(j)(7)</t>
  </si>
  <si>
    <t>Parimutuel Racing; Administering any drug or medication to a horse or greyhound within a racetrack facility in violation of rules and regulations; 1st offense</t>
  </si>
  <si>
    <t>74-8810(i)(3)</t>
  </si>
  <si>
    <t>Parimutuel Racing; Alter, or attempt to alter, the natural outcome of any race conducted by, or any simulcast race displayed by, an organization licensee or transmit or receive an altered race or delayed broadcast race if parimutuel wagering is conducted or solicited after off time of the race</t>
  </si>
  <si>
    <t>74-8810(j)(11)</t>
  </si>
  <si>
    <t>Parimutuel Racing; Conduct or assist in the conduct of a horse or greyhound race, or the display of a simulcast race, where the parimutuel system of wagering is used or is intended to be used without a license</t>
  </si>
  <si>
    <t>74-8810(j)(3)</t>
  </si>
  <si>
    <t>Parimutuel Racing; Enter any horse or greyhound in any race conducted by an organization licensee knowing that the class or grade entered is not the true class or grade or knowing that the name under which entered is not the registered name</t>
  </si>
  <si>
    <t>74-8810(j)(4)</t>
  </si>
  <si>
    <t>Parimutuel Racing; Enter any horse or greyhound in any race knowing such horse or greyhound to be ineligible to compete in such race pursuant to K.S.A. 74-8812</t>
  </si>
  <si>
    <t>74-8810(i)(6)</t>
  </si>
  <si>
    <t>Parimutuel Racing; Fail to report knowledge of any violation of this act by another person for the purpose of stimulating or depressing any horse or greyhound, or affecting its speed</t>
  </si>
  <si>
    <t>74-8810(j)(14)</t>
  </si>
  <si>
    <t>Parimutuel Racing; Falsify, conceal or cover up, by any trick, scheme or device, a material fact related to breeding, buying, selling or racing or prior racing record, pedigree, identity or ownership of a registered horse or greyhound</t>
  </si>
  <si>
    <t>74-8810(j)(15)(A)</t>
  </si>
  <si>
    <t>Parimutuel Racing; Holding paid position with any facility manager licensee, facility owner licensee or organization licensee or holding an interest in any racetrack facility if related to a member of the Legislature</t>
  </si>
  <si>
    <t>74-8810(b)(2)</t>
  </si>
  <si>
    <t>Parimutuel Racing; Holding paid position with any facility manger licensee, facility owner licensee or organization licensee or holding an interest in any racetrack facility if a member of the Legislature or within 5 yrs following the end of such term</t>
  </si>
  <si>
    <t>74-8810(b)(1)</t>
  </si>
  <si>
    <t>Parimutuel Racing; Illegal purchase of a parimutuel ticket by person 18 or over but less than 21; 1st offense</t>
  </si>
  <si>
    <t>74-8810(k)(1)</t>
  </si>
  <si>
    <t>Parimutuel Racing; Illegal purchase of a parimutuel ticket by person 18 or over but less than 21; 2nd or subs. offense</t>
  </si>
  <si>
    <t>Parimutuel Racing; Influence or attempt to influence any member, employee or appointee of the commission, by payment, in the performance of any official duty of that member, employee or appointee</t>
  </si>
  <si>
    <t>74-8810(j)(13)</t>
  </si>
  <si>
    <t>Parimutuel Racing; Influence or attempt to influence, by the payment or promise of payment of money or other valuable consideration, any person to alter the natural outcome of any race conducted by, or any simulcast race displayed by, an organization licensee</t>
  </si>
  <si>
    <t>74-8810(j)(12)</t>
  </si>
  <si>
    <t>Parimutuel Racing; Knowingly make or use any false writing related to breeding, buying, selling or racing or prior racing record, pedigree, identity or ownership of a registered horse or greyhound</t>
  </si>
  <si>
    <t>74-8810(j)(15)(C)</t>
  </si>
  <si>
    <t>Parimutuel Racing; Make any false, fictitious or fraudulent statement or representation related to breeding, buying, selling or racing or prior racing record, pedigree, identity or ownership of a registered horse or greyhound</t>
  </si>
  <si>
    <t>74-8810(j)(15)(B)</t>
  </si>
  <si>
    <t>Parimutuel Racing; Pass or attempt to pass, cash or attempt to cash any altered or forged parimutuel ticket knowing it to have been altered or forged</t>
  </si>
  <si>
    <t>74-8810(j)(16)</t>
  </si>
  <si>
    <t>Parimutuel Racing; Possess any unusual device or lure designed or intended to affect the speed of a horse or greyhound</t>
  </si>
  <si>
    <t>74-8810(j)(6)</t>
  </si>
  <si>
    <t>Parimutuel Racing; Possess or conspire to possess, any drug or medication for administration to a horse or greyhound in violation of rules and regulations of the commission; 2nd or subs. offense</t>
  </si>
  <si>
    <t>74-8810(j)(8)</t>
  </si>
  <si>
    <t>Parimutuel Racing; Possess or conspire to possess, equipment for administering drugs or medications to horses or greyhounds in violation of rules and regulations of the commission; 2nd or subs. offense</t>
  </si>
  <si>
    <t>74-8810(j)(9)</t>
  </si>
  <si>
    <t>Parimutuel Racing; Possession within a racetrack facility of any drug or medication for administration to a horse or greyhound in violation of rules and regulations; 1st offense</t>
  </si>
  <si>
    <t>74-8810(i)(4)</t>
  </si>
  <si>
    <t>Parimutuel Racing; Possession within a racetrack facility of equipment for administering drugs or medications to horses or greyhounds in violation of rules &amp; regulations; 1st offense</t>
  </si>
  <si>
    <t>74-8810(i)(5)</t>
  </si>
  <si>
    <t>Parimutuel Racing; Prepare or cause to be prepared an application for registration of a horse pursuant to K.S.A. 74-8830 knowing that such contains false information</t>
  </si>
  <si>
    <t>74-8810(i)(7)</t>
  </si>
  <si>
    <t>Parimutuel Racing; Prohibited acts of executive director or a member of the commission; having financial interest in any racetrack facility or any host facility for a simulcast race</t>
  </si>
  <si>
    <t>74-8810(a)(1)</t>
  </si>
  <si>
    <t>Parimutuel Racing; Prohibited acts of facility owner licensee or facility manager licensee, other than a horsemen's association, or any officer, director, employee, stockholder or shareholder thereof or any person having an ownership interest therein</t>
  </si>
  <si>
    <t>74-8810(f)</t>
  </si>
  <si>
    <t>Parimutuel Racing; Prohibited acts of licensee of the commission, or an officer, director, member or employee of a licensee</t>
  </si>
  <si>
    <t>74-8810(g)</t>
  </si>
  <si>
    <t>Parimutuel Racing; Prohibited acts of member, employee or appointee of the commission, including stewards and racing judges; participate as an owner, owner-trainer or trainer of a horse or greyhound, or as a jockey of a horse entered in a race meeting in this state</t>
  </si>
  <si>
    <t>74-8810(c)(2)</t>
  </si>
  <si>
    <t>Parimutuel Racing; Prohibited acts of member, employee or appointee of the commission, including stewards and racing judges; participate in the operation of or have financial interest in certain business</t>
  </si>
  <si>
    <t>74-8810(c)(1)</t>
  </si>
  <si>
    <t>Parimutuel Racing; Prohibited acts of member, employee or appointee of the commission, including stewards and racing judges; place a wager on an entry in a horse or greyhound race conducted by an organization licensee</t>
  </si>
  <si>
    <t>74-8810(c)(3)</t>
  </si>
  <si>
    <t>Parimutuel Racing; Prohibited acts of member, employee or appointee of the commission, including stewards and racing judges; unauthorized acceptance of any compensation, gift, loan, entertainment, favor or service from any licensee</t>
  </si>
  <si>
    <t>74-8810(c)(4)</t>
  </si>
  <si>
    <t>Parimutuel Racing; Prohibited acts of member, employee or appointee of the commission, or certain relatives thereof; enter into business dealing, venture or contract with an owner or lessee of a racetrack facility</t>
  </si>
  <si>
    <t>74-8810(d)(1)(B)</t>
  </si>
  <si>
    <t>Parimutuel Racing; Prohibited acts of member, employee or appointee of the commission, or certain relatives thereof; holding license issued by the commission</t>
  </si>
  <si>
    <t>74-8810(d)(1)(A)</t>
  </si>
  <si>
    <t>Parimutuel Racing; Prohibited acts of officer, director or member of an organization licensee, other than a fair association or horsemen's nonprofit organization; entering into certain business dealings, ventures or contracts</t>
  </si>
  <si>
    <t>74-8810(e)(2)</t>
  </si>
  <si>
    <t>Parimutuel Racing; Prohibited acts of officer, director or member of an organization licensee, other than a fair association or horsemen's nonprofit organization; financial interest</t>
  </si>
  <si>
    <t>74-8810(a)(2)</t>
  </si>
  <si>
    <t>Parimutuel Racing; Prohibited acts of officer, director or member of an organization licensee, other than a fair association or horsemen's nonprofit organization; unauthorized receipt of certain compensation, reimbursement or payment of expenses</t>
  </si>
  <si>
    <t>74-8810(e)(1)</t>
  </si>
  <si>
    <t>Parimutuel Racing; Sell a parimutuel ticket or an interest in such a ticket to a person knowing such person to be under 21 yrs of age; 1st offense</t>
  </si>
  <si>
    <t>74-8810(i)(1)</t>
  </si>
  <si>
    <t>Parimutuel Racing; Selling a parimutuel ticket or an interest in such a ticket to a person known to be under 21; 2nd or subs. offense</t>
  </si>
  <si>
    <t>74-8810(j)(1)</t>
  </si>
  <si>
    <t>Parimutuel Racing; Sponge the nostrils or windpipe of a horse for the purpose of stimulating or depressing such horse or affecting its speed at any time during a race meeting</t>
  </si>
  <si>
    <t>74-8810(j)(10)</t>
  </si>
  <si>
    <t>Parimutuel Racing; Unauthorized disclosure of confidential information</t>
  </si>
  <si>
    <t>74-8804(o)</t>
  </si>
  <si>
    <t>Parimutuel Racing; Use any animal or fowl in the training or racing of racing greyhounds</t>
  </si>
  <si>
    <t>74-8810(h)</t>
  </si>
  <si>
    <t>Parimutuel Racing; Use or conspire to use any unusual device or lure for the purpose of affecting the speed of any horse or greyhound during a race</t>
  </si>
  <si>
    <t>74-8810(j)(5)</t>
  </si>
  <si>
    <t>Parks/museums/lakes/recreational grounds; Penalty for violation of any posted or published penal rule or regulations relating to the conduct of persons in the area where improvements are established</t>
  </si>
  <si>
    <t>19-2894</t>
  </si>
  <si>
    <t>Parks/museums/lakes/recreational grounds; Penalty for violation of any posted or published penal rule or regulations relating to the conduct of persons in the parks and playgrounds or park or playgrounds</t>
  </si>
  <si>
    <t>19-2873</t>
  </si>
  <si>
    <t>Parks/museums/lakes/recreational grounds; Penalty for violation of rules and regulations pertaining to the use and enjoyment of any park, lake or other recreational area and for the protection and preservation of such properties</t>
  </si>
  <si>
    <t>19-2803a</t>
  </si>
  <si>
    <t>Pawn Brokers and Precious Metal Dealers; Penalty for violation of act</t>
  </si>
  <si>
    <t>16-721</t>
  </si>
  <si>
    <t>Performance of an Unauthorized Official Act; Knowingly and without lawful authority certifying an acknowledgment of the execution of any document which by law may be recorded</t>
  </si>
  <si>
    <t>21-5919(a)(2)</t>
  </si>
  <si>
    <t>Performance of an Unauthorized Official Act; Knowingly and without lawful authority conducting a marriage ceremony</t>
  </si>
  <si>
    <t>21-5919(a)(1)</t>
  </si>
  <si>
    <t>Perjury; Intentionally and falsely subscribe as true and correct under penalty of perjury any material matter in any declaration, verification, certificate or statement as permitted by K.S.A. 53-601; during felony trial</t>
  </si>
  <si>
    <t>21-5903(a)(2)</t>
  </si>
  <si>
    <t>Perjury; Intentionally and falsely subscribe as true and correct under penalty of perjury any material matter in any declaration, verification, certificate or statement as permitted by K.S.A. 53-601; In a cause, matter or proceeding other than a felony trial</t>
  </si>
  <si>
    <t>Perjury; Intentionally and falsely swear, testify, affirm, declare or subscribe to any material fact upon oath or affirmation; during felony trial</t>
  </si>
  <si>
    <t>21-5903(a)(1)</t>
  </si>
  <si>
    <t>Perjury; Intentionally and falsely swear, testify, affirm, declare or subscribe to any material fact upon oath or affirmation; in a cause, matter or proceeding other than a felony trial</t>
  </si>
  <si>
    <t>Permitting False Claim; $25,000 or more</t>
  </si>
  <si>
    <t>21-6004(b)</t>
  </si>
  <si>
    <t>Permitting False Claim; At least $1,000 but less than $25,000</t>
  </si>
  <si>
    <t>Permitting False Claim; Claim less than $1,000</t>
  </si>
  <si>
    <t>Personal &amp; Family Protection Act; Unauthorized disclosure of records pertaining to concealed handgun licensing</t>
  </si>
  <si>
    <t>75-7c06(b)</t>
  </si>
  <si>
    <t>Personal &amp; Real Property; Failure to have a land surveyor establish reference points as required</t>
  </si>
  <si>
    <t>58-2011(b)</t>
  </si>
  <si>
    <t>Personal &amp; Real Property; Liens on Personal Property; Sell, dispose or secret grain with intent to defraud</t>
  </si>
  <si>
    <t>58-206</t>
  </si>
  <si>
    <t>Pesticide Law; Application of pesticides within this state by any governmental agency which has not been issued a government agency registration</t>
  </si>
  <si>
    <t>2-2440(e)</t>
  </si>
  <si>
    <t>Pesticide Law; Certified Private Applicator; application of pesticides within this state by any governmental agency which has not been issued a government agency registration</t>
  </si>
  <si>
    <t>Pesticide Law; Certified Private Applicator; discard/store any pesticide or pesticide container in an unsafe manner</t>
  </si>
  <si>
    <t>2-2453(b)</t>
  </si>
  <si>
    <t>Pesticide Law; Certified Private Applicator; penalty for failure to comply with provisions of this act, rules or regulations</t>
  </si>
  <si>
    <t>2-2453(c)</t>
  </si>
  <si>
    <t>Pesticide Law; Certified Private Applicator; pesticide business licensee applying pesticides without being certified as a commercial applicator or a registered pest control technician, or in presence of one so certified or registered</t>
  </si>
  <si>
    <t>2-2440b(a)</t>
  </si>
  <si>
    <t>Pesticide Law; Certified Private Applicator; unlicensed Advertising, offering for sale, selling or performing any service for the control of a pest on another's property or applying a pesticide to another's property</t>
  </si>
  <si>
    <t>2-2440(a)(1)</t>
  </si>
  <si>
    <t>Pesticide Law; Certified Private Applicator; Unlicensed performance of any service for the control of a pest or application of any pesticide on or at the premises of another person under any commission, division of receipts or subcontracting arrangement with a licensed pesticide business</t>
  </si>
  <si>
    <t>2-2440(a)(2)</t>
  </si>
  <si>
    <t>Pesticide Law; Certified Private Applicator; use of pesticides in a manner inconsistent with the label or labeling</t>
  </si>
  <si>
    <t>2-2453(a)</t>
  </si>
  <si>
    <t>Pesticide Law; Certified/Registered/Licensed Persons; aid, abet or conspire with any person to evade any of the provisions of this act; allow a license, registration, permit or certificate to be used by an unlicensed or uncertified person</t>
  </si>
  <si>
    <t>2-2454(i)</t>
  </si>
  <si>
    <t>Pesticide Law; Certified/Registered/Licensed Persons; Certified Private Applicator; aid, abet or conspire with any person to evade any of the provisions of this act; allow a license, registration, permit or certificate to be used by an unlicensed or uncertified person</t>
  </si>
  <si>
    <t>Pesticide Law; Certified/Registered/Licensed Persons; Certified Private Applicator; distribute, sell or offer for sale any pesticide product with altered, defaced or detached labeling</t>
  </si>
  <si>
    <t>2-2454(t)</t>
  </si>
  <si>
    <t>Pesticide Law; Certified/Registered/Licensed Persons; Certified Private Applicator; distribute, sell or offer for sale any pesticide product with pesticide or pesticide residue on the container or packaging</t>
  </si>
  <si>
    <t>2-2454(u)</t>
  </si>
  <si>
    <t>Pesticide Law; Certified/Registered/Licensed Persons; Certified Private Applicator; distribute, sell or offer for sale any pesticide unless it is in the pesticide registrant's or the pesticide manufacturer's unbroken immediate container and there is affixed to such container the registrant's label which is complete and legible and which can be read through any package wrappers</t>
  </si>
  <si>
    <t>2-2454(s)</t>
  </si>
  <si>
    <t>Pesticide Law; Certified/Registered/Licensed Persons; Certified Private Applicator; distribute, sell, make available for use, or use any restricted use pesticide other than by certified applicator or under supervision of certified applicator</t>
  </si>
  <si>
    <t>2-2454(r)</t>
  </si>
  <si>
    <t>Pesticide Law; Certified/Registered/Licensed Persons; Certified Private Applicator; engage in or advertise to provide pest control services without proper licenses, certification or registration</t>
  </si>
  <si>
    <t>2-2454(n)</t>
  </si>
  <si>
    <t>Pesticide Law; Certified/Registered/Licensed Persons; Certified Private Applicator; failure to maintain/provide a copy of pesticide product labels/material safety data sheets when requested</t>
  </si>
  <si>
    <t>2-2454(p)</t>
  </si>
  <si>
    <t>Pesticide Law; Certified/Registered/Licensed Persons; Certified Private Applicator; false or fraudulent claims through any media, misrepresenting the effect of material or methods to be utilized</t>
  </si>
  <si>
    <t>2-2454(a)</t>
  </si>
  <si>
    <t>Pesticide Law; Certified/Registered/Licensed Persons; Certified Private Applicator; impersonate any state, county or city inspector or official, as acting in their official capacity</t>
  </si>
  <si>
    <t>2-2454(j)</t>
  </si>
  <si>
    <t>Pesticide Law; Certified/Registered/Licensed Persons; Certified Private Applicator; knowingly operate faulty, unsafe or, if registration is required, unregistered equipment, or operate any equipment in a negligent manner</t>
  </si>
  <si>
    <t>2-2454(d)</t>
  </si>
  <si>
    <t>Pesticide Law; Certified/Registered/Licensed Persons; Certified Private Applicator; knowingly use ineffective or improper methods or materials</t>
  </si>
  <si>
    <t>2-2454(c)</t>
  </si>
  <si>
    <t>Pesticide Law; Certified/Registered/Licensed Persons; Certified Private Applicator; make a pesticide recommendation or use not in accordance with the directions for use on the label</t>
  </si>
  <si>
    <t>2-2454(b)</t>
  </si>
  <si>
    <t>Pesticide Law; Certified/Registered/Licensed Persons; Certified Private Applicator; make any misrepresentation or defraud any member of the public</t>
  </si>
  <si>
    <t>2-2454(k)</t>
  </si>
  <si>
    <t>Pesticide Law; Certified/Registered/Licensed Persons; Certified Private Applicator; make false or fraudulent records, invoices or reports</t>
  </si>
  <si>
    <t>2-2454(f)</t>
  </si>
  <si>
    <t>Pesticide Law; Certified/Registered/Licensed Persons; Certified Private Applicator; permitting unlawful use of a pesticide business license or contract forms by an unlicensed person</t>
  </si>
  <si>
    <t>2-2454(l)</t>
  </si>
  <si>
    <t>Pesticide Law; Certified/Registered/Licensed Persons; Certified Private Applicator; refuse or neglect to comply with limitations/ restrictions on or in a duly issued license, registration, permit or certificate</t>
  </si>
  <si>
    <t>2-2454(h)</t>
  </si>
  <si>
    <t>Pesticide Law; Certified/Registered/Licensed Persons; Certified Private Applicator; refuse or neglect to keep and maintain records as required; refuse or neglect to make records available as required</t>
  </si>
  <si>
    <t>2-2454(e)</t>
  </si>
  <si>
    <t>Pesticide Law; Certified/Registered/Licensed Persons; Certified Private Applicator; use any method or material without regard to public health, safety or welfare</t>
  </si>
  <si>
    <t>2-2454(m)</t>
  </si>
  <si>
    <t>Pesticide Law; Certified/Registered/Licensed Persons; Certified Private Applicator; use any pesticide in a manner inconsistent with limitations imposed by the secretary pursuant to K.S.A. 2-2471</t>
  </si>
  <si>
    <t>2-2454(q)</t>
  </si>
  <si>
    <t>Pesticide Law; Certified/Registered/Licensed Persons; Certified Private Applicator; use fraud or misrepresentation in making an application for or renewal of a license, registration, permit or certificate</t>
  </si>
  <si>
    <t>2-2454(g)</t>
  </si>
  <si>
    <t>Pesticide Law; Certified/Registered/Licensed Persons; Certified Private Applicator; use, store, dispose of any pesticide material, pesticide rinsate or container without regard to public health or environmental damage</t>
  </si>
  <si>
    <t>2-2454(o)</t>
  </si>
  <si>
    <t>Pesticide Law; Certified/Registered/Licensed Persons; distribute, sell or offer for sale any pesticide product with altered, defaced or detached labeling</t>
  </si>
  <si>
    <t>Pesticide Law; Certified/Registered/Licensed Persons; distribute, sell or offer for sale any pesticide product with pesticide or pesticide residue on the container or packaging</t>
  </si>
  <si>
    <t>Pesticide Law; Certified/Registered/Licensed Persons; distribute, sell or offer for sale any pesticide unless it is in the pesticide registrant's or the pesticide manufacturer's unbroken immediate container and there is affixed to such container the registrant's label which is complete and legible and which can be read through any package wrappers</t>
  </si>
  <si>
    <t>Pesticide Law; Certified/Registered/Licensed Persons; distribute, sell, make available for use, or use any restricted use pesticide other than by certified applicator or under supervision of certified applicator</t>
  </si>
  <si>
    <t>Pesticide Law; Certified/Registered/Licensed Persons; engage in or advertise to provide pest control services without proper licenses, certification or registration</t>
  </si>
  <si>
    <t>Pesticide Law; Certified/Registered/Licensed Persons; failure to maintain/provide a copy of pesticide product labels/material safety data sheets when requested</t>
  </si>
  <si>
    <t>Pesticide Law; Certified/Registered/Licensed Persons; false or fraudulent claims through any media, misrepresenting the effect of material or methods to be utilized</t>
  </si>
  <si>
    <t>Pesticide Law; Certified/Registered/Licensed Persons; impersonate any state, county or city inspector or official, as acting in their official capacity</t>
  </si>
  <si>
    <t>Pesticide Law; Certified/Registered/Licensed Persons; knowingly operate faulty, unsafe or, if registration is required, unregistered equipment, or operate any equipment in a negligent manner</t>
  </si>
  <si>
    <t>Pesticide Law; Certified/Registered/Licensed Persons; knowingly use ineffective or improper methods or materials</t>
  </si>
  <si>
    <t>Pesticide Law; Certified/Registered/Licensed Persons; make a pesticide recommendation or use not in accordance with directions for use on the label</t>
  </si>
  <si>
    <t>Pesticide Law; Certified/Registered/Licensed Persons; make any misrepresentation or defraud any member of the public</t>
  </si>
  <si>
    <t>Pesticide Law; Certified/Registered/Licensed Persons; make false or fraudulent records, invoices or reports</t>
  </si>
  <si>
    <t>Pesticide Law; Certified/Registered/Licensed Persons; permitting unlawful use of a pesticide business license or contract forms by an unlicensed person</t>
  </si>
  <si>
    <t>Pesticide Law; Certified/Registered/Licensed Persons; refuse or neglect to comply with any limitations or restrictions on or in a duly issued license, registration, permit or certificate</t>
  </si>
  <si>
    <t>Pesticide Law; Certified/Registered/Licensed Persons; refuse or neglect to keep and maintain records as required; refuse or neglect to make records available as required</t>
  </si>
  <si>
    <t>Pesticide Law; Certified/Registered/Licensed Persons; use any method or material without regard to public health, safety or welfare</t>
  </si>
  <si>
    <t>Pesticide Law; Certified/Registered/Licensed Persons; use any pesticide in a manner inconsistent with limitations imposed by the secretary pursuant to K.S.A. 2-2471</t>
  </si>
  <si>
    <t>Pesticide Law; Certified/Registered/Licensed Persons; use fraud or misrepresentation in making an application for or renewal of a license, registration, permit or certificate</t>
  </si>
  <si>
    <t>Pesticide Law; Certified/Registered/Licensed Persons; use, store, dispose of any pesticide material, pesticide rinsate or container without regard to public health or environmental damage</t>
  </si>
  <si>
    <t>Pesticide Law; Discard/store any pesticide or pesticide container in an unsafe manner</t>
  </si>
  <si>
    <t>Pesticide Law; Penalty for failure to comply with provisions of this act, rules or regulations</t>
  </si>
  <si>
    <t>Pesticide Law; Pesticide business licensee applying pesticides without being certified as a commercial applicator or a registered pest control technician, or in presence of one so certified or registered</t>
  </si>
  <si>
    <t>Pesticide Law; Surety bond; Certified Private Applicator; unlawful use of "bond" or "bonded" in advertising</t>
  </si>
  <si>
    <t>2-2448(a)(1)</t>
  </si>
  <si>
    <t>Pesticide Law; Surety bond; unlawful use of "bond" or "bonded" in advertising</t>
  </si>
  <si>
    <t>Pesticide Law; Unlicensed advertising, offering for sale, selling or performing any service for the control of a pest on another's property or applying a pesticide to another's property</t>
  </si>
  <si>
    <t>Pesticide Law; Unlicensed performance of any service for the control of a pest or application of any pesticide on or at the premises of another person under any commission, division of receipts or subcontracting arrangement with a licensed pesticide business</t>
  </si>
  <si>
    <t>Pesticide Law; Use of pesticides in a manner inconsistent with the label or labeling</t>
  </si>
  <si>
    <t>Pet Animal Act, Violation or failure to comply with any provision of the act or any rule and regulation</t>
  </si>
  <si>
    <t>47-1715(a)</t>
  </si>
  <si>
    <t>Pet Animal Act; Animal breeder license required</t>
  </si>
  <si>
    <t>47-1733(a)</t>
  </si>
  <si>
    <t>Pet Animal Act; Animal distributor license required</t>
  </si>
  <si>
    <t>47-1702</t>
  </si>
  <si>
    <t>Pet Animal Act; Hobby breeder license required</t>
  </si>
  <si>
    <t>47-1719(a)</t>
  </si>
  <si>
    <t>Pet Animal Act; Interfere with a representative of the animal health department</t>
  </si>
  <si>
    <t>47-1735(a)</t>
  </si>
  <si>
    <t>Pet Animal Act; Kennel operator license required</t>
  </si>
  <si>
    <t>47-1723(a)</t>
  </si>
  <si>
    <t>Pet Animal Act; Knowingly falsify results or findings of any inspection or investigation; intentionally fail or refuse to make an inspection/ conduct an investigation pursuant to this section</t>
  </si>
  <si>
    <t>47-1709(g)</t>
  </si>
  <si>
    <t>Pet Animal Act; Knowingly purchase a dog or a cat for the purpose of resale from a person required to be licensed or permitted if that person is not so licensed or permitted</t>
  </si>
  <si>
    <t>47-1724(a)</t>
  </si>
  <si>
    <t>Pet Animal Act; Licensees; knowingly sell to out-of-state distributors, animal distributors or pet shops who are not permitted or licensed in accordance with the Kansas Pet Animal Act</t>
  </si>
  <si>
    <t>47-1724(b)</t>
  </si>
  <si>
    <t>Pet Animal Act; Out-of-state distributor permit required</t>
  </si>
  <si>
    <t>47-1734(a)</t>
  </si>
  <si>
    <t>Pet Animal Act; Pet shop operator license required</t>
  </si>
  <si>
    <t>47-1703</t>
  </si>
  <si>
    <t>Pet Animal Act; Pound or animal shelter license</t>
  </si>
  <si>
    <t>47-1704</t>
  </si>
  <si>
    <t>Pet Animal Act; Research facility license required</t>
  </si>
  <si>
    <t>47-1720(a)</t>
  </si>
  <si>
    <t>Pet Animal Act; Retail breeder license required</t>
  </si>
  <si>
    <t>47-1736(a)</t>
  </si>
  <si>
    <t>Pharmacy Act; Be a pharmacy student without first obtaining a registration to do so from the board and paying the registration fee</t>
  </si>
  <si>
    <t>65-1643(i)</t>
  </si>
  <si>
    <t>Pharmacy Act; Display of pharmacist license; when unlawful</t>
  </si>
  <si>
    <t>65-1641</t>
  </si>
  <si>
    <t>Pharmacy Act; Distribute at wholesale any drugs without first obtaining a registration from the board</t>
  </si>
  <si>
    <t>65-1643(c)</t>
  </si>
  <si>
    <t>Pharmacy Act; Distribute or dispense samples of any drugs without first having obtained a permit from the board</t>
  </si>
  <si>
    <t>65-1643(e)</t>
  </si>
  <si>
    <t>Pharmacy Act; Intentionally adulterate or mislabel any drugs, medicines, chemicals or poisons, or cause such or expose for sale knowing the same to be adulterated or mislabeled</t>
  </si>
  <si>
    <t>65-1634</t>
  </si>
  <si>
    <t>Pharmacy Act; Licensure required of pharmacists</t>
  </si>
  <si>
    <t>65-1631(a)</t>
  </si>
  <si>
    <t>Pharmacy Act; Manufacture of any drugs without proper supervision or without first obtaining a registration from the board</t>
  </si>
  <si>
    <t>65-1643(b)</t>
  </si>
  <si>
    <t>Pharmacy Act; Operate a veterinary medical teaching hospital pharmacy without first having obtained a registration from the board</t>
  </si>
  <si>
    <t>65-1643(j)</t>
  </si>
  <si>
    <t>Pharmacy Act; Operate an institutional drug room without first having obtained a registration from the board</t>
  </si>
  <si>
    <t>65-1643(h)</t>
  </si>
  <si>
    <t>Pharmacy Act; Operate, maintain, open or establish any pharmacy within this state without first having obtained a registration from the board</t>
  </si>
  <si>
    <t>65-1643(a)</t>
  </si>
  <si>
    <t>Pharmacy Act; Registration of pharmacy technicians required</t>
  </si>
  <si>
    <t>65-1663(a)</t>
  </si>
  <si>
    <t>Pharmacy Act; Sell any drugs manufactured and sold only in the state of Kansas, without having the label and directions on such drugs approved by the board</t>
  </si>
  <si>
    <t>65-1643(g)</t>
  </si>
  <si>
    <t>Pharmacy Act; Sell more than 4 or more packages of a controlled substance listed in K.S.A. 65-4113 (e) or (f) to one customer within 7 day period</t>
  </si>
  <si>
    <t>65-1643(l)</t>
  </si>
  <si>
    <t>Pharmacy Act; Sell or offer for sale at public auction or private sale in a place where public auctions are conducted, any drugs without first having obtained a registration from the board</t>
  </si>
  <si>
    <t>65-1643(d)</t>
  </si>
  <si>
    <t>Pharmacy Act; Sell, offer for sale or distribute any drugs to the public without first having obtained a registration or permit from the board authorizing such person so to do</t>
  </si>
  <si>
    <t>65-1643(f)</t>
  </si>
  <si>
    <t>Pharmacy Act; Sell, offer for sale, or lease durable medical equipment without registration</t>
  </si>
  <si>
    <t>65-1643(n)</t>
  </si>
  <si>
    <t>Pharmacy Act; Unauthorized sale or distribution in a pharmacy of a controlled substance designated in subsection (e) or (f) of K.S.A. 65-4113</t>
  </si>
  <si>
    <t>65-1643(k)</t>
  </si>
  <si>
    <t>Pharmacy Act; Unlawful advertising of nonresident, nonregistered pharmacy; effective Kansas Register</t>
  </si>
  <si>
    <t>65-1657(h)</t>
  </si>
  <si>
    <t>Pharmacy; Methamphetamine Precursor Sale Logging System Act; knowing disclosure in violation of the act</t>
  </si>
  <si>
    <t>65-16,107(b)</t>
  </si>
  <si>
    <t>Pharmacy; Methamphetamine Precursor Sale Logging System Act; knowing failure to submit methamphetamine precursor log information to pharmacy board</t>
  </si>
  <si>
    <t>65-16,107(a)</t>
  </si>
  <si>
    <t>Pharmacy; Methamphetamine Precursor Sale Logging System Act; knowing use of such information in a manner or for a purpose in violation of the act</t>
  </si>
  <si>
    <t>65-16,107(c)</t>
  </si>
  <si>
    <t>Physical Therapy; Certified physical therapist assistant treating ailments or other health conditions of human beings without direction of a licensed physical therapist</t>
  </si>
  <si>
    <t>65-2914(c)</t>
  </si>
  <si>
    <t>Physical Therapy; Employ fraud or deception in applying for or securing a license as a physical therapist</t>
  </si>
  <si>
    <t>65-2914(a)</t>
  </si>
  <si>
    <t>Physical Therapy; Licensed physical therapist  treating ailments/other health conditions other than by physical therapy without being licensed or registered to do so</t>
  </si>
  <si>
    <t>65-2914(b)</t>
  </si>
  <si>
    <t>Physical Therapy; Penalty for violations of act</t>
  </si>
  <si>
    <t>65-2916(a)</t>
  </si>
  <si>
    <t>Physical Therapy; Represent oneself as physical therapist assistant without such certification</t>
  </si>
  <si>
    <t>65-2913(b)</t>
  </si>
  <si>
    <t>Physical Therapy; Represent oneself as physical therapist without such license</t>
  </si>
  <si>
    <t>65-2913(a)</t>
  </si>
  <si>
    <t>Physically Disabled Persons; Misrepresent that a person has a disability for the purpose of acquiring an assistance dog</t>
  </si>
  <si>
    <t>39-1112(b)</t>
  </si>
  <si>
    <t>Physically Disabled Persons; Misrepresent that a person has the right to be accompanied by an assistance dog in any place listed in K.S.A. 39-110, or a professional therapy dog in any place listed in K.S.A. 2005 Supp. 39-1110</t>
  </si>
  <si>
    <t>39-1112(a)</t>
  </si>
  <si>
    <t>Physically Disabled Persons; Unlawful to interfere with rights</t>
  </si>
  <si>
    <t>39-1103</t>
  </si>
  <si>
    <t>Physician Assistant Licensure Act; Practice as a physician assistant without license</t>
  </si>
  <si>
    <t>65-28a06(a)</t>
  </si>
  <si>
    <t>Physician Assistant Licensure Act; Represent oneself as a physician assistant without such license</t>
  </si>
  <si>
    <t>65-28a06(b)</t>
  </si>
  <si>
    <t>Physician Assistant Licensure Act; Violation of the act</t>
  </si>
  <si>
    <t>65-28a14(a)</t>
  </si>
  <si>
    <t>Planning and Zoning; Penalty for any violation of act</t>
  </si>
  <si>
    <t>19-2953</t>
  </si>
  <si>
    <t>Plant Pests; Engage in business as a live plant dealer and use an invalid, suspended or revoked certificate of inspection, permit or live plant dealer license</t>
  </si>
  <si>
    <t>2-2124(a)(5)</t>
  </si>
  <si>
    <t>Plant Pests; Fail to carry out the treatment or destruction of any plant pest or regulated article</t>
  </si>
  <si>
    <t>2-2124(a)(3)</t>
  </si>
  <si>
    <t>Plant Pests; Failure to comply with provisions of this act, or other rules and regulations</t>
  </si>
  <si>
    <t>2-2124(a)(6)</t>
  </si>
  <si>
    <t>Plant Pests; Hinder or prevent the secretary from carrying out duties under this act</t>
  </si>
  <si>
    <t>2-2124(a)(2)</t>
  </si>
  <si>
    <t>Plant Pests; Knowingly move any regulated article into or within KS from a quarantined area if not treated or handled as per the requirements of said quarantine at the point of origin of such article</t>
  </si>
  <si>
    <t>2-2124(a)(7)</t>
  </si>
  <si>
    <t>Plant Pests; Sell, barter, offer for sale, or move, transport, deliver, ship or offer for shipment into or within this state any plant pests in any living stage without approval for such shipment from the secretary</t>
  </si>
  <si>
    <t>2-2124(a)(1)</t>
  </si>
  <si>
    <t>Plant Pests; Sell, transport, deliver, distribute, offer or expose for sale noncompliant live plants</t>
  </si>
  <si>
    <t>2-2124(a)(4)</t>
  </si>
  <si>
    <t>Plant Pests; Unlawful to sell, deliver, transport or ship live plants or other regulated articles not in compliance with act</t>
  </si>
  <si>
    <t>Podiatrist; Violating podiatry act</t>
  </si>
  <si>
    <t>65-2007</t>
  </si>
  <si>
    <t>Possession of Gambling Device</t>
  </si>
  <si>
    <t>21-6408(a)</t>
  </si>
  <si>
    <t>Poultry Disease Control Act; Penalty for violation of act, K.S.A. 2-908 to 2-915</t>
  </si>
  <si>
    <t>2-916</t>
  </si>
  <si>
    <t>Presenting False Claim; With intent to defraud; $25,000 or more</t>
  </si>
  <si>
    <t>21-6004(a)</t>
  </si>
  <si>
    <t>Presenting False Claim; With intent to defraud; At least $1,000 but less than $25,000</t>
  </si>
  <si>
    <t>Presenting False Claim; With Intent to Defraud; claim less than $1,000</t>
  </si>
  <si>
    <t>Private &amp; Out-of-State Postsecondary Educational Institution Act; Accept contracts or enrollment applications from a representative who is not registered</t>
  </si>
  <si>
    <t>74-32,177(a)(3)</t>
  </si>
  <si>
    <t>Private &amp; Out-of-State Postsecondary Educational Institution Act; Operate an institution without a certificate of approval</t>
  </si>
  <si>
    <t>74-32,177(a)(1)</t>
  </si>
  <si>
    <t>Private &amp; Out-of-State Postsecondary Educational Institution Act; Solicit prospective students without being registered as required by this act</t>
  </si>
  <si>
    <t>74-32,177(a)(2)</t>
  </si>
  <si>
    <t>Private &amp; Out-of-State Postsecondary Educational Institution Act; Unauthorized use of the term "accredited" in the name or advertisement of an institution</t>
  </si>
  <si>
    <t>74-32,177(a)(5)</t>
  </si>
  <si>
    <t>Private &amp; Out-of-State Postsecondary Educational Institution Act; Unauthorized use of the term "university" in the name or advertisement of an institution</t>
  </si>
  <si>
    <t>74-32,177(a)(6)</t>
  </si>
  <si>
    <t>Private &amp; Out-of-State Postsecondary Educational Institution Act; Use fraud or misrepresentation in advertising or in procuring enrollment of a student</t>
  </si>
  <si>
    <t>74-32,177(a)(4)</t>
  </si>
  <si>
    <t>Private Investigative or Security Operations; Unreasonably fail to obey subpoena; refuse to be examined or to answer legal or pertinent question as to the character or qualification of applicant or licensee or such's business, business practices and methods or such violations</t>
  </si>
  <si>
    <t>75-7b15(e)</t>
  </si>
  <si>
    <t>Prize Fights and Wrestling Matches Prohibited; exception</t>
  </si>
  <si>
    <t>21-1801(a)</t>
  </si>
  <si>
    <t>Production &amp; Conservation of Natural Gas; Any violation of act or valid order or rules or regulations of the commission</t>
  </si>
  <si>
    <t>55-708</t>
  </si>
  <si>
    <t>Production &amp; Conservation of Natural Gas; Waste of natural gas prohibited</t>
  </si>
  <si>
    <t>55-701</t>
  </si>
  <si>
    <t>Professional Counselor; Practice professional counseling as a clinical professional counselor without license; Represent oneself as a licensed clinical professional counselor without having such license</t>
  </si>
  <si>
    <t>65-5803(b)</t>
  </si>
  <si>
    <t>Professional Counselor; Practice professional counseling or represent oneself as a licensed professional counselor, licensed counselor or professional counselor without having such license</t>
  </si>
  <si>
    <t>65-5803(a)</t>
  </si>
  <si>
    <t>Promoting Material to Minors that is Harmful; Knowingly display any material which is harmful to minors</t>
  </si>
  <si>
    <t>21-6402(a)(1)</t>
  </si>
  <si>
    <t>Promoting Material to Minors that is Harmful; Knowingly present or distribute to a minor, or otherwise allowing a minor to view, with or without consideration, material harmful to minors</t>
  </si>
  <si>
    <t>21-6402(a)(2)</t>
  </si>
  <si>
    <t>Promoting Material to Minors that is Harmful; Knowingly present to a minor, or participate in presenting to a minor, with or without consideration, any performance which is harmful to a minor</t>
  </si>
  <si>
    <t>21-6402(a)(3)</t>
  </si>
  <si>
    <t>Promoting Obscenity to Minors; 2nd or subs. offense</t>
  </si>
  <si>
    <t>21-6401(b)</t>
  </si>
  <si>
    <t>Promoting Obscenity; As defined in subsections (a)(1) - (a)(4); Where recipient is a child under 18 years of age; 1st offense</t>
  </si>
  <si>
    <t>Promoting Obscenity; Recklessly manufacture, mail, transmit, publish, distribute, present, exhibit or advertise any obscene material or obscene device; 1st offense</t>
  </si>
  <si>
    <t>21-6401(a)(1)</t>
  </si>
  <si>
    <t>Promoting Obscenity; Recklessly manufacture/distribute/mail/transmit/exhibit/publish/present or advertise any obscene material or obscene device; 2nd or subs. offense</t>
  </si>
  <si>
    <t>Promoting Obscenity; Recklessly offer or agree to manufacture, mail, transmit, publish, distribute, present, exhibit or advertise any obscene material or obscene device; 1st offense</t>
  </si>
  <si>
    <t>21-6401(a)(3)</t>
  </si>
  <si>
    <t>Promoting Obscenity; Recklessly offer or agree to manufacture/distribute/mail/transmit/exhibit/publish/present or advertise any obscene material or obscene device; 2nd or subs. offense</t>
  </si>
  <si>
    <t>Promoting Obscenity; Recklessly possess any obscene material or obscene device with intent to issue/mail/transmit/distribute/exhibit/publish/present or advertise such material or device; 2nd or subs. offense</t>
  </si>
  <si>
    <t>21-6401(a)(2)</t>
  </si>
  <si>
    <t>Promoting Obscenity; Recklessly possess any obscene material or obscene device with intent to mail, transmit, publish, distribute, present, exhibit or advertise such material or device; 1st offense</t>
  </si>
  <si>
    <t>Promoting Obscenity; Recklessly produce, present or direct an obscene performance or participate in a portion thereof which is obscene or which contributes to its obscenity; 1st offense</t>
  </si>
  <si>
    <t>21-6401(a)(4)</t>
  </si>
  <si>
    <t>Promoting Obscenity; Recklessly produce, present or direct an obscene performance or participate in a portion thereof which is obscene or which contributes to its obscenity; 2nd or subs. offense</t>
  </si>
  <si>
    <t>Promoting the Sale of Sexual Relations; Being employed to perform any act prohibited by this section offender has no prior convictions under this section</t>
  </si>
  <si>
    <t>21-6420(a)(8)</t>
  </si>
  <si>
    <t>Promoting the Sale of Sexual Relations; Being employed to perform any act prohibited by this section offender has prior conviction under this section</t>
  </si>
  <si>
    <t>Promoting the Sale of Sexual Relations; Knowingly establishing, owning, maintaining or managing property where sexual relations are sold by a person 18 or older; offender has no prior convictions under this section</t>
  </si>
  <si>
    <t>21-6420(a)(1)</t>
  </si>
  <si>
    <t>Promoting the Sale of Sexual Relations; Knowingly establishing, owning, maintaining or managing property where sexual relations are sold by a person 18 or older; offender has prior conviction under this section</t>
  </si>
  <si>
    <t>Promoting the Sale of Sexual Relations; Knowingly inducing a person 18 or older to become a person who sells sexual relations; offender has no prior convictions under this section</t>
  </si>
  <si>
    <t>21-6420(a)(4)</t>
  </si>
  <si>
    <t>Promoting the Sale of Sexual Relations; Knowingly inducing a person 18 or older to become a person who sells sexual relations; offender has prior conviction under this section</t>
  </si>
  <si>
    <t>Promoting the Sale of Sexual Relations; Knowingly permit property to be used as place where sexual relations are offered or sold by a person 18 or older; offender has no prior convictions under this section</t>
  </si>
  <si>
    <t>21-6420(a)(2)</t>
  </si>
  <si>
    <t>Promoting the Sale of Sexual Relations; Knowingly permit property to be used as place where sexual relations are offered or sold by a person 18 or older; offender has prior conviction under this section</t>
  </si>
  <si>
    <t>Promoting the Sale of Sexual Relations; Knowingly procuring a person 18 or older selling sexual relations for a patron offender has no prior convictions under this section</t>
  </si>
  <si>
    <t>21-6420(a)(6)</t>
  </si>
  <si>
    <t>Promoting the Sale of Sexual Relations; Knowingly procuring a person 18 or older selling sexual relations for a patron offender has prior conviction under this section</t>
  </si>
  <si>
    <t>Promoting the Sale of Sexual Relations; Knowingly procuring a person 18 or older selling sexual relations for a place where sexual relations are sold; offender has no prior convictions under this section</t>
  </si>
  <si>
    <t>21-6420(a)(3)</t>
  </si>
  <si>
    <t>Promoting the Sale of Sexual Relations; Knowingly procuring a person 18 or older selling sexual relations for a place where sexual relations are sold; offender has prior conviction under this section</t>
  </si>
  <si>
    <t>Promoting the Sale of Sexual Relations; Knowingly soliciting a patron for a person 18 or older selling sexual relations or a place where sexual relations are sold offender has no prior convictions under this section</t>
  </si>
  <si>
    <t>21-6420(a)(5)</t>
  </si>
  <si>
    <t>Promoting the Sale of Sexual Relations; Knowingly soliciting a patron for a person 18 or older selling sexual relations or a place where sexual relations are sold offender has prior conviction under this section</t>
  </si>
  <si>
    <t>Promoting the Sale of Sexual Relations; Knowingly transporting a person 18 or older within the state for promoting or assisting the selling of sexual relations offender has no prior convictions under this section</t>
  </si>
  <si>
    <t>21-6420(a)(7)</t>
  </si>
  <si>
    <t>Promoting the Sale of Sexual Relations; Knowingly transporting a person 18 or older within the state for promoting or assisting the selling of sexual relations offender has prior conviction under this section</t>
  </si>
  <si>
    <t>Protection Orders; Knowingly violate a protection from abuse order</t>
  </si>
  <si>
    <t>21-5924(a)(1)</t>
  </si>
  <si>
    <t>Protection Orders; Knowingly violate a protection from stalking order</t>
  </si>
  <si>
    <t>21-5924(a)(6)</t>
  </si>
  <si>
    <t>Protection Orders; Knowingly violate a protective order issued by a court or tribunal of any state or Indian tribe</t>
  </si>
  <si>
    <t>21-5924(a)(2)</t>
  </si>
  <si>
    <t>Protection Orders; Knowingly violate a restraining order</t>
  </si>
  <si>
    <t>21-5924(a)(3)</t>
  </si>
  <si>
    <t>Protection Orders; Knowingly violate an extended protective order of abuse or stalking</t>
  </si>
  <si>
    <t>21-5924(b)(2)</t>
  </si>
  <si>
    <t>Protection Orders; Knowingly violate an order issued as a condition of pretrial release, diversion, probation, suspended sentence or postrelease supervision</t>
  </si>
  <si>
    <t>21-5924(a)(4)</t>
  </si>
  <si>
    <t>Protection Orders; Knowingly violate an order issued as a condition of release after conviction or as a condition of a supersedes bond pending disposition of an appeal</t>
  </si>
  <si>
    <t>21-5924(a)(5)</t>
  </si>
  <si>
    <t>Psychologists; Intentionally represent to the public that one is endorsed in a specialty if not so endorsed</t>
  </si>
  <si>
    <t>74-5349(c)</t>
  </si>
  <si>
    <t>Psychologists; Practice masters level psychology or hold oneself out as a licensed clinical psychotherapist without holding such license</t>
  </si>
  <si>
    <t>74-5371(b)</t>
  </si>
  <si>
    <t>Psychologists; Practice masters level psychology or hold oneself out as a licensed masters level psychologist without holding a valid license</t>
  </si>
  <si>
    <t>74-5371(a)</t>
  </si>
  <si>
    <t>Psychologists; Represent oneself to be a psychologist without a valid, existing license as a psychologist issued by the board</t>
  </si>
  <si>
    <t>74-5340</t>
  </si>
  <si>
    <t>Public Employees Retirement Systems; Serving on the board while knowingly obtaining substantial interests in any nonpublicly traded investment with moneys of the fund</t>
  </si>
  <si>
    <t>74-4905(f)</t>
  </si>
  <si>
    <t>Public Health; Amygdalin (Laetrile); distributing amygdalin (laetrile) at wholesale without permit</t>
  </si>
  <si>
    <t>65-6b08(b)</t>
  </si>
  <si>
    <t>Public Health; Amygdalin (Laetrile); manufacturing amygdalin (laetrile) without registration</t>
  </si>
  <si>
    <t>65-6b08(a)</t>
  </si>
  <si>
    <t>Public Health; Amygdalin (Laetrile); sell, offer for sale or distribute amygdalin (laetrile) to the public without a valid prescription of a physician</t>
  </si>
  <si>
    <t>65-6b08(d)</t>
  </si>
  <si>
    <t>Public Health; Amygdalin (Laetrile); sell, offer for sale or distribute amygdalin (laetrile) to the public, except by a physician, without a currently effective permit</t>
  </si>
  <si>
    <t>65-6b08(c)</t>
  </si>
  <si>
    <t>Public Health; Confidential Communications &amp; Information; Willful violation of the patient's confidentiality</t>
  </si>
  <si>
    <t>65-5605</t>
  </si>
  <si>
    <t>Public Health; Unauthorized representation as occupational therapist or occupational therapy assistant</t>
  </si>
  <si>
    <t>65-5414(a)</t>
  </si>
  <si>
    <t>Public Health; Use of Dead Bodies by Medical School; penalty for violation of provisions of act</t>
  </si>
  <si>
    <t>65-905</t>
  </si>
  <si>
    <t>Public Improvements; Penalty for any violation of rules and regulations</t>
  </si>
  <si>
    <t>19-27,151</t>
  </si>
  <si>
    <t>Public Improvements; Willful neglect or failure of director to perform duties imposed</t>
  </si>
  <si>
    <t>19-2779</t>
  </si>
  <si>
    <t>Public Improvements; Wrongfully injure, destroy or impair usefulness of any work or improvement</t>
  </si>
  <si>
    <t>19-2780</t>
  </si>
  <si>
    <t>Public Livestock Markets; Assume or attempt to act as a public livestock market operator without a license</t>
  </si>
  <si>
    <t>47-1010(a)(1)</t>
  </si>
  <si>
    <t>Public Livestock Markets; Fail to account promptly, correctly and fully for any livestock sold or handled and properly to make settlements therefore</t>
  </si>
  <si>
    <t>47-1010(a)(3)</t>
  </si>
  <si>
    <t>Public Livestock Markets; Fail to comply with this act and any and all lawful rules, regulations and orders of the commissioner issued and promulgated hereunder</t>
  </si>
  <si>
    <t>47-1010(a)(6)</t>
  </si>
  <si>
    <t>Public Livestock Markets; Impose false charges for handling or services in connection with livestock handled, sold or offered for sale at a public livestock market</t>
  </si>
  <si>
    <t>47-1010(a)(2)</t>
  </si>
  <si>
    <t>Public Livestock Markets; Make any false or misleading statements as to the health or physical condition of the livestock or quantity of livestock shipped or sold</t>
  </si>
  <si>
    <t>47-1010(a)(5)</t>
  </si>
  <si>
    <t>Public Livestock Markets; Make false or misleading statements as to market conditions at any public livestock market by its owner or employees</t>
  </si>
  <si>
    <t>47-1010(a)(4)</t>
  </si>
  <si>
    <t>Public Nuisance; Maintaining a Public Nuisance; Knowingly causing or permitting condition to exist which injures or endangers the public health, safety or welfare</t>
  </si>
  <si>
    <t>21-6204(a)</t>
  </si>
  <si>
    <t>Public Nuisance; Maintaining; Permitting</t>
  </si>
  <si>
    <t>21-6204</t>
  </si>
  <si>
    <t>Public Nuisance; Permitting a Public Nuisance; Knowingly permitting property under offender's control to be used to maintain a public nuisance</t>
  </si>
  <si>
    <t>21-6204(b)</t>
  </si>
  <si>
    <t>Public Officers &amp; Employees; Appointments; Unauthorized intentional disclosure of personal information of appointees</t>
  </si>
  <si>
    <t>75-4315d(g)</t>
  </si>
  <si>
    <t>Public Officers &amp; Employees; Architectural Services; knowingly permit the use of, using or occupying a mobile home in violation of the provisions of this act</t>
  </si>
  <si>
    <t>75-1232</t>
  </si>
  <si>
    <t>Public Officers &amp; Employees; Architectural Services; penalty for violation of act</t>
  </si>
  <si>
    <t>75-1223(a)</t>
  </si>
  <si>
    <t>Public Officers &amp; Employees; Civil Service; penalty for violation of act</t>
  </si>
  <si>
    <t>75-2957</t>
  </si>
  <si>
    <t>Public Officers &amp; Employees; Civil Service; State employee using authority or official influence to compel another state employee to apply for or become member of organization, pay or promise to pay assessment or contribution or take part in political activity</t>
  </si>
  <si>
    <t>75-2953(a)</t>
  </si>
  <si>
    <t>Public Officers &amp; Employees; Department for Children and Families; Unauthorized discloseure of records from KBI and FBI</t>
  </si>
  <si>
    <t>75-53,105(f)</t>
  </si>
  <si>
    <t>Public Officers &amp; Employees; Department of Corrections; unlawful use of inmate labor</t>
  </si>
  <si>
    <t>75-5226(a)</t>
  </si>
  <si>
    <t>Public Officers &amp; Employees; Department of Revenue; unlawful for debt collection agency to utilize or divulge certain information</t>
  </si>
  <si>
    <t>75-5145</t>
  </si>
  <si>
    <t>Public Officers &amp; Employees; Department of Revenue; unlawful to divulge licensure, registration and tax information</t>
  </si>
  <si>
    <t>75-5133(a)</t>
  </si>
  <si>
    <t>Public Officers &amp; Employees; Liability of Treasurer and Director of Accounts and Reports</t>
  </si>
  <si>
    <t>75-4228</t>
  </si>
  <si>
    <t>Public Officers &amp; Employees; Municipal Accounting Board; penalties for violation of act</t>
  </si>
  <si>
    <t>75-1130</t>
  </si>
  <si>
    <t>Public Officers &amp; Employees; Municipal Accounting Board; unlawfully acting as licensed public accountant</t>
  </si>
  <si>
    <t>75-1128</t>
  </si>
  <si>
    <t>Public Officers &amp; Employees; State Capitol; unauthorized removal of property from hall of house of representatives</t>
  </si>
  <si>
    <t>75-2207</t>
  </si>
  <si>
    <t>Public Officers &amp; Employees; State Historical Society; failure to comply with notification requirements herein pertaining to a violation of K.S.A. 75-2748</t>
  </si>
  <si>
    <t>75-2749(a)</t>
  </si>
  <si>
    <t>Public Officers &amp; Employees; State Historical Society; failure to comply with notification requirements herein pertaining to discovery of human skeletal remains</t>
  </si>
  <si>
    <t>75-2749(b)</t>
  </si>
  <si>
    <t>Public Officers &amp; Employees; State Historical Society; Human skeletal remains violations</t>
  </si>
  <si>
    <t>75-2748</t>
  </si>
  <si>
    <t>Public Officers &amp; Employees; State Long-Term Care Ombudsman; discriminatory, disciplinary or retaliatory action against individuals for communications with ombudsman prohibited</t>
  </si>
  <si>
    <t>75-7313(b)</t>
  </si>
  <si>
    <t>Public Officers &amp; Employees; State Long-Term Care Ombudsman; interference with lawful action or activity of ombudsman</t>
  </si>
  <si>
    <t>75-7313(a)</t>
  </si>
  <si>
    <t>Public Officers &amp; Employees; State moneys; criminal liability of board members</t>
  </si>
  <si>
    <t>75-4229</t>
  </si>
  <si>
    <t>Public Officers &amp; Employees; Unauthorized disbursement of funds</t>
  </si>
  <si>
    <t>75-4313</t>
  </si>
  <si>
    <t>Public Officers &amp; Employees; Unlawful discharge of public employee declaring or subjected to bankruptcy, wage earners' plan or similar proceeding</t>
  </si>
  <si>
    <t>75-4316(b)</t>
  </si>
  <si>
    <t>Public Officers &amp; Employees; Unlawful receipt of funds by a public official</t>
  </si>
  <si>
    <t>75-4314</t>
  </si>
  <si>
    <t>Public Officers &amp; Employees; Violation of K.S.A. 75-4304 or 75-4305, and amendments thereto, or failure to make any disclosure of substantial interests required by K.S.A. 75-4302a</t>
  </si>
  <si>
    <t>75-4306(a)</t>
  </si>
  <si>
    <t>Public Officers &amp; Employees; Violation of K.S.A. 75-4505, 75-4506 or 75-4507 or rules and regulations thereunder</t>
  </si>
  <si>
    <t>75-4508(a)</t>
  </si>
  <si>
    <t>Public Records Preservation; Unauthorized disclosure of confidential information prohibited</t>
  </si>
  <si>
    <t>45-407(d)</t>
  </si>
  <si>
    <t>Public Utilities; Demurrage rates prohibited</t>
  </si>
  <si>
    <t>66-1203</t>
  </si>
  <si>
    <t>Public Utilities; Powers of State Corporation Commission; falsifying or destroying accounts/records</t>
  </si>
  <si>
    <t>66-137</t>
  </si>
  <si>
    <t>Pyramid Promotional Scheme; Knowingly establish, operate, advertise or promote scheme</t>
  </si>
  <si>
    <t>21-5838(a)</t>
  </si>
  <si>
    <t>Radiologic Technologists Practice Act; Depicting oneself as holder of a license without such license</t>
  </si>
  <si>
    <t>65-7303(c)</t>
  </si>
  <si>
    <t>Radiologic Technologists Practice Act; Perform radiologic technology procedures on humans for diagnostic or therapeutic purposes without a valid license</t>
  </si>
  <si>
    <t>65-7303(a)</t>
  </si>
  <si>
    <t>Radiologic Technologists Practice Act; Unauthorized use of radioactive substances/equipment</t>
  </si>
  <si>
    <t>65-7303(b)</t>
  </si>
  <si>
    <t>Radon Certification Law; Willful violation</t>
  </si>
  <si>
    <t>48-16a11(a)</t>
  </si>
  <si>
    <t>Railroad Companies; Any railroad company or corporation operating a line of railroad in Kansas failing or neglecting to comply with K.S.A. 66-273</t>
  </si>
  <si>
    <t>66-274</t>
  </si>
  <si>
    <t>Railroad Companies; Fail to restore crossing with time allowed</t>
  </si>
  <si>
    <t>66-228</t>
  </si>
  <si>
    <t>Railroad Companies; Requirements for permitting trains, engines or cars to stand on public highway</t>
  </si>
  <si>
    <t>66-273</t>
  </si>
  <si>
    <t>Rape; Commit, attempt, conspire or solicit to commit; Sexual intercourse with child under 14; offender 18 or older</t>
  </si>
  <si>
    <t>21-5503(a)(3)</t>
  </si>
  <si>
    <t>Rape; Knowingly engage in nonconsensual sexual intercourse; victim incapable of consent due to mental deficiency or disease, or apparently under the effects of alcoholic liquor, narcotic, drug or other substance</t>
  </si>
  <si>
    <t>21-5503(a)(2)</t>
  </si>
  <si>
    <t>Rape; Knowingly engage in nonconsensual sexual intercourse; victim overcome by force or fear</t>
  </si>
  <si>
    <t>21-5503(a)(1)(A)</t>
  </si>
  <si>
    <t>Rape; Knowingly engage in nonconsensual sexual intercourse; victim unconscious or physically powerless</t>
  </si>
  <si>
    <t>21-5503(a)(1)(B)</t>
  </si>
  <si>
    <t>Rape; Sexual intercourse with a child under 14; offender less than 18</t>
  </si>
  <si>
    <t>Rape; Sexual intercourse; Consent obtained through knowing misrepresentation that sexual intercourse is legally required within scope of authority</t>
  </si>
  <si>
    <t>21-5503(a)(5)</t>
  </si>
  <si>
    <t>Rape; Sexual intercourse; Consent obtained through knowing misrepresentation that sexual intercourse is medically or therapeutically necessary</t>
  </si>
  <si>
    <t>21-5503(a)(4)</t>
  </si>
  <si>
    <t>Real Estate Appraisers; Advertise of otherwise represent that such person is a state certified or license appraiser</t>
  </si>
  <si>
    <t>58-4103(a)(3)</t>
  </si>
  <si>
    <t>Real Estate Appraisers; Assume or use the title of state certified or licensed appraiser without certification or licensure</t>
  </si>
  <si>
    <t>58-4103(a)(2)</t>
  </si>
  <si>
    <t>Real Estate Appraisers; Engage in any written appraisal in connection with a federally related transaction without certification or licensure</t>
  </si>
  <si>
    <t>58-4103(a)(1)</t>
  </si>
  <si>
    <t>Real Estate Brokers' &amp; Salespersons' License Act; File statement required under K.S.A. 58-3066 to 58-3071 which is false or untrue or contains any material misstatement of fact</t>
  </si>
  <si>
    <t>58-3073</t>
  </si>
  <si>
    <t>Real Estate Brokers' &amp; Salespersons' License Act; Penalty for violation of act</t>
  </si>
  <si>
    <t>58-3065(a)</t>
  </si>
  <si>
    <t>Refusal to Yield a Telephone Party Line in Emergency</t>
  </si>
  <si>
    <t>21-6323(a)</t>
  </si>
  <si>
    <t>Regulation of Labor &amp; Industry; Induce violation of act or orders</t>
  </si>
  <si>
    <t>44-619</t>
  </si>
  <si>
    <t>Regulation of Pharmacists; Knowingly fail to submit prescription monitoring information as a dispenser to the board as required or submit incorrect prescription monitoring information</t>
  </si>
  <si>
    <t>65-1693(a)</t>
  </si>
  <si>
    <t>Regulation of Pharmacists; Person authorized to have prescription monitoring information pursuant to the act who knowingly discloses such information in violation of the state Pharmacy Act</t>
  </si>
  <si>
    <t>65-1693(b)</t>
  </si>
  <si>
    <t>Regulation of Pharmacists; Person authorized to have prescription monitoring information pursuant to the act who knowingly uses such information in a manner or for a purpose in violation of the state Pharmacy Act</t>
  </si>
  <si>
    <t>65-1693(c)</t>
  </si>
  <si>
    <t>Regulation of Pharmacists; Person unauthorized to have prescription monitoring information pursuant to the state Pharmacy Act who knowingly obtains or attempts to obtain the same</t>
  </si>
  <si>
    <t>65-1693(d)</t>
  </si>
  <si>
    <t>Regulations of Equipment/Crude Oil/Products; Failure of person possessing crude oil to produce the required documentation</t>
  </si>
  <si>
    <t>55-1504(a)</t>
  </si>
  <si>
    <t>Regulations of Equipment/Crude Oil/Products; Failure of records to contain required information</t>
  </si>
  <si>
    <t>55-1502(a)</t>
  </si>
  <si>
    <t>Regulations of Equipment/Crude Oil/Products; Failure to permit inspection of equipment or materials being transported</t>
  </si>
  <si>
    <t>55-1503(a)</t>
  </si>
  <si>
    <t>Regulations of Equipment/Crude Oil/Products; Failure to retain records as required</t>
  </si>
  <si>
    <t>55-1502(b)</t>
  </si>
  <si>
    <t>Regulations of Equipment/Crude Oil/Products; Tamper with field equipment identification</t>
  </si>
  <si>
    <t>55-1505</t>
  </si>
  <si>
    <t>Reporting Abuse, Neglect or Exploitation of Certain Persons; Failure to report abuse, neglect or exploitation of residents</t>
  </si>
  <si>
    <t>39-1402(a)</t>
  </si>
  <si>
    <t>Reporting Abuse, Neglect or Exploitation of Certain Persons; Failure to report abuse, neglect or exploitation or need of protective services</t>
  </si>
  <si>
    <t>39-1431(a)</t>
  </si>
  <si>
    <t>Residential Childhood Lead Poisoning Prevention Act; 1st violation of act</t>
  </si>
  <si>
    <t>65-1,209(a)</t>
  </si>
  <si>
    <t>Residential Childhood Lead Poisoning Prevention Act; 2nd or subs. violation of act</t>
  </si>
  <si>
    <t>65-1,209(b)</t>
  </si>
  <si>
    <t>Respiratory Therapy Practice Act; Unauthorized representation as respiratory therapist</t>
  </si>
  <si>
    <t>65-5514(a)</t>
  </si>
  <si>
    <t>Retailers' Sales Tax; 501(c)(3) Charitable Organization; contractor use of or disposal of materials purchased under tax exempt certificate for purpose not authorized by certificate without payment of tax</t>
  </si>
  <si>
    <t>79-3606(iii)</t>
  </si>
  <si>
    <t>Retailers' Sales Tax; Booth Theatre Foundation; contractor use of or disposal of materials purchased under tax exempt certificate for purpose not authorized by certificate without payment of tax</t>
  </si>
  <si>
    <t>79-3606(xxx)</t>
  </si>
  <si>
    <t>Retailers' Sales Tax; Catholic charities or Youthville; contractor use of or disposal of materials purchased under tax exempt certificate for purpose not authorized by certificate without payment of tax</t>
  </si>
  <si>
    <t>79-3606(sss)</t>
  </si>
  <si>
    <t>Retailers' Sales Tax; Federal Projects; contractor use of or disposal of materials purchased under tax exempt certificate for purpose not authorized by certificate without payment of tax</t>
  </si>
  <si>
    <t>79-3606(e)</t>
  </si>
  <si>
    <t>Retailers' Sales Tax; Kansas Children's Service League; contractor use of or disposal of materials purchased under tax exempt certificate for purpose not authorized by certificate without payment of tax</t>
  </si>
  <si>
    <t>79-3606(uuu)</t>
  </si>
  <si>
    <t>Retailers' Sales Tax; Kiowa County Disaster; contractor use of or disposal of materials purchased under tax exempt certificate for purpose not authorized by certificate without payment of tax</t>
  </si>
  <si>
    <t>79-3606e</t>
  </si>
  <si>
    <t>Retailers' Sales Tax; Manufacturing, non-manufacturing, or retail business exemption for construction, remodeling or expansion pursuant to requirements of K.S.A. 74-50,115; contractor use of or disposal of materials purchased under tax exempt certificate for purpose not authorized by certificate without payment of tax</t>
  </si>
  <si>
    <t>79-3606(cc)</t>
  </si>
  <si>
    <t>Retailers' Sales Tax; NAICS subsectors; contractor use or disposal of materials purchased under tax exempt certification for purpose not authorized without payment of tax</t>
  </si>
  <si>
    <t>79-3606(hhhh)</t>
  </si>
  <si>
    <t>Retailers' Sales Tax; Nonprofit Museum; contractor use of or disposal of materials purchased under tax exempt certificate for purpose not authorized by certificate without payment of tax</t>
  </si>
  <si>
    <t>79-3606(ttt)</t>
  </si>
  <si>
    <t>Retailers' Sales Tax; Nonprofit Primary Care Clinic or Health Center; contractor use of or disposal of materials purchased under tax exempt certificate for purpose not authorized by certificate without payment of tax</t>
  </si>
  <si>
    <t>79-3606(ccc)</t>
  </si>
  <si>
    <t>Retailers' Sales Tax; Nonprofit Religious Organization; contractor use of or disposal of materials purchased under tax exempt certificate for purpose not authorized by certificate without payment of tax</t>
  </si>
  <si>
    <t>79-3606(aaa)</t>
  </si>
  <si>
    <t>Retailers' Sales Tax; Nonprofit Zoo; contractor use of or disposal of materials purchased under tax exempt certificate for purpose not authorized by certificate without payment of tax</t>
  </si>
  <si>
    <t>79-3606(xx)</t>
  </si>
  <si>
    <t>Retailers' Sales Tax; Public Buildings; contractor use of or disposal of materials purchased under tax exempt certificate for purpose not authorized by certificate without payment of tax</t>
  </si>
  <si>
    <t>79-3606(d)</t>
  </si>
  <si>
    <t>Retailers' Sales Tax; Sheltered Living, Inc.; contractor use of or disposal of materials purchased under tax exempt certificate for purpose not authorized by certificate without payment of tax</t>
  </si>
  <si>
    <t>79-3606(ffff)</t>
  </si>
  <si>
    <t>Retailers' Sales Tax; TLC Charities Foundation Inc.; contractor use of or disposal of materials purchased under tax exempt certificate for purpose not authorized by certificate without payment of tax</t>
  </si>
  <si>
    <t>79-3606(yyy)</t>
  </si>
  <si>
    <t>Retailers' Sales Tax; TLC for Children and Families Inc.; contractor use of or disposal of materials purchased under tax exempt certificate for purpose not authorized by certificate without payment of tax</t>
  </si>
  <si>
    <t>79-3606(qqq)</t>
  </si>
  <si>
    <t>Retailers' Sales Tax; Wichita Children's Home; contractor use or disposal of materials purchased under tax exempt certification for purpose not authorized without payment of tax</t>
  </si>
  <si>
    <t>79-3606(iiii)</t>
  </si>
  <si>
    <t>Retailers' Sales Tax; Willfully and intentionally refuse to pay tax to retailer for purchase of tangible personal property or services</t>
  </si>
  <si>
    <t>79-3651(g)</t>
  </si>
  <si>
    <t>Revised Uniform Consumer Credit Code; Intentional violation of the act; 2nd or subs.</t>
  </si>
  <si>
    <t>16a-5-301(1)</t>
  </si>
  <si>
    <t>Revised Uniform Consumer Credit Code; Intentional Violations; engage in consumer credit transactions and undertake collection of payments or enforcement of rights without complying with provisions pertaining to notification or payment of fees</t>
  </si>
  <si>
    <t>16a-5-301(3)</t>
  </si>
  <si>
    <t>Revised Uniform Consumer Credit Code; Remedies and Penalties; intentional violation of the act; 2nd or subs.</t>
  </si>
  <si>
    <t>RICO Act; Acquire or maintain an interest or control of any enterprise or real property through a pattern of racketeering activity or collection of unlawful debt</t>
  </si>
  <si>
    <t>21-6329(a)(2)</t>
  </si>
  <si>
    <t>RICO Act; Conduct or participate in any enterprise through a pattern of racketeering activity or collection of unlawful debt</t>
  </si>
  <si>
    <t>21-6329(a)(3)</t>
  </si>
  <si>
    <t>RICO Act; Receive, with criminal intent, proceeds of a racketeering activity or collection of unlawful debt, in order to use or invest such proceeds in the acquisition of real property or operation of any enterprise</t>
  </si>
  <si>
    <t>21-6329(a)(1)</t>
  </si>
  <si>
    <t>Riot; Five or more persons acting together and without lawful authority engaging in any; Threat to use force or violence against any person or property if accompanied by power or apparent power of immediate execution</t>
  </si>
  <si>
    <t>21-6201(a)(2)</t>
  </si>
  <si>
    <t>Riot; Five or more persons acting together and without lawful authority engaging in any; Use of force of violence which produces a breach of peace</t>
  </si>
  <si>
    <t>21-6201(a)(1)</t>
  </si>
  <si>
    <t>Roads &amp; Bridges; County &amp; Township Roads; make a false return of the number of miles dragged, time spent on other work, or amount of work done for compensation; officer who neglects or refuses to enforce the provisions of this section as related to the dragging of roads or highways</t>
  </si>
  <si>
    <t>68-534</t>
  </si>
  <si>
    <t>Roads &amp; Bridges; County &amp; Township Roads; neglect or refusal of any officer charged with the administration of this act to enforce or comply with the provisions herein</t>
  </si>
  <si>
    <t>68-557</t>
  </si>
  <si>
    <t>Roads &amp; Bridges; County &amp; Township Roads; officer's violation of act or failure to perform duty as required</t>
  </si>
  <si>
    <t>68-548</t>
  </si>
  <si>
    <t>Roads &amp; Bridges; County &amp; Township Roads; penalty for violation of act</t>
  </si>
  <si>
    <t>68-549</t>
  </si>
  <si>
    <t>Roads &amp; Bridges; County &amp; Township Roads; unlawful obstructions, excavations, removal of materials, dumping trash or other materials or plowing of roads</t>
  </si>
  <si>
    <t>68-545</t>
  </si>
  <si>
    <t>Roads &amp; Bridges; Destroy or remove barricades, warning signs, or drive on closed hard-surfaced highway</t>
  </si>
  <si>
    <t>68-2106</t>
  </si>
  <si>
    <t>Roads &amp; Bridges; Fail, neglect or refuse to comply with the provisions of this act</t>
  </si>
  <si>
    <t>68-2107</t>
  </si>
  <si>
    <t>Roads &amp; Bridges; Injure or destroy, or leave open any gate constructed under the provisions of K.S.A. 68-126, at a time when such gate or gates are to remain closed</t>
  </si>
  <si>
    <t>68-127</t>
  </si>
  <si>
    <t>Roads &amp; Bridges; Install, construct, erect, maintain or operate within fifty (50) feet of the right of way of any federal, state or federal and state highway or any turnpike project a flashing or revolving sign, light or reflector which is red or amber in color when lighted or when light rays are focused on it</t>
  </si>
  <si>
    <t>68-167</t>
  </si>
  <si>
    <t>Roads &amp; Bridges; Junkyard &amp; Salvage Control Act; unlawful junkyard maintenance</t>
  </si>
  <si>
    <t>68-2215</t>
  </si>
  <si>
    <t>Roads &amp; Bridges; Move engines or heavy vehicles on bridge or culvert and fail to lay planks required</t>
  </si>
  <si>
    <t>68-1129</t>
  </si>
  <si>
    <t>Roads &amp; Bridges; Penalty for premature opening of bids</t>
  </si>
  <si>
    <t>68-1115</t>
  </si>
  <si>
    <t>Roads &amp; Bridges; Remove, ride or drive upon any portion of sidewalk</t>
  </si>
  <si>
    <t>68-134</t>
  </si>
  <si>
    <t>Roads &amp; Bridges; State Highways; fail or neglect to comply with the provisions of this subsection</t>
  </si>
  <si>
    <t>68-406(f)</t>
  </si>
  <si>
    <t>Roads &amp; Bridges; State Highways; penalty for violation of act</t>
  </si>
  <si>
    <t>68-433</t>
  </si>
  <si>
    <t>Robbery; Knowingly take property from person or presence of another by force or by threat of bodily harm</t>
  </si>
  <si>
    <t>21-5420(a)</t>
  </si>
  <si>
    <t>Sabbath; Penalty for procuring adjournment for trial on Saturday</t>
  </si>
  <si>
    <t>69-103</t>
  </si>
  <si>
    <t>Sabbath; Penalty for serving process made returnable on that day</t>
  </si>
  <si>
    <t>69-102</t>
  </si>
  <si>
    <t>Safety Materials; Knowingly install, cause installation or consent to installation of glazing materials other than safety glazing materials in any hazardous location</t>
  </si>
  <si>
    <t>65-3803</t>
  </si>
  <si>
    <t>Safety Materials; Safety glazing material labeling required</t>
  </si>
  <si>
    <t>65-3802(a)</t>
  </si>
  <si>
    <t>Sale of Recut or Regrooved Tires</t>
  </si>
  <si>
    <t>21-5834(a)</t>
  </si>
  <si>
    <t>Sand &amp; Gravel; Taking materials from rivers and islands belonging to state</t>
  </si>
  <si>
    <t>70a-101</t>
  </si>
  <si>
    <t>Sanitation Controls; Penalty for any violation of code</t>
  </si>
  <si>
    <t>19-3707(a)</t>
  </si>
  <si>
    <t>Sanitation Controls; Violation of licensing resolutions pertaining to septic tank cleaning and hauling of sewage</t>
  </si>
  <si>
    <t>19-3709</t>
  </si>
  <si>
    <t>Savings &amp; Loans Code; Capital; declaration of dividends</t>
  </si>
  <si>
    <t>17-5412</t>
  </si>
  <si>
    <t>Savings &amp; Loans Code; Misc.; accept payment when capital impaired</t>
  </si>
  <si>
    <t>17-5811</t>
  </si>
  <si>
    <t>Savings &amp; Loans Code; Misc.; Fraudulent Acts</t>
  </si>
  <si>
    <t>17-5812</t>
  </si>
  <si>
    <t>School Safety &amp; Security Act; Willful and knowing failure to make a report; prevent or interfere with the making of a report as required by subsection (b)(1) of K.S.A. 72-89b03</t>
  </si>
  <si>
    <t>72-89b04(a)</t>
  </si>
  <si>
    <t>School Safety &amp; Security Act; Willful and knowing failure to transmit reports made by school employees to the appropriate state or local law enforcement agency; prevent or interfere with the transmission of reports as required by subsection (b)(1) of K.S.A. 72-89b03</t>
  </si>
  <si>
    <t>72-89b04(b)</t>
  </si>
  <si>
    <t>Schools; Driver Training; use a driver training motor vehicle for purposes other than instruction</t>
  </si>
  <si>
    <t>72-5019</t>
  </si>
  <si>
    <t>Schools; Transportation of Students; operate motor vehicle used to transport students in violation of act</t>
  </si>
  <si>
    <t>72-8314</t>
  </si>
  <si>
    <t>Scrap Metal Dealers; Intentional purchase without receipt of required information; records maintained</t>
  </si>
  <si>
    <t>50-6,111</t>
  </si>
  <si>
    <t>Scrap Metal Dealers; Intentional purchase without receipt of required information; records maintained; 2nd violation within 2-yr period</t>
  </si>
  <si>
    <t>Scrap Metal Dealers; Intentional purchase without receipt of required information; records maintained; 3rd or subs. violation within 2-yr period</t>
  </si>
  <si>
    <t>Scrap Metal Dealers; Intentional sale without receipt of required information</t>
  </si>
  <si>
    <t>50-6,110</t>
  </si>
  <si>
    <t>Scrap Metal Dealers; Intentional sale without receipt of required information; 2nd violation within 2-yr period</t>
  </si>
  <si>
    <t>Scrap Metal Dealers; Intentional sale without receipt of required information; 3rd or subs. violation within 2-yr period</t>
  </si>
  <si>
    <t>Sec. of Health &amp; Environment, Activities; Breach in confidentiality of Statewide program for sickle cell anemia testing</t>
  </si>
  <si>
    <t>65-1,106</t>
  </si>
  <si>
    <t>Sec. of Health &amp; Environment, Activities; Discharge of substances containing mercury into waters of state</t>
  </si>
  <si>
    <t>65-171j(b)</t>
  </si>
  <si>
    <t>Sec. of Health &amp; Environment, Activities; Duty of physician and others</t>
  </si>
  <si>
    <t>65-153c</t>
  </si>
  <si>
    <t>Sec. of Health &amp; Environment, Activities; Failure of person testing human breath for law enforcement purposes to comply with procedures and use appropriate equipment</t>
  </si>
  <si>
    <t>65-1,109(a)</t>
  </si>
  <si>
    <t>Sec. of Health &amp; Environment, Activities; Failure to comply with requirements of secretary</t>
  </si>
  <si>
    <t>65-169</t>
  </si>
  <si>
    <t>Sec. of Health &amp; Environment, Activities; Inspections; violation of any rules or regulations made to safeguard the public health and to prevent the spread of contagious or infectious diseases</t>
  </si>
  <si>
    <t>65-173</t>
  </si>
  <si>
    <t>Sec. of Health &amp; Environment, Activities; Newly born infant; treatment of eyes</t>
  </si>
  <si>
    <t>65-153b</t>
  </si>
  <si>
    <t>Sec. of Health &amp; Environment, Activities; Penalty for unauthorized disclosure of data in violation of the provisions of this act</t>
  </si>
  <si>
    <t>65-179</t>
  </si>
  <si>
    <t>Sec. of Health &amp; Environment, Activities; Penalty for violating 65-153b to 65-153e</t>
  </si>
  <si>
    <t>65-153e</t>
  </si>
  <si>
    <t>Sec. of Health &amp; Environment, Activities; Penalty for violations of act or regulations</t>
  </si>
  <si>
    <t>65-116g</t>
  </si>
  <si>
    <t>Sec. of Health &amp; Environment, Activities; Penalty for willful violation of this act</t>
  </si>
  <si>
    <t>65-153h</t>
  </si>
  <si>
    <t>Sec. of Health &amp; Environment, Activities; Perform certain tests outside an approved laboratory</t>
  </si>
  <si>
    <t>65-1,108(a)</t>
  </si>
  <si>
    <t>Sec. of Health &amp; Environment, Activities; Unauthorized disclosure of confidential information obtained pursuant to K.S.A. 65-1,115</t>
  </si>
  <si>
    <t>65-1,117</t>
  </si>
  <si>
    <t>Sec. of Health &amp; Environment, Activities; Unauthorized disclosure of confidential information obtained through certain tests conducted by approved laboratories</t>
  </si>
  <si>
    <t>65-1,108a(a)</t>
  </si>
  <si>
    <t>Sec. of Health &amp; Environment, Activities; Unlawful discharge from employment</t>
  </si>
  <si>
    <t>65-129d</t>
  </si>
  <si>
    <t>Sec. of Health &amp; Environment, Activities; Violate, refuse or neglect to obey rules and regulations pertaining to the prevention, suppression and control of infectious or contagious diseases; leave any isolation area of a hospital or other quarantined area without consent; evade/break quarantine; knowingly conceal a case of infectious or contagious disease</t>
  </si>
  <si>
    <t>65-129</t>
  </si>
  <si>
    <t>Second Amendment Protection Act; U.S. Government agent enforce or attempt to enforce any U.S. laws regarding firearms, accessories or ammunition manufactured and owned in Kansas</t>
  </si>
  <si>
    <t>50-1207</t>
  </si>
  <si>
    <t>Sedition; Advocating the overthrow or reformation of the existing form of government of this state by violence or unlawful means</t>
  </si>
  <si>
    <t>21-5902(a)</t>
  </si>
  <si>
    <t>Sell Beverage Containers with Detachable Tabs; Knowingly sell or offer for sale such containers; Pertaining to sealed cans containing beer, cereal malt beverages, mineral waters, soda water and similar soft drinks</t>
  </si>
  <si>
    <t>21-6320(a)</t>
  </si>
  <si>
    <t>Selling Sexual Relations; Manual or other bodily stimulation of the genitals for hire</t>
  </si>
  <si>
    <t>21-6419(a)(3)</t>
  </si>
  <si>
    <t>Selling Sexual Relations; Sexual intercourse for hire</t>
  </si>
  <si>
    <t>21-6419(a)(1)</t>
  </si>
  <si>
    <t>Selling Sexual Relations; Sodomy for hire</t>
  </si>
  <si>
    <t>21-6419(a)(2)</t>
  </si>
  <si>
    <t>Sewer Districts; Penalty for violation of any rule, regulation, standard, limitation or requirement adopted by the Board of county Commissioners</t>
  </si>
  <si>
    <t>19-27a02(n)(1)</t>
  </si>
  <si>
    <t>Sexual Battery; Touching victim who is not a spouse of offender, who is 16 or more, without consent and with intent to arouse or satisfy desires</t>
  </si>
  <si>
    <t>21-5505(a)</t>
  </si>
  <si>
    <t>Sexual Exploitation of Child; Commit, attempt, conspire or solicit to commit; Employ child less than 14 to engage in sexually explicit conduct; offender 18 or older</t>
  </si>
  <si>
    <t>21-5510(a)(1)</t>
  </si>
  <si>
    <t>Sexual Exploitation of Child; Commit, attempt, conspire or solicit to commit; promote performance of child less than 14; offender 18 or older</t>
  </si>
  <si>
    <t>21-5510(a)(4)</t>
  </si>
  <si>
    <t>Sexual Exploitation of Child; Employ child less than 18, or child offender believes to be less than 18, to engage in sexually explicit conduct</t>
  </si>
  <si>
    <t>Sexual Exploitation of Child; Parent, guardian or one with custody, knowingly permit child less than 18 to engage in sexually explicit conduct</t>
  </si>
  <si>
    <t>21-5510(a)(3)</t>
  </si>
  <si>
    <t>Sexual Exploitation of Child; Possess visual medium of child less than 18 engaging in sexually explicit conduct</t>
  </si>
  <si>
    <t>21-5510(a)(2)</t>
  </si>
  <si>
    <t>Sexual Exploitation of Child; Promote performance of child less than 18, or child offender believes to be less than 18</t>
  </si>
  <si>
    <t>Sexually-Oriented Signs - violation of provisions</t>
  </si>
  <si>
    <t>68-2255(b)</t>
  </si>
  <si>
    <t>Simulating the Legal Process; Distributing any document which simulates, purports to be, or is designed to cause others to believe it to be, a summons, petition, complaint, or other legal process, with the intent to mislead the recipient and cause the recipient to take action in reliance thereon</t>
  </si>
  <si>
    <t>21-5907(a)(1)</t>
  </si>
  <si>
    <t>Simulating the Legal Process; Print or distribute any such document in K.S.A. 2011 Supp. 21-5907(a)(1), knowing that it shall be so used</t>
  </si>
  <si>
    <t>21-5907(a)(2)</t>
  </si>
  <si>
    <t>Smoke Detector Act; Failure to place or maintain a smoke detector as provided in Act</t>
  </si>
  <si>
    <t>31-163</t>
  </si>
  <si>
    <t>Social Workers; Engage in the practice of social work for compensation or hold forth as performing the services of a social worker without such license; Participate in the delivery of social work service without supervision of a person licensed under this act</t>
  </si>
  <si>
    <t>65-6303(a)</t>
  </si>
  <si>
    <t>Social Workers; Knowingly make a false statement in connection with an application under this act</t>
  </si>
  <si>
    <t>65-6310(b)</t>
  </si>
  <si>
    <t>Social Workers; Knowingly making a false statement on any form promulgated by the board</t>
  </si>
  <si>
    <t>65-6310(c)</t>
  </si>
  <si>
    <t>Social Workers; Obtain or attempt to obtain a license or certificate or renewal thereof by bribery or fraudulent representation</t>
  </si>
  <si>
    <t>65-6310(a)</t>
  </si>
  <si>
    <t>Social Workers; Use of title by person not licensed under this act</t>
  </si>
  <si>
    <t>65-6307(a)</t>
  </si>
  <si>
    <t>Social Workers; Violation of limitations on private practice of social work</t>
  </si>
  <si>
    <t>65-6308(a)</t>
  </si>
  <si>
    <t>Soil Amendment Act; Distribute a soil amendment that is adulterated</t>
  </si>
  <si>
    <t>2-2808(d)</t>
  </si>
  <si>
    <t>Soil Amendment Act; Distribute a soil amendment that is misbranded</t>
  </si>
  <si>
    <t>2-2808(c)</t>
  </si>
  <si>
    <t>Soil Amendment Act; Distribute a soil amendment that is not labeled</t>
  </si>
  <si>
    <t>2-2808(b)</t>
  </si>
  <si>
    <t>Soil Amendment Act; Distribute a soil amendment that is not registered with the secretary</t>
  </si>
  <si>
    <t>2-2808(a)</t>
  </si>
  <si>
    <t>Soil Amendment Act; Fail to comply with a stop sale, use or removal order</t>
  </si>
  <si>
    <t>2-2808(e)</t>
  </si>
  <si>
    <t>Soldiers, Sailors &amp; Patriotic Emblems; Officers; knowing and willful failure to obey provisions of this act</t>
  </si>
  <si>
    <t>73-202</t>
  </si>
  <si>
    <t>Soldiers, Sailors &amp; Patriotic Emblems; Veterans' Preference; knowing and willful violation of act</t>
  </si>
  <si>
    <t>73-204</t>
  </si>
  <si>
    <t>Soldiers, Sailors &amp; Patriotic Emblems; Violation of K.S.A. 73-705 through 73-710</t>
  </si>
  <si>
    <t>73-710</t>
  </si>
  <si>
    <t>Solid &amp; Hazardous Wastes; Add, mix or blend any hazardous waste with fuel oil or any other fuel intended for use by residential consumers or sell such blended fuel to a residential consumer</t>
  </si>
  <si>
    <t>65-3441(a)(10)</t>
  </si>
  <si>
    <t>Solid &amp; Hazardous Wastes; Conduct any solid waste burning operations in violation of the provisions of the Kansas air quality act</t>
  </si>
  <si>
    <t>65-3409(a)(4)</t>
  </si>
  <si>
    <t>Solid &amp; Hazardous Wastes; Construct, modify or operate a hazardous waste facility without a permit or other required written approval</t>
  </si>
  <si>
    <t>65-3441(a)(2)</t>
  </si>
  <si>
    <t>Solid &amp; Hazardous Wastes; Destroy, alter or conceal any record required to be maintained under this act</t>
  </si>
  <si>
    <t>65-3441(a)(7)</t>
  </si>
  <si>
    <t>Solid &amp; Hazardous Wastes; Dump or deposit, or permit such, any hazardous waste regulated by this act into any unauthorized facility</t>
  </si>
  <si>
    <t>65-3441(a)(1)</t>
  </si>
  <si>
    <t>Solid &amp; Hazardous Wastes; Failure to designate on a manifest a facility authorized to operate under the federal hazardous waste program or under an approved state hazardous waste program</t>
  </si>
  <si>
    <t>65-3441(a)(8)</t>
  </si>
  <si>
    <t>Solid &amp; Hazardous Wastes; Knowingly add, mix or blend any hazardous waste with fuel oil or any other fuel intended for use by residential consumers or sell such blended fuel to a residential consumer</t>
  </si>
  <si>
    <t>Solid &amp; Hazardous Wastes; Knowingly construct, modify or operate a hazardous waste facility without a permit or other required written approval</t>
  </si>
  <si>
    <t>Solid &amp; Hazardous Wastes; Knowingly destroy, alter or conceal any record required to be maintained under this act</t>
  </si>
  <si>
    <t>Solid &amp; Hazardous Wastes; Knowingly dump or deposit, or permit such, any hazardous waste regulated by this act into any unauthorized facility</t>
  </si>
  <si>
    <t>Solid &amp; Hazardous Wastes; Knowingly fail to designate on a manifest, a facility authorized to operate under the federal hazardous waste program or under an approved state hazardous waste program</t>
  </si>
  <si>
    <t>Solid &amp; Hazardous Wastes; Knowingly make false material statement or representation in any application, label, manifest, record, report, permit or other document filed, maintained or used in compliance with this act</t>
  </si>
  <si>
    <t>65-3441(a)(6)</t>
  </si>
  <si>
    <t>Solid &amp; Hazardous Wastes; Knowingly operate a hazardous waste transfer facility at which hazardous waste is transferred from one or more containers to one or more different containers</t>
  </si>
  <si>
    <t>65-3441(a)(12)</t>
  </si>
  <si>
    <t>Solid &amp; Hazardous Wastes; Knowingly refuse or hinder entry, inspection, sampling and the examination or copying of records related to this act by an agent/employee of the secretary after identification of such agent/employee and gives notice of their purpose</t>
  </si>
  <si>
    <t>65-3441(a)(5)</t>
  </si>
  <si>
    <t>Solid &amp; Hazardous Wastes; Knowingly store, collect, treat or dispose of hazardous waste contrary to the rules and regulations, standards or orders of the secretary</t>
  </si>
  <si>
    <t>65-3441(a)(4)</t>
  </si>
  <si>
    <t>Solid &amp; Hazardous Wastes; Knowingly transport and dispose of, or cause the transportation and disposition of, hazardous waste in a manner contrary to the rules and regulations, standards or orders of the secretary</t>
  </si>
  <si>
    <t>65-3441(a)(11)</t>
  </si>
  <si>
    <t>Solid &amp; Hazardous Wastes; Knowingly transport hazardous waste to a facility not authorized to operate under the federal hazardous waste program or under an approved state hazardous waste program</t>
  </si>
  <si>
    <t>65-3441(a)(9)</t>
  </si>
  <si>
    <t>Solid &amp; Hazardous Wastes; Knowingly violate any condition of any permit issued by the secretary</t>
  </si>
  <si>
    <t>65-3441(a)(3)</t>
  </si>
  <si>
    <t>Solid &amp; Hazardous Wastes; Making false material statement or representation in any application, label, manifest, record, report, permit or other document filed, maintained or used in compliance with this act</t>
  </si>
  <si>
    <t>Solid &amp; Hazardous Wastes; Operate a hazardous waste transfer facility at which hazardous waste is transferred from one or more containers to one or more different containers</t>
  </si>
  <si>
    <t>Solid &amp; Hazardous Wastes; Refuse or hinder entry, inspection, sampling and the examination or copying of records related to the purposes of this act by an identified agent or employee of the secretary after receiving notice of their purpose</t>
  </si>
  <si>
    <t>65-3409(a)(6)</t>
  </si>
  <si>
    <t>Solid &amp; Hazardous Wastes; Refuse or hinder entry, inspection, sampling and the examination or copying of records related to this act by an identified agent/employee of the secretary after receiving notice of their purpose</t>
  </si>
  <si>
    <t>Solid &amp; Hazardous Wastes; Store, collect, transport, process, treat or dispose of solid waste contrary to the rules and regulations, standards or orders of the secretary or in such a manner as to create a public nuisance</t>
  </si>
  <si>
    <t>65-3409(a)(5)</t>
  </si>
  <si>
    <t>Solid &amp; Hazardous Wastes; Store, collect, treat or dispose of hazardous waste contrary to the rules and regulations, standards or orders of the secretary</t>
  </si>
  <si>
    <t>Solid &amp; Hazardous Wastes; Transport and dispose of, or cause the transportation and disposition of, hazardous waste in a manner contrary to the rules and regulations, standards or orders of the secretary</t>
  </si>
  <si>
    <t>Solid &amp; Hazardous Wastes; Transport hazardous waste to a facility not authorized to operate under the federal hazardous waste program or under an approved state hazardous waste program</t>
  </si>
  <si>
    <t>Solid &amp; Hazardous Wastes; Unauthorized constructing, altering or operating a solid waste processing or disposal facility, or acting as a waste tire transporter or mobile waste tire processor without a permit; violation of the rules and regulations, standards or orders of the secretary</t>
  </si>
  <si>
    <t>65-3409(a)(2)</t>
  </si>
  <si>
    <t>Solid &amp; Hazardous Wastes; Unauthorized disposal of any solid waste by open dumping</t>
  </si>
  <si>
    <t>65-3409(a)(1)</t>
  </si>
  <si>
    <t>Solid &amp; Hazardous Wastes; Unauthorized division of a solid waste disposal area, which has been issued a permit pursuant to K.S.A. 65-3407, into 2 or more parcels of real property for the purpose of selling or transferring a portion of the permitted area to a new owner</t>
  </si>
  <si>
    <t>65-3409(a)(8)</t>
  </si>
  <si>
    <t>Solid &amp; Hazardous Wastes; Unauthorized transfer or expenditure of moneys in a special fund provided for by this section</t>
  </si>
  <si>
    <t>65-3415f(e)</t>
  </si>
  <si>
    <t>Solid &amp; Hazardous Wastes; Violate any condition of any permit issued by the secretary</t>
  </si>
  <si>
    <t>Solid &amp; Hazardous Wastes; Violate any condition of any permit issued under K.S.A. 65-3407 or 65-3424b</t>
  </si>
  <si>
    <t>65-3409(a)(3)</t>
  </si>
  <si>
    <t>Solid &amp; Hazardous Wastes; Violation of subsection (b) of K.S.A. 65-3424a, subsection (c) of K.S.A. 65-3424b or K.S.A. 65-3424i</t>
  </si>
  <si>
    <t>65-3409(a)(7)</t>
  </si>
  <si>
    <t>Speech-Language Pathologists &amp; Audiologists; Engage in the practice of dispensing and fitting hearing aids without a license or certificate of endorsement</t>
  </si>
  <si>
    <t>65-6504(b)</t>
  </si>
  <si>
    <t>Speech-Language Pathologists &amp; Audiologists; Practice speech-language pathology or audiology without a valid license; hold oneself out as a speech professional without appropriate license</t>
  </si>
  <si>
    <t>65-6504(a)</t>
  </si>
  <si>
    <t>Sports Bribery; Confer, offer or agree to confer, benefit upon a sports official</t>
  </si>
  <si>
    <t>21-6507(a)(2)</t>
  </si>
  <si>
    <t>Sports Bribery; Confer, offer or agree to confer, benefit upon sports participant</t>
  </si>
  <si>
    <t>21-6507(a)(1)</t>
  </si>
  <si>
    <t>Sports Bribery; Sports officials accepting, agreeing to accept or soliciting a sports bribe</t>
  </si>
  <si>
    <t>21-6507(a)(4)</t>
  </si>
  <si>
    <t>Sports Bribery; Sports participants accepting, agreeing to accept or soliciting a sports bribe</t>
  </si>
  <si>
    <t>21-6507(a)(3)</t>
  </si>
  <si>
    <t>Stalking; After notice of protective order prohibiting contact with a targeted person, recklessly engaging in conduct listed in (f)(1) that violates the order and would cause a reasonable person in targeted person's circumstances to fear for such person's or immediate family's safety and targeted person actually placed in such fear; 1st conviction</t>
  </si>
  <si>
    <t>21-5427(a)(3)</t>
  </si>
  <si>
    <t>Stalking; After notice of protective order prohibiting contact with a targeted person, recklessly engaging in conduct listed in (f)(1) that violates the order and would cause a reasonable person in targeted person's circumstances to fear for such person's or immediate family's safety and targeted person actually placed in such fear; 2nd or subs. conviction</t>
  </si>
  <si>
    <t>Stalking; Engaging in a course of conduct targeted at specific person which individual knows will place targeted person in fear for such person's or immediate family member's safety; 1st conviction</t>
  </si>
  <si>
    <t>21-5427(a)(2)</t>
  </si>
  <si>
    <t>Stalking; Engaging in a course of conduct targeted at specific person which individual knows will place targeted person in fear for such person's or immediate family member's safety; 2nd or subs. conviction</t>
  </si>
  <si>
    <t>Stalking; Recklessly engaging in a course of conduct targeted at specific person which would cause a reasonable person in the targeted person's circumstances to fear for such person's or immediate family member's safety and targeted person actually placed in such fear; 1st conviction</t>
  </si>
  <si>
    <t>21-5427(a)(1)</t>
  </si>
  <si>
    <t>Stalking; Recklessly engaging in a course of conduct targeted at specific person which would cause a reasonable person in the targeted person's circumstances to fear for such person's or immediate family member's safety and targeted person actually placed in such fear; 2nd or subs. conviction</t>
  </si>
  <si>
    <t>State Board of Technical Professionals; Any other violation of provisions of this act</t>
  </si>
  <si>
    <t>74-7029(a)(8)</t>
  </si>
  <si>
    <t>State Board of Technical Professionals; Falsely advertise as a licensed practitioner or as the holder of a certificate of authorization</t>
  </si>
  <si>
    <t>74-7029(a)(6)</t>
  </si>
  <si>
    <t>State Board of Technical Professionals; Falsely impersonate any other practitioner of like or different name</t>
  </si>
  <si>
    <t>74-7029(a)(3)</t>
  </si>
  <si>
    <t>State Board of Technical Professionals; Give false or forged evidence to the board or any member thereof in obtaining a license or certificate of authorization</t>
  </si>
  <si>
    <t>74-7029(a)(4)</t>
  </si>
  <si>
    <t>State Board of Technical Professionals; Practice, offer to practice, or hold oneself out as entitled to practice any technical profession without being duly licensed or holding a certificate of authorization issued under K.S.A. 74-7036</t>
  </si>
  <si>
    <t>74-7029(a)(1)</t>
  </si>
  <si>
    <t>State Board of Technical Professionals; Present or attempt to use, as such person's own, the license, certificate of authorization or seal of another</t>
  </si>
  <si>
    <t>74-7029(a)(2)</t>
  </si>
  <si>
    <t>State Board of Technical Professionals; Unauthorized use of any title or description intended to convey the impression that a person is a licensed practitioner or holds a certificate of authorization</t>
  </si>
  <si>
    <t>74-7029(a)(7)</t>
  </si>
  <si>
    <t>State Board of Technical Professionals; Use or attempt to use a license or certificate of authorization that has expired or been suspended or revoked</t>
  </si>
  <si>
    <t>74-7029(a)(5)</t>
  </si>
  <si>
    <t>State Corporation Commission; Commission required to make rules and regulations governing registration and fees for certain vehicles used temporarily</t>
  </si>
  <si>
    <t>66-1,140(a)</t>
  </si>
  <si>
    <t>State Corporation Commission; Commission required to make rules and regulations governing vehicles entering state on occasional trips</t>
  </si>
  <si>
    <t>66-1,140(b)</t>
  </si>
  <si>
    <t>State Corporation Commission; Destruction of pipeline signs or markers</t>
  </si>
  <si>
    <t>66-1,157d(a)</t>
  </si>
  <si>
    <t>State Corporation Commission; Fail to comply with form of application requirements</t>
  </si>
  <si>
    <t>66-1,139(d)</t>
  </si>
  <si>
    <t>State Corporation Commission; Intentionally violate any provision of the system of priorities for the allocation of available energy resources or for the curtailment of the consumption of such energy resources, or both, during any energy resources emergency proclaimed by the governor</t>
  </si>
  <si>
    <t>74-621</t>
  </si>
  <si>
    <t>State Corporation Commission; Intrastate carriers as defined by K.S.A. 8-126 required to register with corporation commission</t>
  </si>
  <si>
    <t>66-1,139(b)</t>
  </si>
  <si>
    <t>State Corporation Commission; Penalty for failure to comply with order</t>
  </si>
  <si>
    <t>66-195</t>
  </si>
  <si>
    <t>State Corporation Commission; Registration and payment of regulatory fees required</t>
  </si>
  <si>
    <t>66-1,139(c)</t>
  </si>
  <si>
    <t>State Corporation Commission; Registration of interstate carriers in base state required pursuant to 49 U.S.C. 14504</t>
  </si>
  <si>
    <t>66-1,139(a)</t>
  </si>
  <si>
    <t>State Corporation Commission; Remittance of moneys, requirements</t>
  </si>
  <si>
    <t>66-1,139(e)</t>
  </si>
  <si>
    <t>State Corporation Commission; Superintendent of the highway patrol designated as issuing agent, required to acknowledge special registrations</t>
  </si>
  <si>
    <t>66-1,140(c)</t>
  </si>
  <si>
    <t>State Corporation Commission; Unlawful securities</t>
  </si>
  <si>
    <t>66-126</t>
  </si>
  <si>
    <t>State Corporation Commission; Violation of act except K.S.A. 66-1,111 or 66-1,128</t>
  </si>
  <si>
    <t>66-1,130(a)</t>
  </si>
  <si>
    <t>State Corporation Commission; Violation of act relating to certificate, license, permit or report; failure to comply with certain commission orders</t>
  </si>
  <si>
    <t>66-1,126</t>
  </si>
  <si>
    <t>State Corporation Commission; Violation of Motor Carrier Safety Rules and Regulations, K.S.A. 66-1,129 as specified in Subsection (b)(2) of K.S.A. 66-1,130</t>
  </si>
  <si>
    <t>66-1,130(b)(2)</t>
  </si>
  <si>
    <t>State Corporation Commission; Willfully obstruct commission, or any member thereof, in the performance of the commission's duties</t>
  </si>
  <si>
    <t>66-150</t>
  </si>
  <si>
    <t>State Fair; Holding/conducting a state fair in Kansas or any exhibition or display of any livestock or agricultural products under a designation, publicity or advertisement as a state fair</t>
  </si>
  <si>
    <t>2-201</t>
  </si>
  <si>
    <t>State Gov. Ethics; Advertising to influence legislative action; broadcast by any radio/ television station any paid advertisement promoting/opposing action or nonaction by the legislature on any legislative matter without including that such was an advertisement, together with the name of the chairperson of the organization or other individual responsible for such</t>
  </si>
  <si>
    <t>46-287(b)</t>
  </si>
  <si>
    <t>State Gov. Ethics; Advertising to influence legislative action; Publishing in any newspaper, periodical, insert, or flyer any paid advertisement promoting/opposing action or nonaction by the legislature on any legislative matter without the word "advertisement" or the abbreviation "adv." together with the name of the chairperson of the organization or other individual responsible for such</t>
  </si>
  <si>
    <t>46-287(a)</t>
  </si>
  <si>
    <t>State Gov. Ethics; Giving false lobbying information; intentionally making a false or incomplete report under K.S.A. 46-268 and 46-269</t>
  </si>
  <si>
    <t>46-275(2)</t>
  </si>
  <si>
    <t>State Gov. Ethics; Giving false lobbying information; intentionally making a false or incomplete statement on any registration paper under K.S.A. 46-265</t>
  </si>
  <si>
    <t>46-275(1)</t>
  </si>
  <si>
    <t>State Gov. Ethics; Intentionally fail to file a disclosure statement as required by this section</t>
  </si>
  <si>
    <t>46-239(g)(1)</t>
  </si>
  <si>
    <t>State Gov. Ethics; Intentionally fail to file a statement of substantial interests as required</t>
  </si>
  <si>
    <t>46-251(a)</t>
  </si>
  <si>
    <t>State Gov. Ethics; Intentionally file a disclosure statement containing material misrepresentation or false or fraudulent statement</t>
  </si>
  <si>
    <t>46-239(g)(2)</t>
  </si>
  <si>
    <t>State Gov. Ethics; Intentionally file a statement of substantial interests that contains any false statement</t>
  </si>
  <si>
    <t>46-251(b)</t>
  </si>
  <si>
    <t>State Gov. Ethics; Unlawful lobbying; lobbying when a current report under K.S.A. 46-268 and 46-269, has not been filed and is past due</t>
  </si>
  <si>
    <t>46-274(2)</t>
  </si>
  <si>
    <t>State Gov. Ethics; Unlawful lobbying; lobbying without being registered</t>
  </si>
  <si>
    <t>46-274(1)</t>
  </si>
  <si>
    <t>State Gov. Ethics; Violation of a provision of this section or confidentiality provision of K.S.A. 46-256</t>
  </si>
  <si>
    <t>46-259</t>
  </si>
  <si>
    <t>State Gov. Ethics; Violation of any provision of K.S.A. 46-232, 46-233, 46-235 to 46-238, 46-240, 46-241, 46-242, 46-267 and 46-271 to 46-273, inclusive, and K.S.A. 46-286</t>
  </si>
  <si>
    <t>46-276</t>
  </si>
  <si>
    <t>State Institutions for the Intellectually Disabled; Willful deprivation of any of the rights protected by this section</t>
  </si>
  <si>
    <t>76-12b10(a)</t>
  </si>
  <si>
    <t>State Lottery; Conflict of interest; holder of license issued by KS racing and gaming commission prohibited from serving as executive director or as a member of commission or being employed by KS lottery</t>
  </si>
  <si>
    <t>74-8716(d)</t>
  </si>
  <si>
    <t>State Lottery; Conflict of interest; persons prohibited from serving as executive director; interest holders or certain prior employees</t>
  </si>
  <si>
    <t>74-8716(c)</t>
  </si>
  <si>
    <t>State Lottery; Conflict of interest; prohibited acts of executive director, a member of the commission or any employee of the Kansas lottery, or any person residing in the household thereof; accepting certain items or services</t>
  </si>
  <si>
    <t>74-8716(a)(2)</t>
  </si>
  <si>
    <t>State Lottery; Conflict of interest; prohibited acts of executive director, a member of the commission or any employee of the Kansas lottery, or any person residing in the household thereof; having interest in certain businesses</t>
  </si>
  <si>
    <t>74-8716(a)(1)</t>
  </si>
  <si>
    <t>State Lottery; Conflict of interest; prohibited acts of lottery retailer, applicant for lottery retailer or person contracting or seeking to contract with the state to supply gaming equipment, materials, tickets or consulting services for use in the lottery; offering certain items or services</t>
  </si>
  <si>
    <t>74-8716(b)</t>
  </si>
  <si>
    <t>State Lottery; Conflict of interest; unauthorized acceptance of compensation, gifts, etc. from licensee pursuant to KS parimutuel racing act</t>
  </si>
  <si>
    <t>74-8716(g)</t>
  </si>
  <si>
    <t>State Lottery; Conflict of interest; unauthorized acceptance of compensation, gifts, etc. from lottery facility manager and agents thereof</t>
  </si>
  <si>
    <t>74-8716(f)</t>
  </si>
  <si>
    <t>State Lottery; Conflict of interest; unauthorized financial interest in race horse or jockey or greyhound</t>
  </si>
  <si>
    <t>74-8716(e)</t>
  </si>
  <si>
    <t>State Lottery; Forgery of lottery ticket</t>
  </si>
  <si>
    <t>74-8717(a)</t>
  </si>
  <si>
    <t>State Lottery; Sell a lottery ticket at retail by electronic mail, the internet or telephone; 1st offense</t>
  </si>
  <si>
    <t>74-8718(a)(4)</t>
  </si>
  <si>
    <t>State Lottery; Sell a lottery ticket at retail by electronic mail, the internet or telephone; 2nd or subs. offense</t>
  </si>
  <si>
    <t>State Lottery; Sell a lottery ticket or share at a price other than that fixed by rules and regulations adopted pursuant to this act; 1st offense</t>
  </si>
  <si>
    <t>74-8718(a)(1)</t>
  </si>
  <si>
    <t>State Lottery; Sell a lottery ticket or share at a price other than that fixed by rules and regulations adopted pursuant to this act; 2nd or subs. offense</t>
  </si>
  <si>
    <t>State Lottery; Sell a lottery ticket or share by any person other than a lottery retailer authorized by the Kansas lottery; 1st offense</t>
  </si>
  <si>
    <t>74-8718(a)(2)</t>
  </si>
  <si>
    <t>State Lottery; Sell a lottery ticket or share by any person other than a lottery retailer authorized by the Kansas lottery; 2nd or subs. offense</t>
  </si>
  <si>
    <t>State Lottery; Sell a lottery ticket or share to any person known to be under 18 yrs of age; 1st offense</t>
  </si>
  <si>
    <t>74-8718(a)(3)</t>
  </si>
  <si>
    <t>State Lottery; Sell a lottery ticket or share to any person known to be under 18 yrs of age; 2nd or subs. offense</t>
  </si>
  <si>
    <t>State Lottery; Unlawful for a person who resides in the same household as persons described by subsection (a)(1) or (2) of K.S.A. 74-8719 to purchase lottery ticket or share in winnings; 1st offense</t>
  </si>
  <si>
    <t>74-8719(a)(4)</t>
  </si>
  <si>
    <t>State Lottery; Unlawful for a person who resides in the same household as persons described by subsection (a)(1) or (2) of K.S.A. 74-8719 to purchase lottery ticket or share in winnings; 2nd or subs. offense</t>
  </si>
  <si>
    <t>State Lottery; Unlawful for an officer or employee of a vendor contracting with the Kansas lottery to supply gaming equipment or tickets to the Kansas lottery to purchase lottery ticket or share in winnings; 1st offense</t>
  </si>
  <si>
    <t>74-8719(a)(2)</t>
  </si>
  <si>
    <t>State Lottery; Unlawful for an officer or employee of a vendor contracting with the Kansas lottery to supply gaming equipment or tickets to the Kansas lottery to purchase lottery ticket or share in winnings; 2nd or subs. offense</t>
  </si>
  <si>
    <t>State Lottery; Unlawful for certain relatives of persons described by subsection (a)(1) or (2) of K.S.A. 74-8719 to purchase lottery ticket or share in winnings; 1st offense</t>
  </si>
  <si>
    <t>74-8719(a)(3)</t>
  </si>
  <si>
    <t>State Lottery; Unlawful for certain relatives of persons described by subsection (a)(1) or (2) of K.S.A. 74-8719 to purchase lottery ticket or share in winnings; 2nd or subs. offense</t>
  </si>
  <si>
    <t>State Lottery; Unlawful for the executive director, a member of the commission or an employee of the Kansas lottery to purchase lottery ticket or share in winnings; 1st offense</t>
  </si>
  <si>
    <t>74-8719(a)(1)</t>
  </si>
  <si>
    <t>State Lottery; Unlawful for the executive director, a member of the commission or an employee of the Kansas lottery to purchase lottery ticket or share in winnings; 2nd or subs. offense</t>
  </si>
  <si>
    <t>Storage Tank Act; Construct, install, modify or operate a storage tank without required permit or other written approval or otherwise be in violation of rules/regulations, standards or orders of the secretary</t>
  </si>
  <si>
    <t>65-34,109(b)(1)</t>
  </si>
  <si>
    <t>Storage Tank Act; Deposit, store or dispense any regulated substance into any noncompliant storage tank after written notice such storage tanks are noncompliant</t>
  </si>
  <si>
    <t>65-34,109(b)(6)</t>
  </si>
  <si>
    <t>Storage Tank Act; Knowingly allow a release, fail to report a release or fail to take corrective action in response to a release of a regulated substance in violation of this act, rules and regulations</t>
  </si>
  <si>
    <t>65-34,109(b)(5)</t>
  </si>
  <si>
    <t>Storage Tank Act; Knowingly destroy, alter or conceal any record required to be maintained by this act or rules and regulations promulgated hereunder</t>
  </si>
  <si>
    <t>65-34,109(b)(4)</t>
  </si>
  <si>
    <t>Storage Tank Act; Knowingly make any false material statement or representation in any application, record, report, permit or other document filed, maintained or used for compliance with this act</t>
  </si>
  <si>
    <t>65-34,109(b)(3)</t>
  </si>
  <si>
    <t>Storage Tank Act; Licensure of tank installers and contractors required</t>
  </si>
  <si>
    <t>65-34,110(a)</t>
  </si>
  <si>
    <t>Storage Tank Act; Prevent or hinder an authorized person agent from entering/inspecting/sampling at a facility on which a storage tank is located or from copying certain records</t>
  </si>
  <si>
    <t>65-34,109(b)(2)</t>
  </si>
  <si>
    <t>Storage Tank Act; Unlawful to deposit, store or dispense, or permit anyone to deposit, store or dispense, any regulated substance into any noncompliant storage tank</t>
  </si>
  <si>
    <t>65-34,109(a)</t>
  </si>
  <si>
    <t>Tampering with a Landmark; Alter, remove, damage or destroy any public land survey corner or accessory in noncompliance with K.S.A. 58-2011</t>
  </si>
  <si>
    <t>21-5816(a)(5)</t>
  </si>
  <si>
    <t>Tampering with a Landmark; Cut down or remove any tree, post or other monument bearing marks made for such purpose, with intent to destroy the designating marks</t>
  </si>
  <si>
    <t>21-5816(a)(3)</t>
  </si>
  <si>
    <t>Tampering with a Landmark; Deface or alter any inscription on any such marker or monument</t>
  </si>
  <si>
    <t>21-5816(a)(4)</t>
  </si>
  <si>
    <t>Tampering with a Landmark; Deface or alter marks upon any tree, post or other monument, made for the purpose of designating any point on such boundary</t>
  </si>
  <si>
    <t>21-5816(a)(2)</t>
  </si>
  <si>
    <t>Tampering with a Landmark; Remove any monument of stone or other durable material, established or created for the purpose of designating the corner of or any other point upon the boundary of any lot or tract of land, or of the state, or any legal subdivision thereof</t>
  </si>
  <si>
    <t>21-5816(a)(1)</t>
  </si>
  <si>
    <t>Tampering with a Pipeline; Intentional and unauthorized alteration of or interference with any part of a pipeline</t>
  </si>
  <si>
    <t>21-5818(a)</t>
  </si>
  <si>
    <t>Tampering with a Public Notice; Knowingly and without authority alter, destroy, deface, remove or conceal a public notice posted according to law</t>
  </si>
  <si>
    <t>21-5921(a)</t>
  </si>
  <si>
    <t>Tampering with a Public Record; Knowingly and without authority alter, destroy, deface, remove or conceal a public record</t>
  </si>
  <si>
    <t>21-5920(a)</t>
  </si>
  <si>
    <t>Tampering with a Sports contest</t>
  </si>
  <si>
    <t>21-6508(a)</t>
  </si>
  <si>
    <t>Tampering with a Traffic Signal; Knowingly manipulate, alter, destroy or remove</t>
  </si>
  <si>
    <t>21-5817(a)</t>
  </si>
  <si>
    <t>Tampering with Electronic Monitoring Equipment; Knowingly and without authorization</t>
  </si>
  <si>
    <t>21-6322(a)</t>
  </si>
  <si>
    <t>Tax; Banks, Banking Businesses, Trust Companies &amp; Savings &amp; Loan Assoc.; unlawful disclosure of information obtained under article 11, chapter 79 of the K.S.A.'s; unlawful employment for employees administering tax under article 11, chapter 79 of the K.S.A.'s</t>
  </si>
  <si>
    <t>79-1119(b)</t>
  </si>
  <si>
    <t>Tax; Income Tax; Fail to pay any tax or to make, render or sign any return, or to supply any information, within the time required by or under the provisions of this act, if done with fraudulent intent</t>
  </si>
  <si>
    <t>79-3228(e)</t>
  </si>
  <si>
    <t>Tax; Income Tax; Intentional failure of employer, payer, person or organization deducting and withholding tax to furnish a statement to an employee or payee as required</t>
  </si>
  <si>
    <t>79-3299</t>
  </si>
  <si>
    <t>Tax; Income Tax; Unauthorized disclosure of information obtained under the Kansas income tax act; unlawful employment for employees administering tax under provisions of the Kansas Income Tax Act</t>
  </si>
  <si>
    <t>79-3234(b)</t>
  </si>
  <si>
    <t>Tax; Income Tax; Unauthorized disclosure of information to certain specified entities and individual</t>
  </si>
  <si>
    <t>79-3234(c)</t>
  </si>
  <si>
    <t>Tax; Judicial Foreclosure &amp; Sale of Real Estate By County; willful certification to the director of accounts and reports any amount for which the county is not entitled to credit by any county treasurer</t>
  </si>
  <si>
    <t>79-2808</t>
  </si>
  <si>
    <t>Tax; Levied and collected pursuant to K.S.A. 12-1693; unauthorized disclosure of confidential information in monthly reports by a city or county officer or employee</t>
  </si>
  <si>
    <t>12-1694(d)</t>
  </si>
  <si>
    <t>Tax; Levied and collected pursuant to K.S.A. 12-1697; unauthorized disclosure of confidential information in monthly reports by a city or county officer or employee</t>
  </si>
  <si>
    <t>12-1698(d)</t>
  </si>
  <si>
    <t>Tax; Limitations on Tax Levies; penalty for violation of act by officer</t>
  </si>
  <si>
    <t>79-1966</t>
  </si>
  <si>
    <t>Tax; Merchants, Manufacturers, Motor Vehicle Dealers &amp; Certain Contractors; fail to register as required; fail to execute the bond before beginning the performance of any contract; violation of any other provision of this act</t>
  </si>
  <si>
    <t>79-1015</t>
  </si>
  <si>
    <t>Tax; Property Valuation, Equalizing Assessments, Appraisers &amp; Assessment of Property; Failure of officer to list or properly value, assess or equalize property for taxation</t>
  </si>
  <si>
    <t>79-1426</t>
  </si>
  <si>
    <t>Tax; Property Valuation, Equalizing Assessments, Appraisers &amp; Assessment of Property; Falsifying the value of real estate transferred</t>
  </si>
  <si>
    <t>79-1437g</t>
  </si>
  <si>
    <t>Tax; Property Valuation, Equalizing Assessments, Appraisers &amp; Assessment of Property; Fraudulent listing or evasion by taxpayer</t>
  </si>
  <si>
    <t>79-1420</t>
  </si>
  <si>
    <t>Tax; Property Valuation, Equalizing Assessments, Appraisers &amp; Assessment of Property; Penalty for neglect of duty by county appraiser or employee</t>
  </si>
  <si>
    <t>79-1473</t>
  </si>
  <si>
    <t>Tax; Property Valuation, Equalizing Assessments, Appraisers &amp; Assessment of Property; Willfully refuse to answer questions and interrogatories and take and subscribe the oath</t>
  </si>
  <si>
    <t>79-1408</t>
  </si>
  <si>
    <t>Taxation; Income Tax; willfully sign a fraudulent return</t>
  </si>
  <si>
    <t>79-3228(f)</t>
  </si>
  <si>
    <t>Taxation; Marijuana &amp; Controlled substances; dealer distributing or possessing marijuana or controlled substances without affixing the appropriate stamps, labels or other indicia</t>
  </si>
  <si>
    <t>79-5208</t>
  </si>
  <si>
    <t>Taxation; Motor Vehicle Fuel Taxes; Aid and abet in violations contained in paragraphs (1) through (8)</t>
  </si>
  <si>
    <t>79-3464e(a)(9)</t>
  </si>
  <si>
    <t>Taxation; Motor Vehicle Fuel Taxes; aid and abet in violations contained in paragraphs (10) through (17)</t>
  </si>
  <si>
    <t>79-3464e(a)(18)</t>
  </si>
  <si>
    <t>Taxation; Motor Vehicle Fuel Taxes; deliver or accept delivery of any motor fuel with  intent to evade the obligation of collecting, remitting or accounting for motor fuel tax to this state, knowing that such fuel was intended to be delivered to a tax exempt entity or to a location outside the state of Kansas</t>
  </si>
  <si>
    <t>79-3464e(a)(15)</t>
  </si>
  <si>
    <t>Taxation; Motor Vehicle Fuel Taxes; Fail, neglect or refuse to keep and maintain or to make fully and freely accessible during business hours to certain people, all books, papers and records as required</t>
  </si>
  <si>
    <t>79-3464e(a)(4)</t>
  </si>
  <si>
    <t>Taxation; Motor Vehicle Fuel Taxes; Fail, neglect or refuse to pay the director, any tax, taxes, interest or penalties for which such person is liable, within the time required</t>
  </si>
  <si>
    <t>79-3464e(a)(3)</t>
  </si>
  <si>
    <t>Taxation; Motor Vehicle Fuel Taxes; Fail, neglect or refuse to render to the director at the director's office, any report or statement required, within the time required</t>
  </si>
  <si>
    <t>79-3464e(a)(2)</t>
  </si>
  <si>
    <t>Taxation; Motor Vehicle Fuel Taxes; falsify, forge or alter any documents associated with the use, sale, manufacture or delivery of any motor fuels</t>
  </si>
  <si>
    <t>79-3464e(a)(14)</t>
  </si>
  <si>
    <t>Taxation; Motor Vehicle Fuel Taxes; falsify, forge or willfully conceal any required books, papers, or records</t>
  </si>
  <si>
    <t>79-3464e(a)(10)</t>
  </si>
  <si>
    <t>Taxation; Motor Vehicle Fuel Taxes; knowingly make any false/forged application for a refund permit or claim for refund; knowingly make any false statement in application for a refund permit, or in any claim for a refund</t>
  </si>
  <si>
    <t>79-3464e(a)(12)</t>
  </si>
  <si>
    <t>Taxation; Motor Vehicle Fuel Taxes; knowingly submit a false or forged application for licensure</t>
  </si>
  <si>
    <t>79-3464e(a)(11)</t>
  </si>
  <si>
    <t>Taxation; Motor Vehicle Fuel Taxes; Penalty for violation of act</t>
  </si>
  <si>
    <t>79-34,103</t>
  </si>
  <si>
    <t>Taxation; Motor Vehicle Fuel Taxes; Present, or cause to be presented, to the director for credit, or for refund, any false, forged or altered invoice of refund</t>
  </si>
  <si>
    <t>79-3464e(a)(13)</t>
  </si>
  <si>
    <t>Taxation; Motor Vehicle Fuel Taxes; Sell or hold for sale dyed fuel that such person knows or has reason to know will not be used for a nontaxable purpose</t>
  </si>
  <si>
    <t>79-3464e(a)(7)</t>
  </si>
  <si>
    <t>Taxation; Motor Vehicle Fuel Taxes; Sell, receive or transport motor fuels without proper and correct manifests</t>
  </si>
  <si>
    <t>79-3464e(a)(6)</t>
  </si>
  <si>
    <t>Taxation; Motor Vehicle Fuel Taxes; Use any motor fuels purchased as exempt in a taxable manner</t>
  </si>
  <si>
    <t>79-3464e(a)(5)</t>
  </si>
  <si>
    <t>Taxation; Motor Vehicle Fuel Taxes; use dyed fuel other than for a nontaxable use</t>
  </si>
  <si>
    <t>79-3464e(a)(16)</t>
  </si>
  <si>
    <t>Taxation; Motor Vehicle Fuel Taxes; Use, sell, manufacture or deliver any motor-vehicle fuels or special fuels at any place without having a valid, unsuspended and unrevoked license</t>
  </si>
  <si>
    <t>79-3464e(a)(1)</t>
  </si>
  <si>
    <t>Taxation; Motor Vehicle Fuel Taxes; Violate any other provision of this act not specified in this section</t>
  </si>
  <si>
    <t>79-3464e(a)(8)</t>
  </si>
  <si>
    <t>Taxation; Motor Vehicle Fuel Taxes; willfully alter/attempt to alter, the strength or composition of any dye in any dyed fuel</t>
  </si>
  <si>
    <t>79-3464e(a)(17)</t>
  </si>
  <si>
    <t>Taxation; Motor Vehicle Fuel Taxes; Willfully make a false statement or knowingly present a fraudulent receipt for the sale of motor fuel, for the purpose of obtaining or attempting to obtain a credit or refund or reduction of liability for taxes</t>
  </si>
  <si>
    <t>79-34,122</t>
  </si>
  <si>
    <t>Taxation; Motor Vehicles; failing, with fraudulent intent, to pay the tax imposed pursuant to K.S.A. 79-5101</t>
  </si>
  <si>
    <t>79-5114a</t>
  </si>
  <si>
    <t>Terrorism; Commit, attempt, conspire or solicit to commit any felony with intent to affect the operation of any unit of government</t>
  </si>
  <si>
    <t>21-5421(a)(3)</t>
  </si>
  <si>
    <t>Terrorism; Commit, attempt, conspire or solicit to commit any felony with intent to influence government policy by intimidation or coercion</t>
  </si>
  <si>
    <t>21-5421(a)(2)</t>
  </si>
  <si>
    <t>Terrorism; Commit, attempt, conspire or solicit to commit any felony with intent to intimidate or coerce civilians</t>
  </si>
  <si>
    <t>21-5421(a)(1)</t>
  </si>
  <si>
    <t>Theft Detection Shielding Device; Manufacture or distribute a theft detection shielding device</t>
  </si>
  <si>
    <t>21-5805(a)</t>
  </si>
  <si>
    <t>Theft Detection Shielding Device; Possession of a sales receipt or universal product code label with intent to cheat or defraud retailer</t>
  </si>
  <si>
    <t>21-5805(d)</t>
  </si>
  <si>
    <t>Theft Detection Shielding Device; Possession of a theft detection shielding device with intent to commit theft</t>
  </si>
  <si>
    <t>21-5805(b)</t>
  </si>
  <si>
    <t>Theft Detection Shielding Device; Possession of tool or device to remove a theft detection device without consent</t>
  </si>
  <si>
    <t>21-5805(c)</t>
  </si>
  <si>
    <t>Theft of Property Lost, Mislaid or Delivered by Mistake; By one who knows owner, fails to return property to owner and intends to permanently deprive; Value $100,000 or more</t>
  </si>
  <si>
    <t>21-5802(a)</t>
  </si>
  <si>
    <t>Theft of Property Lost, Mislaid or Delivered by Mistake; By one who knows owner, fails to return property to owner and intends to permanently deprive; Value at least $1,000 but less than $25,000</t>
  </si>
  <si>
    <t>Theft of Property Lost, Mislaid or Delivered by Mistake; By one who knows owner, fails to return property to owner and intends to permanently deprive; Value at least $25,000 but less than $100,000</t>
  </si>
  <si>
    <t>Theft of Property Lost, Mislaid or Delivered by Mistake; By one who knows owner, fails to return property to owner and intends to permanently deprive; value less than $1,000</t>
  </si>
  <si>
    <t>Theft of Property or Services; By deception; $100,000 or more</t>
  </si>
  <si>
    <t>21-5801(a)(2)</t>
  </si>
  <si>
    <t>Theft of Property or Services; By deception; at least $1,500 but less than $25,000</t>
  </si>
  <si>
    <t>Theft of Property or Services; By deception; at least $25,000 but less than $100,000</t>
  </si>
  <si>
    <t>Theft of Property or Services; By deception; property is a firearm of value less than $25,000</t>
  </si>
  <si>
    <t>Theft of Property or Services; By deception; value less than $1,000 and committed by a person who has been convicted of theft 2 or more times</t>
  </si>
  <si>
    <t>Theft of Property or Services; By deception; value less than $1,500</t>
  </si>
  <si>
    <t>Theft of Property or Services; By deception; value less than $1,500 from 3 separate establishments within 72 hours as part of the same act or transaction, or in 2 or more acts, or transactions constituting a common scheme or course of conduct</t>
  </si>
  <si>
    <t>Theft of Property or Services; By threat; $100,000 or more</t>
  </si>
  <si>
    <t>21-5801(a)(3)</t>
  </si>
  <si>
    <t>Theft of Property or Services; By threat; at least $1,500 but less than $25,000</t>
  </si>
  <si>
    <t>Theft of Property or Services; By threat; at least $25,000 but less than $100,000</t>
  </si>
  <si>
    <t>Theft of Property or Services; By threat; property is a firearm of value less than $25,000</t>
  </si>
  <si>
    <t>Theft of Property or Services; By threat; property of the value of less than $1,500, from 3 separate establishments within 72 hours as part of the same act or transaction or in 2 or more acts, or transactions constituting a common scheme or course of conduct</t>
  </si>
  <si>
    <t>Theft of Property or Services; By threat; value less than $1,500</t>
  </si>
  <si>
    <t>Theft of Property or Services; By threat; value less than $1,500 and committed by a person who has within five years immediately preceeding commission of the crime, been convicted of theft 2 or more times</t>
  </si>
  <si>
    <t>Theft of Property or Services; Knowingly dispensing motor fuel at a retail establishment and leaving without making payment for such fuel; $100,000 or more</t>
  </si>
  <si>
    <t>21-5801(a)(5)</t>
  </si>
  <si>
    <t>Theft of Property or Services; Knowingly dispensing motor fuel at a retail establishment and leaving without making payment for such fuel; at least $1,500 but less than $25,000</t>
  </si>
  <si>
    <t>Theft of Property or Services; Knowingly dispensing motor fuel at a retail establishment and leaving without making payment for such fuel; at least $25,000 but less than $100,000</t>
  </si>
  <si>
    <t>Theft of Property or Services; Knowingly dispensing motor fuel at a retail establishment and leaving without making payment for such fuel; value less than $1,500 and committed by a person who has been within five years immediately proceeding comission of the crime, excluding any period of imprisonment, convicted of theft 2 or more times</t>
  </si>
  <si>
    <t>Theft of Property or Services; Knowingly dispensing motor fuel at a retail establishment and leaving without making payment for such fuel; value of less than $1,500, from three separate establishments within 72 hours as part of the same act or transaction or in 2 or more acts or transactions constituting a common scheme or course of conduct</t>
  </si>
  <si>
    <t>Theft of Property or Services; Obtain or exert unauthorized control; $100,000 or more</t>
  </si>
  <si>
    <t>21-5801(a)(1)</t>
  </si>
  <si>
    <t>Theft of Property or Services; Obtain or exert unauthorized control; at least $1,500 but less than $25,000</t>
  </si>
  <si>
    <t>Theft of Property or Services; Obtain or exert unauthorized control; at least $25,000 but less than $100,000</t>
  </si>
  <si>
    <t>Theft of Property or Services; Obtain or exert unauthorized control; property is a firearm of value less than $25,000</t>
  </si>
  <si>
    <t>Theft of Property or Services; Obtain or exert unauthorized control; value less than $1,500</t>
  </si>
  <si>
    <t>Theft of Property or Services; Obtain or exert unauthorized control; value less than $1,500 and committed by a person who has within five years immediately preceding commission of the crime; excluding any period of imprisonment, been convicted of theft 2 or more times</t>
  </si>
  <si>
    <t>Theft of Property or Services; Obtain or exert unauthorized control; value less than $1,500, from 3 establishments within 72 hours as part of the same act or transaction or, in 2 or more acts or transactions, constituting a common scheme or course of conduct</t>
  </si>
  <si>
    <t>Theft of Property or Services; Of motor fuel; value less than $1,500</t>
  </si>
  <si>
    <t>Theft of Property or Services; Possession of stolen property or services; value less than $1,500</t>
  </si>
  <si>
    <t>21-5801(a)(4)</t>
  </si>
  <si>
    <t>Theft of Property or Services; Stolen property; knowing the property to have been stolen by another; $100,000 or more</t>
  </si>
  <si>
    <t>Theft of Property or Services; Stolen property; knowing the property to have been stolen by another; at least $1,500 but less than $25,000</t>
  </si>
  <si>
    <t>Theft of Property or Services; Stolen property; knowing the property to have been stolen by another; at least $25,000 but less than $100,000</t>
  </si>
  <si>
    <t>Theft of Property or Services; Stolen property; knowing the property to have been stolen by another; property is a firearm of value less than $25,000</t>
  </si>
  <si>
    <t>Theft of Property or Services; Stolen property; knowing the property to have been stolen by another; property of the value of less than $1,500, from 3 separate establishments within 72 hours as part of the same act or transaction or in 2 or more acts or transactions constituting a common scheme or course of conduct</t>
  </si>
  <si>
    <t>Theft of Property or Services; Stolen property; knowing the property to have been stolen by another; value less than $1,500 and committed by a person who has within five years immediately proceeding commission of the crime, excluding any period of imprisonment, been convicted of theft 2 or more times</t>
  </si>
  <si>
    <t>Throwing or Casting Rocks; Recklessly throw/push/pitch or cast any rock, stone or other objects onto street, road, highway or railroad right-of-way or  upon any vehicle, train or any other conveyance thereon causing damage to vehicle or train or other conveyance</t>
  </si>
  <si>
    <t>21-5819(a)(2)</t>
  </si>
  <si>
    <t>Throwing or Casting Rocks; Recklessly throw/push/pitch or cast any rock, stone or other objects onto street, road, highway or railroad right-of-way or  upon any vehicle, train or any other conveyance thereon- no damage results</t>
  </si>
  <si>
    <t>21-5819(a)(1)</t>
  </si>
  <si>
    <t>Throwing or Casting Rocks; Recklessly throw/push/pitch/or cast any rock, stone or other objects onto street, road, highway or railroad right-of-way or upon any vehicle, train or any other conveyance thereon; causing injury to another person upon such street, road, highway or railroad right-of-way</t>
  </si>
  <si>
    <t>21-5819(a)(3)</t>
  </si>
  <si>
    <t>Throwing or Casting Rocks; Recklessly throw/push/pitch/or cast any rock, stone or other objects onto street, road, highway or railroad right-of-way or upon any vehicle, train or any other conveyance thereon; damaging a vehicle/train or other conveyance thereon and injuring a person as a result of the cast or thrown object or as a result of damage to the vehicle in which a person was a passenger when struck by such object</t>
  </si>
  <si>
    <t>21-5819(a)(4)</t>
  </si>
  <si>
    <t>Townships &amp; Township Officers; Penalty for failure of treasurer or trustee to make statement or to perform duty</t>
  </si>
  <si>
    <t>80-408</t>
  </si>
  <si>
    <t>Townships &amp; Township Officers; Penalty for taking down or destroying statement</t>
  </si>
  <si>
    <t>80-409</t>
  </si>
  <si>
    <t>Townships &amp; Township Officers; Penalty for violation of act</t>
  </si>
  <si>
    <t>80-411</t>
  </si>
  <si>
    <t>Townships &amp; Township Officers; Prairie Dogs, Moles &amp; Gophers; penalty for trustee or board of county commissioners failure to perform duties</t>
  </si>
  <si>
    <t>80-1208</t>
  </si>
  <si>
    <t>Trading Stamps; Redeeming for cash prohibited</t>
  </si>
  <si>
    <t>21-2802</t>
  </si>
  <si>
    <t>Trading Stamps; Redeeming for merchandise prohibited</t>
  </si>
  <si>
    <t>21-2801</t>
  </si>
  <si>
    <t>Traffic Control Signal Preemption Device; Knowing and unauthorized purchase of device</t>
  </si>
  <si>
    <t>21-6324(a)(4)</t>
  </si>
  <si>
    <t>Traffic Control Signal Preemption Device; Knowing and unauthorized sale of device</t>
  </si>
  <si>
    <t>21-6324(a)(3)</t>
  </si>
  <si>
    <t>Traffic Control Signal Preemption Device; Knowing and unauthorized use of device</t>
  </si>
  <si>
    <t>21-6324(a)(2)</t>
  </si>
  <si>
    <t>Traffic Control Signal Preemption Device; Knowing and unauthorized use of device; resulting in traffic accident causing death</t>
  </si>
  <si>
    <t>Traffic Control Signal Preemption Device; Knowing and unauthorized use of device; resulting in traffic accident causing injury to any person or damage to any vehicle or other property</t>
  </si>
  <si>
    <t>Trafficking in Contraband in Correctional Institution or Care and Treatment Facility; Distribute any firearm, ammunition, explosive or controlled substance within any correctional institution or care and treatment facility</t>
  </si>
  <si>
    <t>21-5914(a)(4)</t>
  </si>
  <si>
    <t>Trafficking in Contraband in Correctional Institution or Care and Treatment Facility; Distribute any firearm, ammunition, explosive or controlled substance within any correctional institution or care and treatment facility; if done by employee of such institution or facility</t>
  </si>
  <si>
    <t>Trafficking in Contraband in Correctional Institution or Care and Treatment Facility; Distribute any item defined as contraband by commissioner of juvenile justice authority within any juvenile correctional facility; if done by employee of such facility</t>
  </si>
  <si>
    <t>Trafficking in Contraband in Correctional Institution or Care and Treatment Facility; Distribute any item defined as contraband by secretary of corrections within any state correctional institution or facility; if done by employee such institution or facility</t>
  </si>
  <si>
    <t>Trafficking in Contraband in Correctional Institution or Care and Treatment Facility; Distribute any item defined as contraband by secretary of SRS within any care and treatment facility; if done by employee of such facility</t>
  </si>
  <si>
    <t>Trafficking in Contraband in Correctional Institution or Care and Treatment Facility; Distribute any item within any correctional institution or care and treatment facility</t>
  </si>
  <si>
    <t>Trafficking in Contraband in Correctional Institution or Care and Treatment Facility; Introduce into an institution in which a person is confined any object or thing adapted or designed for use in making an escape</t>
  </si>
  <si>
    <t>21-5914(a)(6)</t>
  </si>
  <si>
    <t>Trafficking in Contraband in Correctional Institution or Care and Treatment Facility; Introduce into an institution in which a person is confined any object or thing adapted or designed for use in making an escape; If introduced by employee or volunteer of the department of corrections, or employee or volunteer of a contractor under contract to provide services to the department of corrections</t>
  </si>
  <si>
    <t>Trafficking in Contraband in Correctional Institution or Care and Treatment Facility; Introduce into an institution in which a person is confined any object or thing adapted or designed for use in making an escape; If item defined as contraband by commissioner of juvenile justice authority into a juvenile correctional facility by an employee of such facility</t>
  </si>
  <si>
    <t>Trafficking in Contraband in Correctional Institution or Care and Treatment Facility; Introduce into an institution in which a person is confined any object or thing adapted or designed for use in making an escape; If item defined as contraband by secretary of corrections in a state correctional institution or facility and introduced by employee of such institution or facility</t>
  </si>
  <si>
    <t>Trafficking in Contraband in Correctional Institution or Care and Treatment Facility; Introduce into an institution in which a person is confined any object or thing adapted or designed for use in making an escape; If item defined as contraband by secretary of SRS in a care and treatment facility and introduced by employee of such facility</t>
  </si>
  <si>
    <t>Trafficking in Contraband in Correctional Institution or Care and Treatment Facility; Introduce into an institution in which a person is confined any object or thing adapted or designed for use in making an escape; If such is a firearm, ammunition, explosive or controlled substance</t>
  </si>
  <si>
    <t>Trafficking in Contraband in Correctional Institution or Care and Treatment Facility; Introduce into an institution in which a person is confined any object or thing adapted or designed for use in making an escape; if such item is a firearm, ammunition, explosive or controlled substance in a correctional institution or care and treatment facility and introduced by employee of such institution or facility</t>
  </si>
  <si>
    <t>Trafficking in Contraband in Correctional Institution or Care and Treatment Facility; Introduce or attempt to introduce any firearms, ammunition, explosives or controlled substance</t>
  </si>
  <si>
    <t>21-5914(a)(1)</t>
  </si>
  <si>
    <t>Trafficking in Contraband in Correctional Institution or Care and Treatment Facility; Introduce or attempt to introduce any firearms, ammunition, explosives or controlled substance; introduced by employee of correctional institution or in a care and treatment facility by employee of such</t>
  </si>
  <si>
    <t>Trafficking in Contraband in Correctional Institution or Care and Treatment Facility; Introduce or attempt to introduce any item defined as contraband by commissioner of juvenile justice authority into a juvenile correctional facility by an employee of such facility</t>
  </si>
  <si>
    <t>Trafficking in Contraband in Correctional Institution or Care and Treatment Facility; Introduce or attempt to introduce any item defined as contraband by secretary of corrections into a state correctional institution or facility by an employee of such institution or facility</t>
  </si>
  <si>
    <t>Trafficking in Contraband in Correctional Institution or Care and Treatment Facility; Introduce or attempt to introduce any item defined as contraband by secretary of SRS into a care and treatment facility by an employee of such facility</t>
  </si>
  <si>
    <t>Trafficking in Contraband in Correctional Institution or Care and Treatment Facility; Introduce or attempt to introduce any item into or upon the grounds of institution or facility</t>
  </si>
  <si>
    <t>Trafficking in Contraband in Correctional Institution or Care and Treatment Facility; Supplying to another who is in lawful custody any object or thing adapted or designed for use in making an escape</t>
  </si>
  <si>
    <t>21-5914(a)(5)</t>
  </si>
  <si>
    <t>Trafficking in Contraband in Correctional Institution or Care and Treatment Facility; Supplying to another who is in lawful custody any object or thing adapted or designed for use in making an escape; if item defined as contraband by commissioner of juvenile justice authority in a juvenile correctional facility and supplied by employee of such facility</t>
  </si>
  <si>
    <t>Trafficking in Contraband in Correctional Institution or Care and Treatment Facility; Supplying to another who is in lawful custody any object or thing adapted or designed for use in making an escape; if item defined as contraband by secretary of corrections in a state correctional institution or facility and supplied by employee of such institution or facility</t>
  </si>
  <si>
    <t>Trafficking in Contraband in Correctional Institution or Care and Treatment Facility; Supplying to another who is in lawful custody any object or thing adapted or designed for use in making an escape; if item defined as contraband by secretary of SRS in a care and treatment facility and supplied by employee of such facility</t>
  </si>
  <si>
    <t>Trafficking in Contraband in Correctional Institution or Care and Treatment Facility; Supplying to another who is in lawful custody any object or thing adapted or designed for use in making an escape; if such item is a firearm, ammunition, explosive or controlled substance</t>
  </si>
  <si>
    <t>Trafficking in Contraband in Correctional Institution or Care and Treatment Facility; Supplying to another who is in lawful custody any object or thing adapted or designed for use in making an escape; if such item is a firearm, ammunition, explosive or controlled substance in a correctional institution or care and treatment facility and supplied by employee of such institution or facility</t>
  </si>
  <si>
    <t>Trafficking in Contraband in Correctional Institution or Care and Treatment Facility; Supplying to another who is in lawful custody any object or thing adapted or designed for use in making an escape; if supplied by employee or volunteer of the department of corrections, or employee or volunteer of a contractor under contract to provide services to the department of corrections</t>
  </si>
  <si>
    <t>Trafficking in Contraband in Correctional Institution or Care and Treatment Facility; Taking, sending or attempting to take or send a firearm, ammunition, explosive or controlled substance from correctional institution or care and treatment facility; if done by employee of such facility</t>
  </si>
  <si>
    <t>21-5914(a)(2)</t>
  </si>
  <si>
    <t>Trafficking in Contraband in Correctional Institution or Care and Treatment Facility; Taking, sending or attempting to take or send any item defined as contraband by commissioner of juvenile justice authority from juvenile correctional facility; if done by employee of such facility</t>
  </si>
  <si>
    <t>Trafficking in Contraband in Correctional Institution or Care and Treatment Facility; Taking, sending or attempting to take or send any item defined as contraband by secretary of corrections from state correctional institution or facility; if done by employee of such institution or facility</t>
  </si>
  <si>
    <t>Trafficking in Contraband in Correctional Institution or Care and Treatment Facility; Taking, sending or attempting to take or send any item defined as contraband by secretary of SRS from care or treatment facility; if done by employee of such facility</t>
  </si>
  <si>
    <t>Trafficking in Contraband in Correctional Institution or Care and Treatment Facility; Taking, sending or attempting to take or send any item from institution or facility</t>
  </si>
  <si>
    <t>Trafficking in Contraband in Correctional Institution or Care and Treatment Facility; Taking, sending or attempting to take or send firearm, ammunition, explosive or controlled substance from institution or facility</t>
  </si>
  <si>
    <t>Trafficking in Contraband in Correctional Institution or Care and Treatment Facility; Unauthorized possession of any firearm, ammunition, explosive or controlled substance while in any correctional institution or care and treatment facility</t>
  </si>
  <si>
    <t>21-5914(a)(3)</t>
  </si>
  <si>
    <t>Trafficking in Contraband in Correctional Institution or Care and Treatment Facility; Unauthorized possession of any firearm, ammunition, explosive or controlled substance while in any correctional institution or care and treatment facility; if done by employee of such facility</t>
  </si>
  <si>
    <t>Trafficking in Contraband in Correctional Institution or Care and Treatment Facility; Unauthorized possession of any item defined as contraband by commissioner of juvenile justice authority while in any juvenile correctional facility; if done by employee of such facility</t>
  </si>
  <si>
    <t>Trafficking in Contraband in Correctional Institution or Care and Treatment Facility; Unauthorized possession of any item defined as contraband by secretary of corrections while in any correctional institution or facility; if done by employee of such facility</t>
  </si>
  <si>
    <t>Trafficking in Contraband in Correctional Institution or Care and Treatment Facility; Unauthorized possession of any item defined as contraband by secretary of SRS while in care and treatment facility; if done by employee of such facility</t>
  </si>
  <si>
    <t>Trafficking in Contraband in Correctional Institution or Care and Treatment Facility; Unauthorized possession of any item while in any correctional institution or care and treatment facility</t>
  </si>
  <si>
    <t>Trafficking; Counterfeit Drugs; value $25,000 or more</t>
  </si>
  <si>
    <t>65-4167(a)</t>
  </si>
  <si>
    <t>Trafficking; Counterfeit Drugs; value at least $500 but less than $25,000</t>
  </si>
  <si>
    <t>Trafficking; Counterfeit Drugs; value less than $500</t>
  </si>
  <si>
    <t>Treason; Levying war against the state, adhering to its enemies, or giving them aid and comfort</t>
  </si>
  <si>
    <t>21-5901(a)</t>
  </si>
  <si>
    <t>Trespass on Railroad Property; Entering or remaining on property without consent of owner</t>
  </si>
  <si>
    <t>21-5809(a)(1)</t>
  </si>
  <si>
    <t>Trespass on Railroad Property; Knowingly trespass on railroad property without consent; damage more than $1,500</t>
  </si>
  <si>
    <t>Trespass on Railroad Property; Recklessly causing derailment of a train, railroad car or rail-mounted work equipment; damage more than $1,500</t>
  </si>
  <si>
    <t>Trespassing; On fairgrounds</t>
  </si>
  <si>
    <t>2-140</t>
  </si>
  <si>
    <t>Tribal Gaming Oversight; Executive director or employee of the state gaming agency knowingly accepting compensation, gift, loan, entertainment, favor or service from person or entity licensed pursuant to a tribal-state gaming compact, unless exception applies</t>
  </si>
  <si>
    <t>74-9809(b)(3)</t>
  </si>
  <si>
    <t>Tribal Gaming Oversight; Executive director or employee of the state gaming agency knowingly participating as an owner, operator, manager or consultant in tribal gaming in Kansas</t>
  </si>
  <si>
    <t>74-9809(b)(2)</t>
  </si>
  <si>
    <t>Tribal Gaming Oversight; Executive director or employee of the state gaming agency knowingly placing a wager or betting or playing an electronic game of chance at a tribal gaming facility</t>
  </si>
  <si>
    <t>74-9809(b)(1)</t>
  </si>
  <si>
    <t>Tribal Gaming Oversight; Executive director or employee of the state gaming agency, or certain relatives thereof, entering into any business dealing, venture or contract with owner/operator of a tribal gaming facility other than as required to complete duties of the compact</t>
  </si>
  <si>
    <t>74-9809(c)(2)</t>
  </si>
  <si>
    <t>Tribal Gaming Oversight; Executive director or employee of the state gaming agency, or certain relatives thereof, holding any license issued pursuant to a tribal-state gaming compact</t>
  </si>
  <si>
    <t>74-9809(c)(1)</t>
  </si>
  <si>
    <t>Tribal Gaming Oversight; Having financial interest in tribal gaming while the executive director or employee of the state gaming agency or during 5 yrs immediately following termination of such employment</t>
  </si>
  <si>
    <t>74-9809(a)</t>
  </si>
  <si>
    <t>Tribal Gaming Oversight; Holder of a license issued pursuant to a tribal-state gaming compact allowing any person, to place a wager or play any class III game, gaming device or electronic game of chance at a tribal gaming facility, knowing such person to be under 21 yrs of age</t>
  </si>
  <si>
    <t>74-9809(d)</t>
  </si>
  <si>
    <t>Tribal Gaming Oversight; Knowingly conduct, carry on, operate, deal or allow to be conducted, carried on or dealt, any cheating or thieving class III game or device</t>
  </si>
  <si>
    <t>74-9809(k)(1)</t>
  </si>
  <si>
    <t>Tribal Gaming Oversight; Knowingly deal, conduct, carry on, operate or expose for play, any class III game or games played with cards, dice or any mechanical or electronic device, or any combination of such, which have been marked or tampered with, placed in a condition, or operated in a manner, which results in public deception, or alters normal chance or results of the game</t>
  </si>
  <si>
    <t>74-9809(k)(2)</t>
  </si>
  <si>
    <t>Tribal Gaming Oversight; Knowingly use bogus or counterfeit chips or gaming billets; knowingly substitute and use in any game, cards or dice that have been marked, loaded or tampered with</t>
  </si>
  <si>
    <t>74-9809(h)(1)</t>
  </si>
  <si>
    <t>Tribal Gaming Oversight; Knowingly use or possess any marked cards, loaded dice, plugged or tampered with machines or devices</t>
  </si>
  <si>
    <t>74-9809(l)</t>
  </si>
  <si>
    <t>Tribal Gaming Oversight; Knowingly use other than a lawful coin or legal tender of the U.S.A., or one of a denomination not intended to be used in an electronic game of chance</t>
  </si>
  <si>
    <t>74-9809(h)(2)</t>
  </si>
  <si>
    <t>Tribal Gaming Oversight; Possess any device, equipment or material known to have been manufactured, distributed, sold, tampered with or serviced in violation of the provisions of a tribal-state gaming compact</t>
  </si>
  <si>
    <t>74-9809(m)</t>
  </si>
  <si>
    <t>Tribal Gaming Oversight; Unauthorized disclosure of confidential information</t>
  </si>
  <si>
    <t>74-9805(m)(3)</t>
  </si>
  <si>
    <t>Tribal Gaming Oversight; Unauthorized possession or use of any cheating or thieving device</t>
  </si>
  <si>
    <t>74-9809(i)</t>
  </si>
  <si>
    <t>Tribal Gaming Oversight; Unauthorized possession or use of any key or device designed for the purpose of or suitable for opening or entering any electronic game of chance or similar gaming device or drop box</t>
  </si>
  <si>
    <t>74-9809(j)</t>
  </si>
  <si>
    <t>Tribal Gaming Oversight; Use or conspire to use any device for the purpose of effecting the outcome of game</t>
  </si>
  <si>
    <t>74-9809(e)</t>
  </si>
  <si>
    <t>Tribal Gaming Oversight; Win money, property or representative of either, by any trick or sleight of hand performance, or by fraud or fraudulent scheme, cards, dice or device; or reduce or attempt to reduce a losing wager, in connection with tribal gaming in a value of less than $100</t>
  </si>
  <si>
    <t>74-9809(n)</t>
  </si>
  <si>
    <t>Tribal Gaming Oversight; Win or attempt to win by any trick or sleight of hand performance, or by a fraud or fraudulent scheme, cards, dice or device, money or property or a representative of either, or reduce or attempt to reduce a losing wager, in connection with tribal gaming in a value of $100 or greater</t>
  </si>
  <si>
    <t>74-9809(h)(3)</t>
  </si>
  <si>
    <t>Tribal Gaming; Person 18 or older but less than 21 yrs of age, placing any wager or playing any class III game, gaming device or electronic game of chance at a tribal gaming facility</t>
  </si>
  <si>
    <t>74-9809(g)</t>
  </si>
  <si>
    <t>Unauthorized Delivery of Stored Goods</t>
  </si>
  <si>
    <t>21-5832(a)</t>
  </si>
  <si>
    <t>Unfair Trade &amp; Consumer Protection; Extend credit to a retail dealer beyond the normal periods of payment commonly prevailing in the business territory of the sale</t>
  </si>
  <si>
    <t>50-503(h)</t>
  </si>
  <si>
    <t>Unfair Trade &amp; Consumer Protection; Fail, neglect, or refuse to remove, repossess or institute an appropriate replevin action to recover any fixture or equipment sold to any retail dealer or consumer under a conditional sales contract or secured by chattel mortgage as authorized by the provisions of this act, if such retail dealer or consumer has been in default of any payment for more than 90 days</t>
  </si>
  <si>
    <t>50-503(d)</t>
  </si>
  <si>
    <t>Unfair Trade &amp; Consumer Protection; Furnish or provide for the mechanical or electrical servicing of any fixtures or equipment used in connection with the sale or consumption of dairy products by a retail dealer or consumer</t>
  </si>
  <si>
    <t>50-503(c)</t>
  </si>
  <si>
    <t>Unfair Trade &amp; Consumer Protection; Furnish, give, rent, lease, or lend to a retail dealer any money, equipment, fixtures, ice cream cabinets or bulk milk dispensers, supplies, or other things having a real or substantial value, or any expendable supplies commonly provided in connection with sales of dairy products to the consumer</t>
  </si>
  <si>
    <t>50-503(a)</t>
  </si>
  <si>
    <t>Unfair Trade &amp; Consumer Protection; Grant to any retail dealer any secret discount, make any rebate, or permit any deviation from the price at which such person furnishes dairy products of the same quality, brand and quantity to other retail dealers in the same city, unincorporated town, or immediate vicinity thereof</t>
  </si>
  <si>
    <t>50-503(m)</t>
  </si>
  <si>
    <t>Unfair Trade &amp; Consumer Protection; Make, guarantee or procure another to guarantee any loan or the payment of any financial obligation of a retail dealer</t>
  </si>
  <si>
    <t>50-503(g)</t>
  </si>
  <si>
    <t>Unfair Trade &amp; Consumer Protection; Offer or give any bonus, premium, or compensation to a retail dealer, directly or indirectly, through or to an officer, employee, associate, relative or representative of a retail dealer</t>
  </si>
  <si>
    <t>50-503(i)</t>
  </si>
  <si>
    <t>Unfair Trade &amp; Consumer Protection; Pay or credit a retail dealer for the use of any floor space, shelf space or equipment within or at such person's place of business</t>
  </si>
  <si>
    <t>50-503(f)</t>
  </si>
  <si>
    <t>Unfair Trade &amp; Consumer Protection; Pay to or credit a retail dealer or pay for or on behalf of or for the benefit of a retail dealer for any advertising, display or distribution service, unless exception herein applies</t>
  </si>
  <si>
    <t>50-503(e)</t>
  </si>
  <si>
    <t>Unfair Trade &amp; Consumer Protection; Permit any retail dealer to do for or on behalf of such wholesaler, processor or distributor any of the acts hereby made unlawful to be done</t>
  </si>
  <si>
    <t>50-503(n)</t>
  </si>
  <si>
    <t>Unfair Trade &amp; Consumer Protection; Sell any products, unit or combination thereof, for less than cost to the wholesaler, processor or distributor at the point of delivery; sell to any retail dealer any expendable supplies for less than cost to any such wholesaler, processor or distributor at the point of delivery plus a markup of 6% of such cost as a proportionate share of the cost of doing business</t>
  </si>
  <si>
    <t>50-503(l)</t>
  </si>
  <si>
    <t>Unfair Trade &amp; Consumer Protection; Sell to any retail dealer or consumer any fixtures or equipment other than ice cream cabinets or bulk milk dispensers, or sell to any retail dealer or consumer any ice cream cabinets or bulk milk dispensers at unauthorized price</t>
  </si>
  <si>
    <t>50-503(b)</t>
  </si>
  <si>
    <t>Unfair Trade &amp; Consumer Protection; Sell, offer for sale, or contract to sell dairy products to any retail dealer on consignment, or with the privilege of return, or on any basis other than a bona fide sale</t>
  </si>
  <si>
    <t>50-503(j)</t>
  </si>
  <si>
    <t>Unfair Trade &amp; Consumer Protection; Use or employ any device or scheme to subsidize any retail dealer</t>
  </si>
  <si>
    <t>50-503(k)</t>
  </si>
  <si>
    <t>Uniform Act Regulating Traffic; 1-way glass and sun screening devices; headlamps</t>
  </si>
  <si>
    <t>8-1749a(e)</t>
  </si>
  <si>
    <t>Uniform Act Regulating Traffic; 1-way glass and sun screening devices; windows</t>
  </si>
  <si>
    <t>8-1749a(a)</t>
  </si>
  <si>
    <t>Uniform Act Regulating Traffic; Applying for a replacement or new DL prior to the return of such person's original license which has been deposited in lieu of bond under this section</t>
  </si>
  <si>
    <t>8-2107(b)</t>
  </si>
  <si>
    <t>Uniform Act Regulating Traffic; Disobeying restrictions stated on official traffic-control devices on a controlled-access highway or facility; 1st violation</t>
  </si>
  <si>
    <t>8-1525(b)</t>
  </si>
  <si>
    <t>Uniform Act Regulating Traffic; Fail or refuse to weigh vehicle; 1st violation</t>
  </si>
  <si>
    <t>8-1910(a)</t>
  </si>
  <si>
    <t>Uniform Act Regulating Traffic; Fail to comply with rules and regulations pertaining to transportation of hazardous materials</t>
  </si>
  <si>
    <t>8-1746(b)</t>
  </si>
  <si>
    <t>Uniform Act Regulating Traffic; Fail to place marks or placards on vehicle as required</t>
  </si>
  <si>
    <t>8-1746(c)</t>
  </si>
  <si>
    <t>Uniform Act Regulating Traffic; Failure of driver to stop and submit vehicle to an inspection and test upon request of highway patrol officer</t>
  </si>
  <si>
    <t>8-1759a(a)</t>
  </si>
  <si>
    <t>Uniform Act Regulating Traffic; Failure to comply with highway patrol officers order to cease driving hazardous, defective vehicle or to drive to nearest garage or other place of safety</t>
  </si>
  <si>
    <t>8-1759a(c)</t>
  </si>
  <si>
    <t>Uniform Act Regulating Traffic; Failure to comply with traffic citation</t>
  </si>
  <si>
    <t>8-2110(a)</t>
  </si>
  <si>
    <t>Uniform Act Regulating Traffic; Failure to properly equip vehicle with fire extinguishers of a type, size and number approved by the secretary</t>
  </si>
  <si>
    <t>8-1746(d)</t>
  </si>
  <si>
    <t>Uniform Act Regulating Traffic; Failure to stop at a spot inspection by highway patrol</t>
  </si>
  <si>
    <t>8-1759(a)</t>
  </si>
  <si>
    <t>Uniform Act Regulating Traffic; Highway patrol officer required to give a written notice of any defect to the driver</t>
  </si>
  <si>
    <t>8-1759a(b)</t>
  </si>
  <si>
    <t>Uniform Act Regulating Traffic; Interference with official traffic control devices/railroad signs; 1st violation</t>
  </si>
  <si>
    <t>8-1513</t>
  </si>
  <si>
    <t>Uniform Act Regulating Traffic; Pedestrians under the influence of Drugs or Alcohol; 1st violation</t>
  </si>
  <si>
    <t>8-1543</t>
  </si>
  <si>
    <t>Uniform Act Regulating Traffic; Racing on highways</t>
  </si>
  <si>
    <t>8-1565(a)</t>
  </si>
  <si>
    <t>Uniform Act Regulating Traffic; Reckless driving</t>
  </si>
  <si>
    <t>8-1566(a)</t>
  </si>
  <si>
    <t>Uniform Act Regulating Traffic; Replace any glass or glazing materials in certain locations with any material other than safety glazing material</t>
  </si>
  <si>
    <t>8-1743(d)</t>
  </si>
  <si>
    <t>Uniform Act Regulating Traffic; Sale of new passenger vehicle without safety glazing material</t>
  </si>
  <si>
    <t>8-1743(a)</t>
  </si>
  <si>
    <t>Uniform Act Regulating Traffic; Sell unsafe tires</t>
  </si>
  <si>
    <t>8-1742a</t>
  </si>
  <si>
    <t>Uniform Act Regulating Traffic; Sell, or affix to a motor vehicle, any truck-camper manufactured or assembled after July 1, 1968, without safety glazing material</t>
  </si>
  <si>
    <t>8-1743(b)</t>
  </si>
  <si>
    <t>Uniform Act Regulating Traffic; Transporting Alcoholic beverage in an open container</t>
  </si>
  <si>
    <t>8-1599(b)</t>
  </si>
  <si>
    <t>Uniform Act Regulating Traffic; Violation of act not in K.S.A. 8-2118; 1st violation</t>
  </si>
  <si>
    <t>Uniform Act Regulating Traffic; Violation of act not in K.S.A. 8-2118; 2nd violation with 1 yr of 1st</t>
  </si>
  <si>
    <t>Uniform Act Regulating Traffic; Violation of act not in K.S.A. 8-2118; 3rd violation with 1 yr of 1st</t>
  </si>
  <si>
    <t>Uniform Act Regulating Traffic; Willful failure or refusal to comply with lawful order/direction of any police officer or fireman with authority to direct, control or regulate traffic; 1st violation</t>
  </si>
  <si>
    <t>8-1503</t>
  </si>
  <si>
    <t>Uniform Anatomical Gift Act; Intentionally falsify, forge, conceal, deface or obliterate a document of gift or amendment or revocation of such, or refusal, for financial gain</t>
  </si>
  <si>
    <t>65-3236</t>
  </si>
  <si>
    <t>Uniform Anatomical Gift Act; Knowingly purchase or sell a body part for transplantation or therapy</t>
  </si>
  <si>
    <t>65-3235(a)</t>
  </si>
  <si>
    <t>Uniform Commercial Drivers' License Act; Any violation of Act - unless otherwise prescribed by Act</t>
  </si>
  <si>
    <t>8-2,153(a)</t>
  </si>
  <si>
    <t>Uniform Land Sales Practices Act; Dispose of interest in subdivided lands without a current public offering statement provided to purchaser</t>
  </si>
  <si>
    <t>58-3304(2)</t>
  </si>
  <si>
    <t>Uniform Land Sales Practices Act; Offer or dispose of any interest in subdivided lands prior to registration</t>
  </si>
  <si>
    <t>58-3304(1)</t>
  </si>
  <si>
    <t>Uniform Land Sales Practices Act; Penalty for willful violation of act</t>
  </si>
  <si>
    <t>58-3315</t>
  </si>
  <si>
    <t>Uniform Vital Statistics Act; Knowingly refuse or omit to provide notice to a person transporting dead body for disposition that the deceased had an infectious or contagious disease</t>
  </si>
  <si>
    <t>65-2438(a)</t>
  </si>
  <si>
    <t>Uniform Vital Statistics Act; Knowingly refuse or omit to provide notice to embalmer, funeral director or other person taking possession of body that the deceased had an infectious or contagious disease</t>
  </si>
  <si>
    <t>65-2438(b)</t>
  </si>
  <si>
    <t>Uniform Vital Statistics Act; Knowingly transports or accepts for transportation, a dead body located in this state to a location outside the boundaries of this state without an accompanying permit</t>
  </si>
  <si>
    <t>65-2434(b)</t>
  </si>
  <si>
    <t>Uniform Vital Statistics Act; Unauthorized disclosure of confidential information pertaining to a deceased persons infectious or contagious disease</t>
  </si>
  <si>
    <t>65-2438(d)</t>
  </si>
  <si>
    <t>Uniform Vital Statistics Act; Vital records identity fraud related to birth, death, marriage and divorce certificates prosecuted pursuant to K.S.A. 21-5918</t>
  </si>
  <si>
    <t>65-2434</t>
  </si>
  <si>
    <t>Unjustifiably Exposing a Convicted or Charged Person; Communicating or threatening to communicate information that a person has been charged with or convicted of a felony, with intent to interfere with the employment or business of such person</t>
  </si>
  <si>
    <t>21-6105(a)</t>
  </si>
  <si>
    <t>Unlawful Acts Concerning Certificates of Title; Knowingly fail to show complete chain of title</t>
  </si>
  <si>
    <t>21-5836(a)</t>
  </si>
  <si>
    <t>Unlawful Administration of a Substance; Administration to another without consent and with intent to impair</t>
  </si>
  <si>
    <t>21-5425(a)</t>
  </si>
  <si>
    <t>Unlawful Assembly; Meeting or coming together of not less than 5 persons with intent to engage in disorderly conduct</t>
  </si>
  <si>
    <t>21-6202(a)(1)(A)</t>
  </si>
  <si>
    <t>Unlawful Assembly; Meeting or coming together of not less than 5 persons with intent to engage in riot</t>
  </si>
  <si>
    <t>21-6202(a)(1)(B)</t>
  </si>
  <si>
    <t>Unlawful Assembly; Remaining at an unlawful assembly; Intentionally failing to depart as directed by law enforcement</t>
  </si>
  <si>
    <t>21-6202(b)</t>
  </si>
  <si>
    <t>Unlawful Assembly; When lawful assembly of not less than 5 persons, agreeing to engage in conduct constituting disorderly conduct or riot</t>
  </si>
  <si>
    <t>21-6202(a)(2)</t>
  </si>
  <si>
    <t>Unlawful Discharge of a Firearm; Reckless discharge of a firearm within city limits</t>
  </si>
  <si>
    <t>21-6308a</t>
  </si>
  <si>
    <t>Unlawful Disclosure of Authorized Interception of Wire</t>
  </si>
  <si>
    <t>21-5923(a)</t>
  </si>
  <si>
    <t>Unlawful Disposition of Animals; Knowingly raffling or giving as a prize or premium living rabbits or chickens, ducklings or goslings</t>
  </si>
  <si>
    <t>21-6413(a)</t>
  </si>
  <si>
    <t>Unlawful Endangerment; Knowingly protect or attempt to protect the manufacture or cultivation of a controlled substance with a device or weapon which causes bodily harm</t>
  </si>
  <si>
    <t>21-6310(a)(2)</t>
  </si>
  <si>
    <t>Unlawful Endangerment; Knowingly protect or attempt to protect the manufacture or cultivation of a controlled substance with a device or weapon which causes great bodily harm</t>
  </si>
  <si>
    <t>21-6310(a)(1)</t>
  </si>
  <si>
    <t>Unlawful Endangerment; Knowingly protect or attempt to protect the manufacture or cultivation of a controlled substance with a device or weapon which causes or is intended to cause bodily harm to another person</t>
  </si>
  <si>
    <t>21-6310(a)(3)</t>
  </si>
  <si>
    <t>Unlawful Hosting; Minors consuming alcoholic liquor or cereal malt beverage; recklessly permitting a person's residence, land, building, structure or room owned, occupied or procured by such person to be used in such a manner that results in the possession or consumption of alcoholic liquor or cereal malt beverages by a minor</t>
  </si>
  <si>
    <t>21-5608(a)</t>
  </si>
  <si>
    <t>Unlawful Interference with a Firefighter; Knowingly interfering while firefighter is engaged in performance of duties</t>
  </si>
  <si>
    <t>21-6325(a)(1)</t>
  </si>
  <si>
    <t>Unlawful Interference with a Firefighter; Knowingly obstructing, interfering with or impeding the efforts of firefighter to reach the location of fire or other emergency</t>
  </si>
  <si>
    <t>21-6325(a)(2)</t>
  </si>
  <si>
    <t>Unlawful Interference with EMS Attendant; Knowingly interfere while attendant is engaged in performance of duties</t>
  </si>
  <si>
    <t>21-6326(a)(1)</t>
  </si>
  <si>
    <t>Unlawful Interference with EMS Attendant; Knowingly obstruct, interfere with or impede efforts of attendant to reach location of the emergency</t>
  </si>
  <si>
    <t>21-6326(a)(2)</t>
  </si>
  <si>
    <t>Unlawful Manufacture or Disposal of False Tokens</t>
  </si>
  <si>
    <t>21-5829(a)</t>
  </si>
  <si>
    <t>Unlawful Possession of a Traffic Control Preemption Device</t>
  </si>
  <si>
    <t>21-6324(a)(1)</t>
  </si>
  <si>
    <t>Unlawful possession of a visual depiction of a child; Knowingly possession a visual depiction of a child 12 years of age or older but less than 16 years of age in a state of nudity, if committed by a person less than 19 years of age, and the possessor of such visual depiction received such directly and exclusively from the child who is the subject of such visual depiction.</t>
  </si>
  <si>
    <t>21-5610(a)</t>
  </si>
  <si>
    <t>Unlawful Possession/Use of Reencoder; With intent to defraud, having possession of or using a reencoder to place encoded information on the a computer chip or magnetic strip or stripe of a payment card or any electronic medium that allows an authorized transaction to occur</t>
  </si>
  <si>
    <t>21-6108(a)(2)</t>
  </si>
  <si>
    <t>Unlawful Possession/Use of Scanning Device; With intent to defraud, having possession of or using a scanning device to access, read, obtain, memorize or store, either temporarily or permanently, information encoded on a computer chip or magnetic strip or stripe of a payment card</t>
  </si>
  <si>
    <t>21-6108(a)(1)</t>
  </si>
  <si>
    <t>Unlawful Posting of Political Pictures and Political Advertisements</t>
  </si>
  <si>
    <t>21-5820(a)</t>
  </si>
  <si>
    <t>Unlawful Public Demonstration at a Funeral; Engaging in public demonstration within 150 feet of any entrance to cemetery, church, mortuary or other funeral location, within one hour prior to scheduled commencement of funeral, during funeral or within 2 hours following completion of funeral</t>
  </si>
  <si>
    <t>21-6106(a)(1)</t>
  </si>
  <si>
    <t>Unlawful Public Demonstration at a Funeral; Knowingly impede vehicles which are part of a funeral procession</t>
  </si>
  <si>
    <t>21-6106(a)(3)</t>
  </si>
  <si>
    <t>Unlawful Public Demonstration at a Funeral; Knowingly obstruct, hinder, impede or block another person's entry to or exit from a funeral</t>
  </si>
  <si>
    <t>21-6106(a)(2)</t>
  </si>
  <si>
    <t>Unlawful Sexual Relations; Consensual; between Community Correctional Officer or contract employee and person 16 or older and under supervision</t>
  </si>
  <si>
    <t>21-5512(a)(11)</t>
  </si>
  <si>
    <t>Unlawful Sexual Relations; Consensual; between Court Services Officer or contract employee and person 16 or older and under supervision</t>
  </si>
  <si>
    <t>21-5512(a)(10)</t>
  </si>
  <si>
    <t>Unlawful Sexual Relations; Consensual; between JJA staff or contract staff and inmate 16 or older</t>
  </si>
  <si>
    <t>21-5512(a)(5)</t>
  </si>
  <si>
    <t>Unlawful Sexual Relations; Consensual; between JJA staff or contract staff and person 16 or older who has been placed in the custody of JJA under the supervision or control of JJA or a juvenile community supervision agency and offender has knowledge person is currently under supervision</t>
  </si>
  <si>
    <t>21-5512(a)(6)(A)(ii) and (B)</t>
  </si>
  <si>
    <t>Unlawful Sexual Relations; Consensual; between JJA staff or contract staff and person 16 or older who has been under conditional release supervision of JJA or a juvenile community supervision agency and offender has knowledge person is currently under supervision</t>
  </si>
  <si>
    <t>21-5512(a)(6)(A)(i) and (B)</t>
  </si>
  <si>
    <t>Unlawful Sexual Relations; Consensual; between KDOC staff, volunteer or contract staff and inmate 16 or older</t>
  </si>
  <si>
    <t>21-5512(a)(1)</t>
  </si>
  <si>
    <t>Unlawful Sexual Relations; Consensual; between LEO, jail staff or contract staff and inmate 16 or older</t>
  </si>
  <si>
    <t>21-5512(a)(3)</t>
  </si>
  <si>
    <t>Unlawful Sexual Relations; Consensual; between LEO, Juvenile Detention officer or contract staff and inmate 16 or older</t>
  </si>
  <si>
    <t>21-5512(a)(4)</t>
  </si>
  <si>
    <t>Unlawful Sexual Relations; Consensual; between parole officer, volunteer or contract staff and a person 16 or older who is an inmate or person under supervision</t>
  </si>
  <si>
    <t>21-5512(a)(2)</t>
  </si>
  <si>
    <t>Unlawful Sexual Relations; Consensual; between person in a position of authority in family foster home licensed by KDHE and person 16 or older who is a foster child in the home</t>
  </si>
  <si>
    <t>21-5512(a)(8)</t>
  </si>
  <si>
    <t>Unlawful Sexual Relations; Consensual; between SRS staff or contract staff and patient 16 or older</t>
  </si>
  <si>
    <t>21-5512(a)(7)</t>
  </si>
  <si>
    <t>Unlawful Sexual Relations; Consensual; between teacher/other person in authority and student 16 or older</t>
  </si>
  <si>
    <t>21-5512(a)(9)</t>
  </si>
  <si>
    <t>Unlawful transmission of a visual depiction of a child; Knowingly transmitting a visual depiction of a child 12 or more years of age but less than 18 years of age in a state of nudity when the offender is less than 19 years of age.</t>
  </si>
  <si>
    <t>21-5611(a)</t>
  </si>
  <si>
    <t>Unlawful transmission of a visual depiction of a child; Knowingly transmitting a visual depiction of a child 12 or more years of age but less than 18 years of age in a state of nudity when the offender is less than 19 years of age; 2nd or subsequent</t>
  </si>
  <si>
    <t>Unlawful Use of Recordings; Distributing or possessing with intent to distribute any item in (a)(1) knowing the item was illegally produced; less than 7 audio visual recordings or fewer than 100 sound recordings within 180 days</t>
  </si>
  <si>
    <t>21-5806(a)(2)</t>
  </si>
  <si>
    <t>Unlawful Use of Recordings; Distributing or possessing with intent to distribute any item in K.S.A. 2011 Supp. 21-5806(a)(1) knowing the item was illegally produced; at least 7 or more audio/visual or 100 or more sound recordings within 180 days</t>
  </si>
  <si>
    <t>Unlawful Use of Recordings; Knowingly selling, renting, possessing, transporting or manufacturing an item in which sounds or images may be stored unless outside cover, box or jacket discloses manufacturer; at least 7 or more audio/visual or 100 or more sound recordings within 180 days</t>
  </si>
  <si>
    <t>21-5806(a)(4)</t>
  </si>
  <si>
    <t>Unlawful Use of Recordings; Knowingly selling, renting, possessing, transporting or manufacturing an item in which sounds or images may be stored unless outside cover, box or jacket discloses manufacturer; less than 7 audio visual recordings or fewer than 100 sound recordings within 180 days</t>
  </si>
  <si>
    <t>Unlawful Use of Recordings; Piracy of recordings; knowingly and without consent duplicating sound recordings with intent to sell, rent or cause to be sold or rented or given away as part of a promotion</t>
  </si>
  <si>
    <t>21-5806(a)(1)</t>
  </si>
  <si>
    <t>Unlawful Use of Recordings; Possessing any article produced in violation of (a)(1) knowing that it was produced illegally</t>
  </si>
  <si>
    <t>21-5806(a)(3)</t>
  </si>
  <si>
    <t>Unlawful Use of State Postage</t>
  </si>
  <si>
    <t>21-6006(a)</t>
  </si>
  <si>
    <t>Unlawful Voluntary Sexual Relations; Lewd fondling/touching of a child 14 or 15 by a person less than 19 and less than four yrs older than the child</t>
  </si>
  <si>
    <t>21-5507(a)(1)(C)</t>
  </si>
  <si>
    <t>Unlawful Voluntary Sexual Relations; Sexual intercourse between a child 14 or 15 and a person less than 19 and less than four yrs older than the child</t>
  </si>
  <si>
    <t>21-5507(a)(1)(A)</t>
  </si>
  <si>
    <t>Unlawful Voluntary Sexual Relations; Sodomy between a child 14 or 15 and a person less than 19 and less than four yrs older than the child</t>
  </si>
  <si>
    <t>21-5507(a)(1)(B)</t>
  </si>
  <si>
    <t>Vehicular Homicide; Killing by operation of a vehicle in a manner which creates an unreasonable risk of injury and which constitutes a material deviation from the reasonable standard of care</t>
  </si>
  <si>
    <t>21-5406(a)</t>
  </si>
  <si>
    <t>Veterinary Practice Act; Unlawful operation or management of veterinary premises</t>
  </si>
  <si>
    <t>47-834(b)</t>
  </si>
  <si>
    <t>Veterinary Practice Act; Unlawful practice of veterinary medicine</t>
  </si>
  <si>
    <t>47-834(a)</t>
  </si>
  <si>
    <t>Viatical Settlements Act; Violation of Act; contract is $25,000 or more</t>
  </si>
  <si>
    <t>40-5013</t>
  </si>
  <si>
    <t>Viatical Settlements Act; Violation of Act; contract is at least $1,000 but less than $25,000</t>
  </si>
  <si>
    <t>Viatical Settlements Act; Violation of act; contract is less than $1,000</t>
  </si>
  <si>
    <t>Viatical Settlements Act; Violation of Act; contract is less than $1,000 but committed by a person who has been convicted of this crime two or more times within 5 yrs preceding the commission of this crime</t>
  </si>
  <si>
    <t>Vital Records; Identity Fraud; Make, counterfeit, alter, amend or mutilate any certified copy of a vital record without lawful authority and with intent to deceive</t>
  </si>
  <si>
    <t>21-5918(b)(2)</t>
  </si>
  <si>
    <t>Vital Records; Identity Fraud; Obtain, possess, use, sell or furnish or attempt to obtain, possess or furnish to another a certified copy of a vital record with the intent to deceive</t>
  </si>
  <si>
    <t>21-5918(b)(3)</t>
  </si>
  <si>
    <t>Vital Records; Identity Fraud; Supply false information to obtain a certified copy of a vital record</t>
  </si>
  <si>
    <t>21-5918(b)(1)</t>
  </si>
  <si>
    <t>Voluntary Manslaughter; Knowingly killing upon sudden quarrel or in heat of passion</t>
  </si>
  <si>
    <t>21-5404(a)(1)</t>
  </si>
  <si>
    <t>Voluntary Manslaughter; Knowingly killing upon unreasonable but honest belief that use of deadly force was justified</t>
  </si>
  <si>
    <t>21-5404(a)(2)</t>
  </si>
  <si>
    <t>Warehouse Receipt Fraud; Make, draw, issue or deliver; a duplicate or additional negotiable receipt for goods with knowledge that a former negotiable receipt for the same goods or any part thereof is outstanding and uncanceled, without plainly placing "duplicate" on the face thereof</t>
  </si>
  <si>
    <t>21-5831(a)(3)</t>
  </si>
  <si>
    <t>Warehouse Receipt Fraud; Make, draw, issue or deliver; a negotiable receipt for good with knowledge that the receipt contains a false statement</t>
  </si>
  <si>
    <t>21-5831(a)(2)</t>
  </si>
  <si>
    <t>Warehouse Receipt Fraud; Make, draw, issue or deliver; a negotiable receipt for goods with knowledge that the goods have not actually been received</t>
  </si>
  <si>
    <t>21-5831(a)(1)</t>
  </si>
  <si>
    <t>Warehouses; Warehouse Receipts; warehousemen; penalty for violation of act</t>
  </si>
  <si>
    <t>82-170</t>
  </si>
  <si>
    <t>Water Conditioning Contractors Act; Engage in business in Kansas without insurance and bond as required</t>
  </si>
  <si>
    <t>12-3602(c)</t>
  </si>
  <si>
    <t>Water Conditioning Contractors Act; Engage in business without registration</t>
  </si>
  <si>
    <t>12-3602(a)</t>
  </si>
  <si>
    <t>Water Supply and Distribution Districts; Fraudulent claims less than $1000</t>
  </si>
  <si>
    <t>19-3519(b)(1)</t>
  </si>
  <si>
    <t>Waters &amp; Watercourses; Appropriation of Water for Beneficial Use; file water use report or other documents required knowing it to contain any false information as to a material matter</t>
  </si>
  <si>
    <t>82a-732(b)</t>
  </si>
  <si>
    <t>Waters &amp; Watercourses; Appropriation of Water for Beneficial Use; unauthorized appropriation of water</t>
  </si>
  <si>
    <t>82a-728(a)</t>
  </si>
  <si>
    <t>Waters &amp; Watercourses; Conduct a weather modification activity without license and permit; knowingly make a false statement in an application for a license or permit; fail to file any report or reports as required; conduct any weather modification activity after a license is revoked or a permit is denied, revoked, modified or temporarily suspended; violation of any other provisions of this act</t>
  </si>
  <si>
    <t>82a-1423</t>
  </si>
  <si>
    <t>Waters &amp; Watercourses; Groundwater Exploration &amp; Protection; penalty for violations of act</t>
  </si>
  <si>
    <t>82a-1214</t>
  </si>
  <si>
    <t>Waters &amp; Watercourses; Obstructions in Streams; penalty for violation of act</t>
  </si>
  <si>
    <t>82a-305a</t>
  </si>
  <si>
    <t>Weeds; Bringing certain machinery into the state without freeing equipment from weed seed and litter</t>
  </si>
  <si>
    <t>2-1327(1)</t>
  </si>
  <si>
    <t>Weeds; Moving certain machines from a field/farm infested with any noxious weed without freeing equipment of all weed seed and litter</t>
  </si>
  <si>
    <t>2-1327(2)</t>
  </si>
  <si>
    <t>Weeds; Unlawful disposal of nursery stock, plants, packing materials, animal fertilizer and soil or sod for landscaping or fertilizer uses containing or infested with noxious weed plant material or seeds</t>
  </si>
  <si>
    <t>2-1326</t>
  </si>
  <si>
    <t>Weeds; Unlawful disposal of screening or offal material containing noxious weed seeds</t>
  </si>
  <si>
    <t>2-1325</t>
  </si>
  <si>
    <t>Weeds; Unlawful feeding of unprocessed livestock feed material</t>
  </si>
  <si>
    <t>2-1329</t>
  </si>
  <si>
    <t>Weeds; Unlawful sale of unprocessed, infested livestock feed material</t>
  </si>
  <si>
    <t>2-1328</t>
  </si>
  <si>
    <t>Weights &amp; Measures; Dispensing Devices; violate or fail to comply with any of the provisions of K.S.A. 83-401 through 83-410</t>
  </si>
  <si>
    <t>83-410</t>
  </si>
  <si>
    <t>Weights &amp; Measures; Fail to comply with requirements pertaining to scale ticket or written record relating to weights</t>
  </si>
  <si>
    <t>83-155</t>
  </si>
  <si>
    <t>Weights &amp; Measures; Falsely making or altering scale ticket or other written records</t>
  </si>
  <si>
    <t>83-154</t>
  </si>
  <si>
    <t>Weights &amp; Measures; Scales; Violate or fail to comply with any of the provisions of K.S.A. 83-301 through 83-311 and K.S.A. 83-321 through 83-325</t>
  </si>
  <si>
    <t>83-311</t>
  </si>
  <si>
    <t>Weights &amp; Measures; Standards &amp; Enforcement; interfere with an inspection; fail to produce, upon demand, all weights, measures, balances or measuring devices for use in manufacture or trade</t>
  </si>
  <si>
    <t>83-208</t>
  </si>
  <si>
    <t>Weights &amp; Measures; Standards &amp; Enforcement; violation of any of the provisions of article 2 of chapter 83 of the Kansas Statutes Annotated</t>
  </si>
  <si>
    <t>83-220</t>
  </si>
  <si>
    <t>Weights &amp; Measures; Violation of any of the provisions of article 1 of chapter 83 of the Kansas Statutes Annotated</t>
  </si>
  <si>
    <t>83-149</t>
  </si>
  <si>
    <t>Wildlife Parks &amp; Tourism; 2nd conviction for obstruction or impeding of lawful activities</t>
  </si>
  <si>
    <t>32-1034(a)</t>
  </si>
  <si>
    <t>Wildlife Parks &amp; Tourism; Cause to be shipped within, from or into this state any illegally taken or possessed wildlife</t>
  </si>
  <si>
    <t>32-1004(a)(5)</t>
  </si>
  <si>
    <t>Wildlife Parks &amp; Tourism; Commercialization of wildlife; value less than $1,000</t>
  </si>
  <si>
    <t>32-1005(d)</t>
  </si>
  <si>
    <t>Wildlife Parks &amp; Tourism; Destroy any muskrat house, beaver dam, mink run or any hole, den or runway of any furbearing animal, or cut down or destroy any tree that is the home, habitat or refuge of any furbearing animal</t>
  </si>
  <si>
    <t>32-1015(a)(1)</t>
  </si>
  <si>
    <t>Wildlife Parks &amp; Tourism; Do any act or engage in any activity within any state park, state lake, recreational ground, wildlife area or sanctuary, natural area or other area under the control of the secretary which is in violation of or contrary to law or rules and regulations of the secretary</t>
  </si>
  <si>
    <t>32-1015(a)(3)</t>
  </si>
  <si>
    <t>Wildlife Parks &amp; Tourism; Fail to carry card or other evidence required pursuant to K.S.A. 32-980 while participating or engaging in fishing or hunting</t>
  </si>
  <si>
    <t>32-1001(a)(4)(A)</t>
  </si>
  <si>
    <t>Wildlife Parks &amp; Tourism; Failure to carry license, stamp or permit on person</t>
  </si>
  <si>
    <t>32-1001(a)(2)</t>
  </si>
  <si>
    <t>Wildlife Parks &amp; Tourism; Failure to Comply with a Citation</t>
  </si>
  <si>
    <t>32-1049a(a)</t>
  </si>
  <si>
    <t>Wildlife Parks &amp; Tourism; Falsely obtaining or using a physical disability, crossbow permit</t>
  </si>
  <si>
    <t>32-932(c)</t>
  </si>
  <si>
    <t>Wildlife Parks &amp; Tourism; Falsely obtaining or using a physical or visual disability, assistance permit</t>
  </si>
  <si>
    <t>32-933(c)</t>
  </si>
  <si>
    <t>Wildlife Parks &amp; Tourism; First or Second violation of Wildlife Parks &amp; Tourism Laws or rules and regulations of the Secretary</t>
  </si>
  <si>
    <t>32-1032(a)(1)</t>
  </si>
  <si>
    <t>Wildlife Parks &amp; Tourism; Fish by placing in or upon any lake, pond, river, creek, stream or any other water, bordering on or within the state of Kansas, any deleterious substance or fishberries</t>
  </si>
  <si>
    <t>32-1003(a)(5)</t>
  </si>
  <si>
    <t>Wildlife Parks &amp; Tourism; Fishing licenses required</t>
  </si>
  <si>
    <t>32-906</t>
  </si>
  <si>
    <t>Wildlife Parks &amp; Tourism; Fur harvester license required</t>
  </si>
  <si>
    <t>32-911</t>
  </si>
  <si>
    <t>Wildlife Parks &amp; Tourism; Hunt deer or elk in an area where a firearms season for the taking of deer or elk is occurring without wearing appropriate protective clothing as prescribed by rules and regulations adopted by the secretary pursuant to K.S.A. 32-805</t>
  </si>
  <si>
    <t>32-1015(a)(2)</t>
  </si>
  <si>
    <t>Wildlife Parks &amp; Tourism; Hunter education; certificate of completion</t>
  </si>
  <si>
    <t>32-920</t>
  </si>
  <si>
    <t>Wildlife Parks &amp; Tourism; Intentionally import into this state, or possess or release in this state, any species of wildlife prohibited pursuant to K.S.A. 32-956</t>
  </si>
  <si>
    <t>32-1004(a)(6)</t>
  </si>
  <si>
    <t>Wildlife Parks &amp; Tourism; Making false statement to secure license, stamp or permit</t>
  </si>
  <si>
    <t>32-1001(a)(5)</t>
  </si>
  <si>
    <t>Wildlife Parks &amp; Tourism; Obstruction or impeding of lawful activities</t>
  </si>
  <si>
    <t>32-1014(a)</t>
  </si>
  <si>
    <t>Wildlife Parks &amp; Tourism; Participate in activity requiring license, stamp or permit without having such</t>
  </si>
  <si>
    <t>32-1001(a)(1)</t>
  </si>
  <si>
    <t>Wildlife Parks &amp; Tourism; Penalty for Big game and wild turkey violations</t>
  </si>
  <si>
    <t>32-1032(a)</t>
  </si>
  <si>
    <t>Wildlife Parks &amp; Tourism; Penalty for Big game and wild turkey violations; 3rd conviction</t>
  </si>
  <si>
    <t>32-1032(a)(2)</t>
  </si>
  <si>
    <t>Wildlife Parks &amp; Tourism; Penalty for Big game and wild turkey violations; 4th conviction</t>
  </si>
  <si>
    <t>32-1032(a)(3)</t>
  </si>
  <si>
    <t>Wildlife Parks &amp; Tourism; Penalty for Big game and wild turkey violations; 5th or subs. conviction</t>
  </si>
  <si>
    <t>32-1032(a)(4)</t>
  </si>
  <si>
    <t>Wildlife Parks &amp; Tourism; Place or explode any dynamite, giant powder, lime, nitroglycerine or any other explosive of any character or kind in any waters of the state of Kansas with the intent to take or stun fish</t>
  </si>
  <si>
    <t>32-1003(a)(6)</t>
  </si>
  <si>
    <t>Wildlife Parks &amp; Tourism; Place, erect, or cause such, any seine, screen, net, weir, fish dam or other obstruction in or across any of the waters, rivers, creeks, ponds, streams, sloughs or other watercourses within the jurisdiction of this state so as to obstruct free passage of fish up, down and through such watercourses</t>
  </si>
  <si>
    <t>32-1015(a)(6)</t>
  </si>
  <si>
    <t>Wildlife Parks &amp; Tourism; Possess a carcass of a big game animal or wild turkey, taken within this state, unless a check station tag, if required and issued by the secretary, is attached to it, in accordance with rules and regulations adopted by the secretary.</t>
  </si>
  <si>
    <t>32-1004(a)(3)</t>
  </si>
  <si>
    <t>Wildlife Parks &amp; Tourism; Possess a carcass of a big game animal, taken within this state, unless a carcass tag, issued by the secretary, is attached to it, in accordance with rules and regulations adopted by the secretary.</t>
  </si>
  <si>
    <t>32-1004(a)(1)</t>
  </si>
  <si>
    <t>Wildlife Parks &amp; Tourism; Possess a carcass of a wild turkey, taken within this state, unless a carcass tag, if required and issued by the secretary, is attached to it, in accordance with rules and regulations adopted by the secretary.</t>
  </si>
  <si>
    <t>32-1004(a)(2)</t>
  </si>
  <si>
    <t>Wildlife Parks &amp; Tourism; Possess any wildlife unlawfully killed or otherwise unlawfully taken outside this state</t>
  </si>
  <si>
    <t>32-1004(a)(4)</t>
  </si>
  <si>
    <t>Wildlife Parks &amp; Tourism; Provide or receive information concerning the location of any game animal or furbearing animal by radio or other mechanical device for purposes of taking such bird or animal</t>
  </si>
  <si>
    <t>32-1003(a)(2)</t>
  </si>
  <si>
    <t>Wildlife Parks &amp; Tourism; Public display of coyote carcasses</t>
  </si>
  <si>
    <t>32-1007(a)</t>
  </si>
  <si>
    <t>Wildlife Parks &amp; Tourism; Refuse to allow any conservation officer, deputy conservation officer or any law enforcement officer to inspect and count any wildlife in such person's possession</t>
  </si>
  <si>
    <t>32-1004(a)(7)</t>
  </si>
  <si>
    <t>Wildlife Parks &amp; Tourism; Refuse to allow any conservation officer, deputy conservation officer or law enforcement officer to inspect any devices or facilities used in taking, possessing, transporting, storing or processing any wildlife subject to the wildlife and parks &amp; tourism laws of this state or rules and regulations of the secretary</t>
  </si>
  <si>
    <t>32-1004(a)(8)</t>
  </si>
  <si>
    <t>Wildlife Parks &amp; Tourism; Refuse to allow examination of license, stamp or permit</t>
  </si>
  <si>
    <t>32-1001(a)(3)</t>
  </si>
  <si>
    <t>Wildlife Parks &amp; Tourism; Refuse to allow inspection of card or other evidence required pursuant to K.S.A. 32-980 while participating or engaging in fishing or hunting</t>
  </si>
  <si>
    <t>32-1001(a)(4)(B)</t>
  </si>
  <si>
    <t>Wildlife Parks &amp; Tourism; Remove fish from a private water fishing impoundment without consent</t>
  </si>
  <si>
    <t>32-1015(a)(5)</t>
  </si>
  <si>
    <t>Wildlife Parks &amp; Tourism; Take, buy, sell or offer to sell any migratory bird or birds in Kansas unless authorized/permitted by federal regulations provided by the migratory bird treaty act</t>
  </si>
  <si>
    <t>32-1008(b)</t>
  </si>
  <si>
    <t>Wildlife Parks &amp; Tourism; Take, buy, sell or offer to sell any migratory waterfowl in Kansas unless authorized or permitted by 16 U.S.C.A. § 718a</t>
  </si>
  <si>
    <t>32-1008(c)</t>
  </si>
  <si>
    <t>Wildlife Parks &amp; Tourism; Take, possess, transport, export, process, sell or offer for sale or ship nongame species deemed to be in need of conservation pursuant to K.S.A. 32-959; unlawful for any common carrier knowingly to transport or receive for shipment such nongame species</t>
  </si>
  <si>
    <t>32-1009</t>
  </si>
  <si>
    <t>Wildlife Parks &amp; Tourism; Taking any game animal or furbearing animal from a motorboat, airplane, motor vehicle or other water, air or land vehicle unless holding a valid handicapped hunting and fishing permit issued pursuant to K.S.A. 32-931</t>
  </si>
  <si>
    <t>32-1003(a)(1)</t>
  </si>
  <si>
    <t>Wildlife Parks &amp; Tourism; Taking wildlife without permission on land posted "by written permission only"</t>
  </si>
  <si>
    <t>32-1013(a)</t>
  </si>
  <si>
    <t>Wildlife Parks &amp; Tourism; Throw or cast the rays of a spotlight, headlight or other artificial light on any highway, roadway, field, grassland, woodland or forest for the purpose of spotting, locating or taking any wildlife while having in possession or control, either singly or as one of a group of persons, any rifle, pistol, shotgun, bow or other implement whereby wildlife could be taken</t>
  </si>
  <si>
    <t>32-1003(a)(7)</t>
  </si>
  <si>
    <t>Wildlife Parks &amp; Tourism; Unauthorized hunting, fishing, fur harvesting or taking any wildlife in this state</t>
  </si>
  <si>
    <t>32-1002(a)(1)</t>
  </si>
  <si>
    <t>Wildlife Parks &amp; Tourism; Unauthorized possession of any seine, trammel net, hoop net, fyke net, fish gig, fish spear, fish trap or other device, contrivance or material for the purpose of taking wildlife</t>
  </si>
  <si>
    <t>32-1002(a)(5)</t>
  </si>
  <si>
    <t>Wildlife Parks &amp; Tourism; Unauthorized possession of, any wildlife, dead or alive, at any time or in any number, in this state</t>
  </si>
  <si>
    <t>32-1002(a)(2)</t>
  </si>
  <si>
    <t>Wildlife Parks &amp; Tourism; Unauthorized purchase, sell, exchange, ship or offer for sale, exchange or shipment any wildlife in this state</t>
  </si>
  <si>
    <t>32-1002(a)(3)</t>
  </si>
  <si>
    <t>Wildlife Parks &amp; Tourism; Unauthorized taking of any wildlife in this state for sale, exchange or other commercial purposes</t>
  </si>
  <si>
    <t>32-1002(a)(4)</t>
  </si>
  <si>
    <t>Wildlife Parks &amp; Tourism; Unauthorized taking or using, at any time or in any manner, any game bird, game animal, coyote or furbearing animal, whether pen-raised or wild, in any field trial or for training dogs</t>
  </si>
  <si>
    <t>32-1002(a)(6)</t>
  </si>
  <si>
    <t>Wildlife Parks &amp; Tourism; Unauthorized use of poison, poisonous gas, smoke or ferrets, or any smoke gun or other device for forcing smoke or any other asphyxiating or deadly gas or liquid into the holes, dens, runways or houses of wildlife</t>
  </si>
  <si>
    <t>32-1003(a)(4)</t>
  </si>
  <si>
    <t>Wildlife Parks &amp; Tourism; Unauthorized use of sodium fluoroacetate, commonly called formula 1080</t>
  </si>
  <si>
    <t>32-1003(a)(3)</t>
  </si>
  <si>
    <t>Wildlife Parks &amp; Tourism; Unlawful taking of a threatened species</t>
  </si>
  <si>
    <t>32-1010</t>
  </si>
  <si>
    <t>Wildlife Parks &amp; Tourism; Unlawful taking of an endangered species</t>
  </si>
  <si>
    <t>32-1011</t>
  </si>
  <si>
    <t>Wildlife Parks &amp; Tourism; Unlawful taking of coyotes, moles, gophers</t>
  </si>
  <si>
    <t>32-1006(b)</t>
  </si>
  <si>
    <t>Wildlife Parks &amp; Tourism; Unlawful taking of endangered species</t>
  </si>
  <si>
    <t>32-1033</t>
  </si>
  <si>
    <t>Wildlife Parks &amp; Tourism; Use any manner or means of taking fish which may escape from a private water fishing impoundment and kill or endanger fish in another such impoundment or in public waters</t>
  </si>
  <si>
    <t>32-1015(a)(4)</t>
  </si>
  <si>
    <t>Wildlife Violator Compact; Knowingly hunt, fish, trap, possess, or transport wildlife in violation of Act</t>
  </si>
  <si>
    <t>32-1063(a)</t>
  </si>
  <si>
    <t>Wildlife Violator Compact; Knowingly purchase or possess a license to fish, trap, hunt possess or transport wildlife in violation of Act</t>
  </si>
  <si>
    <t>32-1063(b)</t>
  </si>
  <si>
    <t>Witnesses; Disobey subpoena, or refuse to answer any proper question propounded by the attorney general, assistant attorney general, or county attorney, at inquiry</t>
  </si>
  <si>
    <t>60-1208(a)</t>
  </si>
  <si>
    <t>Worker's Comp. Fraud; Amount received as a benefit, less than $1,000</t>
  </si>
  <si>
    <t>44-5,125(a)(1)(i)</t>
  </si>
  <si>
    <t>Worker's Comp. Fraud; Attempt to Gain Benefits; conspire with another person to commit any act described by paragraph (1) of this subsection (a); $1,000 to $25,000</t>
  </si>
  <si>
    <t>44-5,125(a)(1)(E)</t>
  </si>
  <si>
    <t>Worker's Comp. Fraud; Attempt to Gain Benefits; conspire with another person to commit any act described by paragraph (1) of this subsection (a); $100,000 or more</t>
  </si>
  <si>
    <t>Worker's Comp. Fraud; Attempt to Gain Benefits; conspire with another person to commit any act described by paragraph (1) of this subsection (a); $25,000 to $50,000</t>
  </si>
  <si>
    <t>Worker's Comp. Fraud; Attempt to Gain Benefits; conspire with another person to commit any act described by paragraph (1) of this subsection (a); $50,000 to $100,000</t>
  </si>
  <si>
    <t>Worker's Comp. Fraud; Attempt to Gain Benefits; fabricate, alter, conceal or destroy a document; $100,000 or more</t>
  </si>
  <si>
    <t>44-5,125(a)(1)(C)</t>
  </si>
  <si>
    <t>Worker's Comp. Fraud; Attempt to Gain Benefits; fabricate, alter, conceal or destroy a document; $1000 to $25,000</t>
  </si>
  <si>
    <t>Worker's Comp. Fraud; Attempt to Gain Benefits; fabricate, alter, conceal or destroy a document; $25,000 to $50,000</t>
  </si>
  <si>
    <t>Worker's Comp. Fraud; Attempt to Gain Benefits; fabricate, alter, conceal or destroy a document; $50,000 to $100,000</t>
  </si>
  <si>
    <t>Worker's Comp. Fraud; Attempt to Gain Benefits; false or misleading statement; $1,000 to $25,000</t>
  </si>
  <si>
    <t>44-5,125(a)(1)(A)</t>
  </si>
  <si>
    <t>Worker's Comp. Fraud; Attempt to Gain Benefits; false or misleading statement; $100,000 or more</t>
  </si>
  <si>
    <t>Worker's Comp. Fraud; Attempt to Gain Benefits; false or misleading statement; $25,000 to $50,000</t>
  </si>
  <si>
    <t>Worker's Comp. Fraud; Attempt to Gain Benefits; false or misleading statement; $50,000 to $100,000</t>
  </si>
  <si>
    <t>Worker's Comp. Fraud; Attempt to Gain Benefits; misrepresent/conceal a material fact; $1,000 to $25,000</t>
  </si>
  <si>
    <t>44-5,125(a)(1)(B)</t>
  </si>
  <si>
    <t>Worker's Comp. Fraud; Attempt to Gain Benefits; misrepresent/conceal a material fact; $100,000 or more</t>
  </si>
  <si>
    <t>Worker's Comp. Fraud; Attempt to Gain Benefits; misrepresent/conceal a material fact; $25,000 to $50,000</t>
  </si>
  <si>
    <t>Worker's Comp. Fraud; Attempt to Gain Benefits; misrepresent/conceal a material fact; $50,000 to $100,000</t>
  </si>
  <si>
    <t>Worker's Comp. Fraud; Attempt to Gain Benefits; receive temporary total disability benefits or permanent total disability benefits, not entitled to, while employed; $1,000 to $25,000</t>
  </si>
  <si>
    <t>44-5,125(a)(1)(D)</t>
  </si>
  <si>
    <t>Worker's Comp. Fraud; Attempt to Gain Benefits; receive temporary total disability benefits or permanent total disability benefits, not entitled to, while employed; $100,000 or more</t>
  </si>
  <si>
    <t>Worker's Comp. Fraud; Attempt to Gain Benefits; receive temporary total disability benefits or permanent total disability benefits, not entitled to, while employed; $25,000 to $50,000</t>
  </si>
  <si>
    <t>Worker's Comp. Fraud; Attempt to Gain Benefits; receive temporary total disability benefits or permanent total disability benefits, not entitled to, while employed; $50,000 to $100,000</t>
  </si>
  <si>
    <t>Worker's Comp. Fraud; Attempt to Obtain Better Premium than Entitled; conspire with another person or persons to commit the acts described in clause (1), (2) or (3)</t>
  </si>
  <si>
    <t>44-5,125(d)(4)</t>
  </si>
  <si>
    <t>Worker's Comp. Fraud; Attempt to Obtain Better Premium than Entitled; fabricate, conceal or destroy a document</t>
  </si>
  <si>
    <t>44-5,125(d)(3)</t>
  </si>
  <si>
    <t>Worker's Comp. Fraud; Attempt to Obtain Better Premium than Entitled; false or misleading statement</t>
  </si>
  <si>
    <t>44-5,125(d)(1)</t>
  </si>
  <si>
    <t>Worker's Comp. Fraud; Attempt to Obtain Better Premium than Entitled; misrepresent/conceal a material fact</t>
  </si>
  <si>
    <t>44-5,125(d)(2)</t>
  </si>
  <si>
    <t>Worker's Comp. Fraud; Health Care Worker; submit claim for care not provided</t>
  </si>
  <si>
    <t>44-5,125(c)</t>
  </si>
  <si>
    <t>Worker's Comp. Fraud; Submit false claim that worker is covered by act</t>
  </si>
  <si>
    <t>44-5,125(b)</t>
  </si>
  <si>
    <t>Worker's Compensation; Knowing and intentional failure of an employer to secure the payment of workers compensation to the employer's employees as required</t>
  </si>
  <si>
    <t>44-532(b)</t>
  </si>
  <si>
    <t>Eligibility for Expungement</t>
  </si>
  <si>
    <t>Severity Level/Class (Max)</t>
  </si>
  <si>
    <t>Severity Level/Class (Min)</t>
  </si>
  <si>
    <t>Accountants</t>
  </si>
  <si>
    <t>Child Abandonment</t>
  </si>
  <si>
    <t>Abortion</t>
  </si>
  <si>
    <t>Abuse of a Child</t>
  </si>
  <si>
    <t>Addiction Counselor Services</t>
  </si>
  <si>
    <t>Adding Dockage or Foreign Material to Grain</t>
  </si>
  <si>
    <t>Adoption Services</t>
  </si>
  <si>
    <t>Adult Care Home Services</t>
  </si>
  <si>
    <t>Adultery</t>
  </si>
  <si>
    <t>Aggravated Child Abandonment</t>
  </si>
  <si>
    <t>Aggravated Arson (No Substantial Risk of Bodily Harm)</t>
  </si>
  <si>
    <t>Aggravated Arson (Substantial Risk of Bodily Harm or Harm to Firefighter or Law Enforcement)</t>
  </si>
  <si>
    <t>Aggravated Assault</t>
  </si>
  <si>
    <t>Aggravated Battery (Knowingly Causing Bodily Harm Using Motor Vehicle; Against Attorney, Judge, or Law Enforcement)</t>
  </si>
  <si>
    <t>Aggravated Battery (Knowingly Causing Great Bodily Harm; Against Attorney, Judge, or Law Enforcement)</t>
  </si>
  <si>
    <t>Aggravated Battery (Knowingly Causing Bodily Harm or Physical Contact Where Great Bodily Harm Could Result; Against Attorney, Judge, or Law Enforcement)</t>
  </si>
  <si>
    <t>Aggravated Battery (Knowingly Causing Great Bodily Harm)</t>
  </si>
  <si>
    <t>Aggravated Battery (Recklessly; Against Attorney, Judge, or Law Enforcement)</t>
  </si>
  <si>
    <t>Aggravated Battery (Recklessly Causing Great Bodily Harm, or DUI Resulting in Great Bodily Harm)</t>
  </si>
  <si>
    <t>Aggravated Battery (All Other Instances)</t>
  </si>
  <si>
    <t>Aggravated Burglary</t>
  </si>
  <si>
    <t>Aggravated Criminal Damage to Property</t>
  </si>
  <si>
    <t>Aggravated Criminal Sodomy</t>
  </si>
  <si>
    <t>Aggravated Criminal Threat</t>
  </si>
  <si>
    <t>Aggravated Endangering a Child</t>
  </si>
  <si>
    <t>Aggravated Endangering the Food Supply</t>
  </si>
  <si>
    <t>Aggravated Escape From Custody (All Other Instances)</t>
  </si>
  <si>
    <t>Aggravated Escape From Custody (By Juvenile Held Under Charge that if Committed by Adult Would be a Felony)</t>
  </si>
  <si>
    <t>Aggravated Escape From Custody (While Held at State Correctional Institution)</t>
  </si>
  <si>
    <t>Aggravated Failure to Appear</t>
  </si>
  <si>
    <t>Aggravated False Impersonation</t>
  </si>
  <si>
    <t>Aggravated Human Trafficking</t>
  </si>
  <si>
    <t>Aggravated Incest</t>
  </si>
  <si>
    <t>Aggravated Indecent Liberties with a Child</t>
  </si>
  <si>
    <t>Aggravated Indecent Solicitation of a Child</t>
  </si>
  <si>
    <t>Aggravated Interference with Parental Custody</t>
  </si>
  <si>
    <t>Aggravated Interference with Public Business</t>
  </si>
  <si>
    <t>Aggravated Intimidation of a Witness or Victim</t>
  </si>
  <si>
    <t>Aggravated Kidnapping</t>
  </si>
  <si>
    <t>Aggravated Robbery</t>
  </si>
  <si>
    <t>Aggravated Sexual Battery</t>
  </si>
  <si>
    <t>Aggravated Tampering with a Traffic Signal</t>
  </si>
  <si>
    <t>Aggravated unlawful transmission of a visual depiction of a child</t>
  </si>
  <si>
    <t>Agricultural Chemical Act of 1947</t>
  </si>
  <si>
    <t>Agricultural Corporations - False Statement</t>
  </si>
  <si>
    <t>Agricultural Liming Materials Act</t>
  </si>
  <si>
    <t>Sale/Distribution of Agricultural Seeds</t>
  </si>
  <si>
    <t>Aiding an Escape (KDOC Employee or Contractor)</t>
  </si>
  <si>
    <t>Aiding an Escape</t>
  </si>
  <si>
    <t>AIDS &amp; Hepatitis B (Unauthorized Disclosure)</t>
  </si>
  <si>
    <t>Air Quality Act Violation</t>
  </si>
  <si>
    <t>Aircraft &amp; Airfields Violation</t>
  </si>
  <si>
    <t>Alcohol Without Liquid Machine</t>
  </si>
  <si>
    <t>Alcoholism &amp; Intoxication Treatment License Violation</t>
  </si>
  <si>
    <t>Altering a Legislative Document</t>
  </si>
  <si>
    <t>Amusement Ride Inspection Violation</t>
  </si>
  <si>
    <t>Animals &amp; Nuisances (Rabies or Bruecella Abortus)</t>
  </si>
  <si>
    <t>Antiquities Commission Violation</t>
  </si>
  <si>
    <t>Appearance Bonds (Application for New License Prior to Return of Original)</t>
  </si>
  <si>
    <t>Appraisal Management Company Registration Act Violation</t>
  </si>
  <si>
    <t>Army &amp; Air National Guard (Refusal to Permit Employee to Attend Drill/Muster)</t>
  </si>
  <si>
    <t>Army &amp; Air National Guard (Unlawful Acts Affecting Property)</t>
  </si>
  <si>
    <t>Arson Reporting Violation</t>
  </si>
  <si>
    <t>Arson</t>
  </si>
  <si>
    <t>Asbestos Control</t>
  </si>
  <si>
    <t>Assault of a Law Enforcement Officer</t>
  </si>
  <si>
    <t>Assault</t>
  </si>
  <si>
    <t>Asset Seizure &amp; Forfeiture Violation</t>
  </si>
  <si>
    <t>Assisting Suicide (All Other Instances)</t>
  </si>
  <si>
    <t>Assisting Suicide (Causing Suicide Attempt by Force or Duress)</t>
  </si>
  <si>
    <t>Athlete Agent Act Violation</t>
  </si>
  <si>
    <t>Automobile Injury Reparations Act Violation</t>
  </si>
  <si>
    <t>Automobile Master Key Violation</t>
  </si>
  <si>
    <t>Automobiles/Vehicles</t>
  </si>
  <si>
    <t>Banking Violation</t>
  </si>
  <si>
    <t>Barbers Violation</t>
  </si>
  <si>
    <t>Battery</t>
  </si>
  <si>
    <t>Battery (of Adult or Juvenile Correctional Officer while Incarcerated)</t>
  </si>
  <si>
    <t>Bigamy</t>
  </si>
  <si>
    <t>Blackmail (All Other Instances)</t>
  </si>
  <si>
    <t>Blackmail (Involving Explicit Materials of the Individual)</t>
  </si>
  <si>
    <t>Board of Examiners In Fitting &amp; Dispensing of Hearing Aids</t>
  </si>
  <si>
    <t>Boating</t>
  </si>
  <si>
    <t>Bonds &amp; Warrants</t>
  </si>
  <si>
    <t>Breach of Privacy (All Other Instances)</t>
  </si>
  <si>
    <t>Breach of Privacy (Disseminating Explicit Material of an Individual Against their Will - 2nd or Subsequent Offense)</t>
  </si>
  <si>
    <t>Breach of Privacy (Use of Concealed Camera to Record Explicit Images)</t>
  </si>
  <si>
    <t>Bribery</t>
  </si>
  <si>
    <t>BUI</t>
  </si>
  <si>
    <t>Burglary (Theft of Firearm)</t>
  </si>
  <si>
    <t>Burglary (All Other Instances)</t>
  </si>
  <si>
    <t>Business Crimes</t>
  </si>
  <si>
    <t>Buying Sexual Relations</t>
  </si>
  <si>
    <t>Capital Murder</t>
  </si>
  <si>
    <t>Care &amp; Treatment of Mentally Ill Persons</t>
  </si>
  <si>
    <t>Care &amp; Treatment of Addiction Patients</t>
  </si>
  <si>
    <t>Cemetery Corporations Violation</t>
  </si>
  <si>
    <t>Census Interference</t>
  </si>
  <si>
    <t>Cereal Malt Beverages Violation</t>
  </si>
  <si>
    <t>Certification of Operators of Water Supply Systems &amp; Wastewater Treatment Facilities</t>
  </si>
  <si>
    <t>Chemigation Safety Law Violation</t>
  </si>
  <si>
    <t>Child Labor</t>
  </si>
  <si>
    <t>Child Rape Protection Act Violation</t>
  </si>
  <si>
    <t>Cigarettes &amp; Tobacco Products Violation</t>
  </si>
  <si>
    <t>Cities &amp; Municipalities Violation</t>
  </si>
  <si>
    <t>Club/Drinking Establishment Act Violation</t>
  </si>
  <si>
    <t>Cockfighting</t>
  </si>
  <si>
    <t>Code for Care of Children Violation</t>
  </si>
  <si>
    <t>Commercial Bribery</t>
  </si>
  <si>
    <t>Commercial Drivers' License Act Violation</t>
  </si>
  <si>
    <t>Commercial DUI</t>
  </si>
  <si>
    <t>Commercial Feed Stuffs Violation</t>
  </si>
  <si>
    <t>Commercial Fertilizers Violation</t>
  </si>
  <si>
    <t>Commercial Fossil Hunting</t>
  </si>
  <si>
    <t>Commercial Gambling</t>
  </si>
  <si>
    <t>Commercial Sexual Exploitation of a Child (Victim Under 14)</t>
  </si>
  <si>
    <t>Commercial Sexual Exploitation of a Child (No Prior Convictions for this Crime)</t>
  </si>
  <si>
    <t>Commercial Sexual Exploitation of a Child (Prior Convictions for this Crime)</t>
  </si>
  <si>
    <t>Commercialization of Wildlife</t>
  </si>
  <si>
    <t>Common Nuisance</t>
  </si>
  <si>
    <t>Computer Crime (Leading to Loss of &gt;$100,000)</t>
  </si>
  <si>
    <t>Computer Crime (All Other Instances)</t>
  </si>
  <si>
    <t>Concealed Handgun Violation</t>
  </si>
  <si>
    <t>Construction Defects</t>
  </si>
  <si>
    <t>Consumer Protection Act</t>
  </si>
  <si>
    <t>Contempt of Legislature</t>
  </si>
  <si>
    <t>Contracts &amp; Promises Violation</t>
  </si>
  <si>
    <t>Contributing to a Child's Misconduct</t>
  </si>
  <si>
    <t>Corporations</t>
  </si>
  <si>
    <t>Cosmetology Violation</t>
  </si>
  <si>
    <t>Counterfeiting</t>
  </si>
  <si>
    <t>Counties &amp; County Officers Violation</t>
  </si>
  <si>
    <t>Court Reporters</t>
  </si>
  <si>
    <t>Creating a Hazard</t>
  </si>
  <si>
    <t>Credit Cards</t>
  </si>
  <si>
    <t>Credit Services Organization Act</t>
  </si>
  <si>
    <t>Credit Unions</t>
  </si>
  <si>
    <t>Criminal Carrying of a Weapon</t>
  </si>
  <si>
    <t>Damage to Property</t>
  </si>
  <si>
    <t>Deprivation of Property</t>
  </si>
  <si>
    <t>Desecration</t>
  </si>
  <si>
    <t>Discharge of Firearm (Resulting in Bodily Harm)</t>
  </si>
  <si>
    <t>Discharge of Firearm (Resulting in Great Bodily Harm)</t>
  </si>
  <si>
    <t>Discharge of Firearm (All Other Instances)</t>
  </si>
  <si>
    <t>Disclosure of a Warrant</t>
  </si>
  <si>
    <t>Disposal of Explosives</t>
  </si>
  <si>
    <t>Distribution of Firearms to a Felon</t>
  </si>
  <si>
    <t>False Communication</t>
  </si>
  <si>
    <t>Hunting Violation</t>
  </si>
  <si>
    <t>Littering</t>
  </si>
  <si>
    <t>Possession of Explosives</t>
  </si>
  <si>
    <t>Criminal Possession of Firearm</t>
  </si>
  <si>
    <t>Possession of Weapon by a Convicted Felon</t>
  </si>
  <si>
    <t>Criminal Procedure</t>
  </si>
  <si>
    <t>Criminal Restraint</t>
  </si>
  <si>
    <t>Criminal Sodomy (Between a Person and an Animal)</t>
  </si>
  <si>
    <t>Criminal Sodomy (Between Members of the Same Sex)</t>
  </si>
  <si>
    <t>Criminal Sodomy (With Child 14 or More but Less than 16)</t>
  </si>
  <si>
    <t>Criminal Street Gangs</t>
  </si>
  <si>
    <t>Criminal Threat</t>
  </si>
  <si>
    <t>Criminal Trespass on a Nuclear Generating Facility</t>
  </si>
  <si>
    <t>Criminal Trespass</t>
  </si>
  <si>
    <t>Criminal Use of  Financial Card</t>
  </si>
  <si>
    <t>Criminal Use of Explosives (All Other Instances)</t>
  </si>
  <si>
    <t>Criminal Use of Explosives (Intended to be Used to Commit a Crime)</t>
  </si>
  <si>
    <t>Criminal Use of Explosives (Law Enforcement Officer Placed at Risk to Defuse)</t>
  </si>
  <si>
    <t>Criminal Use of Explosives (Introduced into a Building with Another Human Being)</t>
  </si>
  <si>
    <t>Criminal Use of Financial Card</t>
  </si>
  <si>
    <t>Criminal Use of Weapons</t>
  </si>
  <si>
    <t>Crude Oil or Petroleum Violation</t>
  </si>
  <si>
    <t>Cruelty to Animals</t>
  </si>
  <si>
    <t>Dairy Commission Violation</t>
  </si>
  <si>
    <t>Dangerous Animals</t>
  </si>
  <si>
    <t>Dangerous Regulated Animals</t>
  </si>
  <si>
    <t>Dealing in False Identification Documents</t>
  </si>
  <si>
    <t>Dealing in Gambling Devices</t>
  </si>
  <si>
    <t>Defacing Identification Marks of Firearm</t>
  </si>
  <si>
    <t>Denial of Civil Rights</t>
  </si>
  <si>
    <t>Dental Practices Act</t>
  </si>
  <si>
    <t>Department of Administration Violation</t>
  </si>
  <si>
    <t>Department of Agriculture Violation</t>
  </si>
  <si>
    <t>Derailment of Train Violation</t>
  </si>
  <si>
    <t>Destroying a Written Instrument with Intent to Defraud</t>
  </si>
  <si>
    <t>Dietitians Licensing Act</t>
  </si>
  <si>
    <t>Disorderly Conduct</t>
  </si>
  <si>
    <t>Distribution of a Controlled Substance Causing Death</t>
  </si>
  <si>
    <t>Unauthorized Disposition of Body of Deceased</t>
  </si>
  <si>
    <t>Dog Fighting</t>
  </si>
  <si>
    <t>Domestic Battery</t>
  </si>
  <si>
    <t>Drainage &amp; Levees Violation</t>
  </si>
  <si>
    <t>Drivers' Licenses Violation</t>
  </si>
  <si>
    <t>DUI</t>
  </si>
  <si>
    <t>Egg Law Violation</t>
  </si>
  <si>
    <t>Elections Violation</t>
  </si>
  <si>
    <t>Electronic Solicitation of Child Believed to be Under 14</t>
  </si>
  <si>
    <t>Electronic Solicitation of Child Believed to be 14 or More but Less than 16</t>
  </si>
  <si>
    <t>Embalmers &amp; Funeral Directors</t>
  </si>
  <si>
    <t>Emergency Management Act Violation</t>
  </si>
  <si>
    <t>Emergency Planning &amp; Community Right-To-Know Violation</t>
  </si>
  <si>
    <t>Employment Security Law Violation</t>
  </si>
  <si>
    <t>Employment Systems Violation</t>
  </si>
  <si>
    <t>EMS Violation</t>
  </si>
  <si>
    <t>Endangering a Child</t>
  </si>
  <si>
    <t>Endangering the Food Supply (All Other Instances)</t>
  </si>
  <si>
    <t>Endangering the Food Supply (Foot-and-Mouth Disease)</t>
  </si>
  <si>
    <t>Escape From Custody</t>
  </si>
  <si>
    <t>Examination/Registration/Licensing &amp; Bonding of Abstracters Violation</t>
  </si>
  <si>
    <t>Expanded Lottery Act</t>
  </si>
  <si>
    <t>Exposing Another to a Life Threatening Communicable Disease</t>
  </si>
  <si>
    <t>Extortion</t>
  </si>
  <si>
    <t>Failure to Appear</t>
  </si>
  <si>
    <t>Failure to Maintain Adequate Records</t>
  </si>
  <si>
    <t>Failure to Register Explosives</t>
  </si>
  <si>
    <t>Failure to Remain (All Other Instances)</t>
  </si>
  <si>
    <t>Failure to Remain (At Scene of Accident Resulting in Death if Person Knew Accident Resulted in Injury or Death)</t>
  </si>
  <si>
    <t>Failure to Report a Wound</t>
  </si>
  <si>
    <t>Failure to Report Accident</t>
  </si>
  <si>
    <t>Failure to Report the Death of a Child</t>
  </si>
  <si>
    <t>Failure to Report the Disappearance of a Child under 13</t>
  </si>
  <si>
    <t>Fair Credit Reporting Act</t>
  </si>
  <si>
    <t>False Alarm to Emergency Services</t>
  </si>
  <si>
    <t>False Information or Report Concerning Accident</t>
  </si>
  <si>
    <t>False Membership Claim</t>
  </si>
  <si>
    <t>False Signing of a Petition</t>
  </si>
  <si>
    <t>False Writing with Intent to Defraud, Obstruct Detection of Theft or Felony, or Induce Official Action</t>
  </si>
  <si>
    <t>Farm Produce Violation</t>
  </si>
  <si>
    <t>Fees &amp; Salaries Violation</t>
  </si>
  <si>
    <t>Female Genital Mutilation</t>
  </si>
  <si>
    <t>Fences Violation</t>
  </si>
  <si>
    <t>Fertilizers Violation</t>
  </si>
  <si>
    <t>Fetal Organs &amp; Tissue (Breach of Confidentiality or Incorrect Reporting)</t>
  </si>
  <si>
    <t>Fetal Organs &amp; Tissue ...</t>
  </si>
  <si>
    <t>Fire Safety &amp; Prevention Violation</t>
  </si>
  <si>
    <t>Fire Code Violation</t>
  </si>
  <si>
    <t>Bottle Rockets</t>
  </si>
  <si>
    <t>Possession of a Firearm Under the Influence</t>
  </si>
  <si>
    <t>Fleeing or Attempting to Elude a Law Enforcement Officer</t>
  </si>
  <si>
    <t>Flood Control Violation</t>
  </si>
  <si>
    <t>Food Advertising &amp; Sales Practices Violation</t>
  </si>
  <si>
    <t>Food, Drugs &amp; Cosmetics Act</t>
  </si>
  <si>
    <t>Forgery</t>
  </si>
  <si>
    <t>Franchise</t>
  </si>
  <si>
    <t>Fraudulent Aircraft Registration</t>
  </si>
  <si>
    <t>Fraudulent Aircraft Identification Numbers</t>
  </si>
  <si>
    <t>Funeral &amp; Cemetery Merchandise Agreements Violation</t>
  </si>
  <si>
    <t>Furnishing Alcoholic Beverages to Minor</t>
  </si>
  <si>
    <t>Furthering Terrorism/Illegal Use of Weapons of Mass Destruction</t>
  </si>
  <si>
    <t>Gambling</t>
  </si>
  <si>
    <t>Giving a Worthless Check</t>
  </si>
  <si>
    <t>Grain &amp; Forage Violation</t>
  </si>
  <si>
    <t>Grain Commodity Commissions Violation</t>
  </si>
  <si>
    <t>Guardians or Conservators</t>
  </si>
  <si>
    <t>Harassment by Telephone</t>
  </si>
  <si>
    <t>Hazardous Household Articles</t>
  </si>
  <si>
    <t>Hazing</t>
  </si>
  <si>
    <t>Health Care Data Disclosure</t>
  </si>
  <si>
    <t>Health Care Provider Reporting Violation</t>
  </si>
  <si>
    <t>Health Maintenance Organization Act Violation</t>
  </si>
  <si>
    <t>Higher Education Coordination Violation</t>
  </si>
  <si>
    <t>Historical Property Violation</t>
  </si>
  <si>
    <t>Home Health Agencies Violation</t>
  </si>
  <si>
    <t>Homestead Property Tax Refunds</t>
  </si>
  <si>
    <t>Hospitals &amp; Other Facilities Violation</t>
  </si>
  <si>
    <t>Hotels/Lodging Houses/Restaurants</t>
  </si>
  <si>
    <t>Human Trafficking</t>
  </si>
  <si>
    <t>Humane Slaughter Violation</t>
  </si>
  <si>
    <t>ID &amp; Detection of Crimes &amp; Criminals Violation</t>
  </si>
  <si>
    <t>Identification Cards Violation</t>
  </si>
  <si>
    <t>Identity Fraud</t>
  </si>
  <si>
    <t>Identity Theft</t>
  </si>
  <si>
    <t>Identity Theft (Monetary Loss &gt;$100,000)</t>
  </si>
  <si>
    <t>Illegal BINGO operation</t>
  </si>
  <si>
    <t>Illegal Use of Weapons of Mass Destruction</t>
  </si>
  <si>
    <t>Impairing a Security Interest</t>
  </si>
  <si>
    <t>Incest</t>
  </si>
  <si>
    <t>Income Tax Returns Violation</t>
  </si>
  <si>
    <t>Indecent Liberties with a Child</t>
  </si>
  <si>
    <t>Indecent Solicitation of Child</t>
  </si>
  <si>
    <t>Installing Communications Facilities for Gamblers</t>
  </si>
  <si>
    <t>Insurance Holding Company Act</t>
  </si>
  <si>
    <t>Insurance Fraud</t>
  </si>
  <si>
    <t>Failure to Pay Insurance Premium</t>
  </si>
  <si>
    <t>Interference With Conduct of Public Business</t>
  </si>
  <si>
    <t>Interference With Custody of a Committed Person</t>
  </si>
  <si>
    <t>Interference with Law Enforcement</t>
  </si>
  <si>
    <t>Interference With Parental Custody</t>
  </si>
  <si>
    <t>Interference with the Judicial Process</t>
  </si>
  <si>
    <t>Interstate Compact on Placement of Children Violation</t>
  </si>
  <si>
    <t>Intimidation of Witness or Victim</t>
  </si>
  <si>
    <t>Internet Trading in Child Pornography</t>
  </si>
  <si>
    <t>Involuntary Manslaughter</t>
  </si>
  <si>
    <t>Irrigation Districts</t>
  </si>
  <si>
    <t>Irrigation</t>
  </si>
  <si>
    <t>Violation as a Juror</t>
  </si>
  <si>
    <t>Juvenile Justice Code Violation</t>
  </si>
  <si>
    <t>Kansas Act Against Discrimination</t>
  </si>
  <si>
    <t>Kansas Healing Arts Act Violation</t>
  </si>
  <si>
    <t>Kansas Highway Patrol - Violation Regarding Verification on VINs/Fraud</t>
  </si>
  <si>
    <t>Kansas Liquor Control Act Violation</t>
  </si>
  <si>
    <t>Kansas Money Transmitter Act</t>
  </si>
  <si>
    <t>Kansas Offender Registration Act (Failure to Remit Payment)</t>
  </si>
  <si>
    <t>Kansas Offender Registration Act (Aggravated Failure to Register)</t>
  </si>
  <si>
    <t>Kansas Offender Registration Act (1st Conviction)</t>
  </si>
  <si>
    <t>Kansas Offender Registration Act (2nd Conviction)</t>
  </si>
  <si>
    <t>Kansas Offender Registration Act (3rd or Subsequent Conviction)</t>
  </si>
  <si>
    <t>Kansas Sheep Council Violation</t>
  </si>
  <si>
    <t>Fraud (Greater than $1,000,000)</t>
  </si>
  <si>
    <t>Fraud (Greater than $250,000; Victim is Elderly)</t>
  </si>
  <si>
    <t>Fraud (Greater than $250,000)</t>
  </si>
  <si>
    <t>Fraud (Greater than $100,000; Victim is Elderly)</t>
  </si>
  <si>
    <t>Fraud (Greater than $100,000)</t>
  </si>
  <si>
    <t>Fraud (Greater than $25,000; Victim is Elderly)</t>
  </si>
  <si>
    <t>Fraud (Greater than $25,000)</t>
  </si>
  <si>
    <t>...</t>
  </si>
  <si>
    <t>Keg Registration Act</t>
  </si>
  <si>
    <t>Kidnapping</t>
  </si>
  <si>
    <t>Labeling of Ag. Products</t>
  </si>
  <si>
    <t>Labor &amp; Industries Violation</t>
  </si>
  <si>
    <t>Legislative Post Audit Violation</t>
  </si>
  <si>
    <t>Levees Violation</t>
  </si>
  <si>
    <t>Lewd and Lascivious Behavior</t>
  </si>
  <si>
    <t>Liquefied Petroleum Gas Violation</t>
  </si>
  <si>
    <t>Liquor Control Act</t>
  </si>
  <si>
    <t>Listing Property for Taxation Violation</t>
  </si>
  <si>
    <t>Livestock/Domestic Animals Violation</t>
  </si>
  <si>
    <t>Loan Brokers Violation</t>
  </si>
  <si>
    <t>Local Boards of Health Violation</t>
  </si>
  <si>
    <t>Lodging Inspection Act</t>
  </si>
  <si>
    <t>Marriage &amp; Family Therapists Licensure Act</t>
  </si>
  <si>
    <t>Marriage License Violation</t>
  </si>
  <si>
    <t>Maternity Centers &amp; Child Care Facilities</t>
  </si>
  <si>
    <t>Meat &amp; Poultry Inspection Act</t>
  </si>
  <si>
    <t>Medicaid Fraud (When Death Results)</t>
  </si>
  <si>
    <t>Medicaid Fraud (Claimed Payments &gt;$250,000)</t>
  </si>
  <si>
    <t>Medicaid Fraud (When Great Bodily Harm Results)</t>
  </si>
  <si>
    <t>Medicaid Fraud (Claimed Payments $100,000 - $250,000)</t>
  </si>
  <si>
    <t>Medicaid Fraud (All Other Instances)</t>
  </si>
  <si>
    <t>Medicaid Recordkeeping Violation</t>
  </si>
  <si>
    <t>Mental Health Tech Violation</t>
  </si>
  <si>
    <t>Mentally Ill, Incapacitated &amp; Dependent Persons</t>
  </si>
  <si>
    <t>Milk, Cream &amp; Dairy Products Violation</t>
  </si>
  <si>
    <t>Statute #</t>
  </si>
  <si>
    <t>Class</t>
  </si>
  <si>
    <t>Severity Level</t>
  </si>
  <si>
    <t>Status</t>
  </si>
  <si>
    <t>Common Name</t>
  </si>
  <si>
    <t>Title</t>
  </si>
  <si>
    <t>Years since sentence completed</t>
  </si>
  <si>
    <t>Years since diversion completed</t>
  </si>
  <si>
    <t>Years since discharged from probation, a community correctional services program, parole, postrelease supervision, conditional release or a suspended sentence</t>
  </si>
  <si>
    <t>Other Conditions</t>
  </si>
  <si>
    <t>Committed After</t>
  </si>
  <si>
    <t>Committed Before</t>
  </si>
  <si>
    <t>Description</t>
  </si>
  <si>
    <t>Link</t>
  </si>
  <si>
    <t>Legislative History</t>
  </si>
  <si>
    <t>Expungement Statute Language</t>
  </si>
  <si>
    <t>Any</t>
  </si>
  <si>
    <t>Misdemeanor</t>
  </si>
  <si>
    <t>N/A</t>
  </si>
  <si>
    <t>None</t>
  </si>
  <si>
    <t>Not relevant</t>
  </si>
  <si>
    <t>(a) (1) Except as provided in subsections (b), (c), (d), (e) and (f), any person convicted in this state of a traffic infraction, cigarette or tobacco infraction, misdemeanor or a class D or E felony, or for crimes committed on or after July 1, 1993, any nongrid felony or felony ranked in severity levels 6 through 10 of the nondrug grid, or for crimes committed on or after July 1, 1993, but prior to July 1, 2012, any felony ranked in severity level 4 of the drug grid, or for crimes committed on or after July 1, 2012, any felony ranked in severity level 5 of the drug grid may petition the convicting court for the expungement of such conviction or related arrest records if three or more years have elapsed since the person:
    (A) Satisfied the sentence imposed; or
    (B) was discharged from probation, a community correctional services program, parole, postrelease supervision, conditional release or a suspended sentence.</t>
  </si>
  <si>
    <t>Traffic Infraction</t>
  </si>
  <si>
    <t>Cigarette or Tobacco Infraction</t>
  </si>
  <si>
    <t>Felony (D)</t>
  </si>
  <si>
    <t>Felony (E)</t>
  </si>
  <si>
    <t>Nongrid Felony</t>
  </si>
  <si>
    <t>Nondrug Grid Felony</t>
  </si>
  <si>
    <t>Drug Grid Felony</t>
  </si>
  <si>
    <t>21-3512</t>
  </si>
  <si>
    <t>class B nonperson misdemeanor</t>
  </si>
  <si>
    <t>Repealed (2011)</t>
  </si>
  <si>
    <t>Prostitution</t>
  </si>
  <si>
    <t xml:space="preserve">such person can prove they were acting under coercion caused by the act of another. For purposes of this subsection, "coercion" means: Threats of harm or physical restraint against any person; a scheme, plan or pattern intended to cause a person to believe that failure to perform an act would result in bodily harm or physical restraint against any person; or the abuse or threatened abuse of the legal process.
</t>
  </si>
  <si>
    <t>(a) Prostitution is performing for hire, or offering or agreeing to perform for hire where there is an exchange of value, any of the following acts:
      (1)   Sexual intercourse;
      (2)   sodomy; or
      (3)   manual or other bodily contact stimulation of the genitals of any person with the intent to arouse or gratify the sexual desires of the offender or another.
      (b)   Prostitution is a class B nonperson misdemeanor.</t>
  </si>
  <si>
    <t>https://law.justia.com/codes/kansas/2009/chapter21/statutes_11828.html</t>
  </si>
  <si>
    <t>L. 1969, ch. 180, § 21-3512; L. 1980, ch. 98, § 1; L. 1983, ch. 109, § 9; L. 1992, ch. 239, § 80; L. 1993, ch. 291, § 49; Repealed, L. 2010, ch. 136, § 307; July 1, 2011</t>
  </si>
  <si>
    <t xml:space="preserve">(b) Any person convicted of prostitution, as defined in K.S.A. 21-3512, prior to its repeal, convicted of a violation of K.S.A. 2020 Supp. 21-6419, and amendments thereto, or who entered into a diversion agreement in lieu of further criminal proceedings for such violation, may petition the convicting court for the expungement of such conviction or diversion agreement and related arrest records if:
   (1) One or more years have elapsed since the person satisfied the sentence imposed or the terms of a diversion agreement or was discharged from probation, a
 community correctional services program, parole, postrelease supervision, conditional release or a suspended sentence; and
   (2) such person can prove they were acting under coercion caused by the act of another. For purposes of this subsection, "coercion" means: Threats of harm or physical restraint against any person; a scheme, plan or pattern intended to cause a person to believe that failure to perform an act would result in bodily harm or physical restraint against any person; or the abuse or threatened abuse of the legal process.
</t>
  </si>
  <si>
    <t>21-6419</t>
  </si>
  <si>
    <t>In Force</t>
  </si>
  <si>
    <t>Selling sexual relations</t>
  </si>
  <si>
    <t>(a) Selling sexual relations is performing for hire, or offering or agreeing to perform for hire where there is an exchange of value, any of the following acts:
(1) Sexual intercourse;
(2) sodomy; or
(3) manual or other bodily contact stimulation of the genitals of any person with the intent to arouse or gratify the sexual desires of the offender or another.
(b) Selling sexual relations is a class B nonperson misdemeanor.
(c) It shall be an affirmative defense to any prosecution under this section that the defendant committed the violation of this section because such defendant was subjected to human trafficking or aggravated human trafficking, as defined by K.S.A. 2020 Supp. 21-5426, and amendments thereto, or commercial sexual exploitation of a child, as defined by K.S.A. 2020 Supp. 21-6422, and amendments thereto.</t>
  </si>
  <si>
    <t>https://www.ksrevisor.org/statutes/chapters/ch21/021_064_0019.html</t>
  </si>
  <si>
    <t>L. 2010, ch. 136, § 229; L. 2013, ch. 120, § 16; July 1.</t>
  </si>
  <si>
    <t>Felony (A)</t>
  </si>
  <si>
    <t>(c) Except as provided in subsections (e) and (f), no person may petition for expungement until five or more years have elapsed since the person satisfied the sentence imposed or the terms of a diversion agreement or was discharged from probation, a community correctional services program, parole, postrelease supervision, conditional release or a suspended sentence, if such person was convicted of a class A, B or C felony, or for crimes committed on or after July 1, 1993, if convicted of an off-grid felony or any felony ranked in severity levels 1 through 5 of the nondrug grid, or for crimes committed on or after July 1, 1993, but prior to July 1, 2012, any felony ranked in severity levels 1 through 3 of the drug grid, or for crimes committed on or after July 1, 2012, any felony ranked in severity levels 1 through 4 of the drug grid</t>
  </si>
  <si>
    <t>Felony (B)</t>
  </si>
  <si>
    <t>Felony (C)</t>
  </si>
  <si>
    <t>Off-grid Felony</t>
  </si>
  <si>
    <t>21-3405</t>
  </si>
  <si>
    <t>class A person misdemeanor</t>
  </si>
  <si>
    <t>Vehicular homicide</t>
  </si>
  <si>
    <t>Vehicular homicide is the unintentional killing of a human being committed by the operation of an automobile, airplane, motor boat or other motor vehicle in a manner which creates an unreasonable risk of injury to the person or property of another and which constitutes a material deviation from the standard of care which a reasonable person would observe under the same circumstances.</t>
  </si>
  <si>
    <t>https://law.justia.com/codes/kansas/2011/Chapter21/Article34/21-3405.html</t>
  </si>
  <si>
    <t>L. 1969, ch. 180, § 21-3405; L. 1972, ch. 113, § 1; L. 1992, ch. 298, § 7; L. 1993, ch. 291, § 22; Repealed, L. 2010, ch. 136, § 307; July 1, 2011</t>
  </si>
  <si>
    <t>(c) Except as provided in subsections (e) and (f), no person may petition for expungement until five or more years have elapsed since the person satisfied the sentence imposed or the terms of a diversion agreement or was discharged from probation, a community correctional services program, parole, postrelease supervision, conditional release or a suspended sentence, if such person was convicted of a class A, B or C felony, or for crimes committed on or after July 1, 1993, if convicted of an off-grid felony or any felony ranked in severity levels 1 through 5 of the nondrug grid, or for crimes committed on or after July 1, 1993, but prior to July 1, 2012, any felony ranked in severity levels 1 through 3 of the drug grid, or for crimes committed on or after July 1, 2012, any felony ranked in severity levels 1 through 4 of the drug grid, or:
(1) Vehicular homicide, as defined in K.S.A. 21-3405, prior to its repeal, or K.S.A. 2020 Supp. 21-5406, and amendments thereto, or as prohibited by any law of another state which is in substantial conformity with that statute;
(2) driving while the privilege to operate a motor vehicle on the public highways of this state has been canceled, suspended or revoked, as prohibited by K.S.A. 8-262, and amendments thereto, or as prohibited by any law of another state which is in substantial conformity with that statute;
(3) perjury resulting from a violation of K.S.A. 8-261a, and amendments thereto, or resulting from the violation of a law of another state which is in substantial conformity with that statute;
(4) violating the provisions of K.S.A. 8-142 Fifth, and amendments thereto, relating to fraudulent applications or violating the provisions of a law of another state which is in substantial conformity with that statute;
(5) any crime punishable as a felony wherein a motor vehicle was used in the perpetration of such crime;
(6) failing to stop at the scene of an accident and perform the duties required by K.S.A. 8-1603, prior to its repeal, or K.S.A. 8-1602 or 8-1604, and amendments thereto, or required by a law of another state which is in substantial conformity with those statutes;
(7) violating the provisions of K.S.A. 40-3104, and amendments thereto, relating to motor vehicle liability insurance coverage; or
(8) a violation of K.S.A. 21-3405b, prior to its repeal.</t>
  </si>
  <si>
    <t>21-5406</t>
  </si>
  <si>
    <t>(a) Vehicular homicide is the killing of a human being committed by the operation of an automobile, airplane, motor boat or other motor vehicle in a manner which creates an unreasonable risk of injury to the person or property of another and which constitutes a material deviation from the standard of care which a reasonable person would observe under the same circumstances.
(b) Vehicular homicide is a class A person misdemeanor.
(c) As used in this section, "material deviation" means conduct amounting to more than simple or ordinary negligence but not amount to gross negligence.</t>
  </si>
  <si>
    <t>https://www.ksrevisor.org/statutes/chapters/ch21/021_054_0006.html</t>
  </si>
  <si>
    <t>L. 2010, ch. 136, § 41; July 1, 2011</t>
  </si>
  <si>
    <t>8-262</t>
  </si>
  <si>
    <t>class A/B nonperson misdemeanor</t>
  </si>
  <si>
    <t>Driving without a license</t>
  </si>
  <si>
    <t>Driving while license canceled, suspended or revoked; penalty; extension of time of suspension or revocation; ignition interlock device restriction</t>
  </si>
  <si>
    <t>(a) (1) Any person who drives a motor vehicle on any highway of this state at a time when such person's privilege so to do is canceled, suspended or revoked or while such person's privilege to obtain a driver's license is suspended or revoked pursuant to K.S.A. 8-252a, and amendments thereto, shall be guilty of a class B nonperson misdemeanor on the first conviction and a class A nonperson misdemeanor on the second or subsequent conviction.
(2) No person shall be convicted under this section if such person was entitled at the time of arrest under K.S.A. 8-257, and amendments thereto, to the return of such person's driver's license.
(3) Except as otherwise provided by subsection (a)(4) or (c), every person convicted under this section shall be sentenced to at least five days' imprisonment and fined at least $100 and upon a second conviction shall not be eligible for parole until completion of five days' imprisonment.
(4) Except as otherwise provided by subsection (c), if a person: (A) Is convicted of a violation of this section, committed while the person's privilege to drive or privilege to obtain a driver's license was suspended or revoked for a violation of K.S.A. 8-2,144 or 8-1567, and amendments thereto, or any ordinance of any city or resolution of any county or a law of another state, which ordinance or resolution or law prohibits the acts prohibited by those statutes; and (B) is or has been also convicted of a violation of K.S.A. 8-2,144 or 8-1567, and amendments thereto, or any ordinance of any city or resolution of any county or law of another state, which ordinance or resolution or law prohibits the acts prohibited by those statutes, committed while the person's privilege to drive or privilege to obtain a driver's license was so suspended or revoked, the person shall not be eligible for suspension of sentence, probation or parole until the person has served at least 90 days' imprisonment, and any fine imposed on such person shall be in addition to such a term of imprisonment.
(b) The division, upon receiving a record of the conviction of any person under this section, or any ordinance of any city or resolution of any county or a law of another state which is in substantial conformity with this section, upon a charge of driving a vehicle while the license of such person is revoked or suspended, shall extend the period of such suspension or revocation for an additional period of 90 days.
(c) (1) The person found guilty of a class A nonperson misdemeanor on a third or subsequent conviction of this section shall be sentenced to not less than 90 days' imprisonment and fined not less than $1,500 if such person's privilege to drive a motor vehicle is canceled, suspended or revoked because such person:
(A) Refused to submit and complete any test of blood, breath or urine requested by law enforcement excluding the preliminary screening test as set forth in K.S.A. 8-1012, and amendments thereto;
(B) was convicted of violating the provisions of K.S.A. 40-3104, and amendments thereto, relating to motor vehicle liability insurance coverage;
(C) was convicted of vehicular homicide, K.S.A. 21-3405, prior to its repeal, or K.S.A. 2020 Supp. 21-5406, and amendments thereto, involuntary manslaughter while driving under the influence of alcohol or drugs, K.S.A. 21-3442, prior to its repeal, or involuntary manslaughter as defined in K.S.A. 2020 Supp. 21-5405(a)(3) and (a)(5), and amendments thereto, or any other murder or manslaughter crime resulting from the operation of a motor vehicle; or
(D) was convicted of being a habitual violator, K.S.A. 8-287, and amendments thereto.
(2) The person convicted shall not be eligible for release on probation, suspension or reduction of sentence or parole until the person has served at least 90 days' imprisonment. The 90 days' imprisonment mandated by this subsection may be served in a work release program only after such person has served 48 consecutive hours' imprisonment, provided such work release program requires such person to return to confinement at the end of each day in the work release program. The court may place the person convicted under a house arrest program pursuant to K.S.A. 2020 Supp. 21-6609, and amendments thereto, or any municipal ordinance to serve the remainder of the minimum sentence only after such person has served 48 consecutive hours' imprisonment.
(d) For the purposes of determining whether a conviction is a first, second, third or subsequent conviction in sentencing under this section, "conviction" includes a conviction of a violation of any ordinance of any city or resolution of any county or a law of another state which is in substantial conformity with this section.</t>
  </si>
  <si>
    <t>https://www.ksrevisor.org/statutes/chapters/ch08/008_002_0062.html</t>
  </si>
  <si>
    <t>L. 1937, ch. 73, § 29; L. 1949, ch. 104, § 33; L. 1959, ch. 49, § 30; L. 1967, ch. 59, § 6; L. 1970, ch. 52, § 1; L. 1972, ch. 28, § 2; L. 1974, ch. 38, § 5; L. 1981, ch. 43, § 1; L. 1983, ch. 34, § 4; L. 1985, ch. 48, § 1; L. 1985, ch. 78, § 6; L. 1991, ch. 39, § 1; L. 1992, ch. 239, § 27; L. 1993, ch. 291, § 2; L. 1994, ch. 353, § 4; L. 1999, ch. 164, § 1; L. 2001, ch. 112, § 4; L. 2001, ch. 200, § 3; L. 2006, ch. 211, § 10; L. 2007, ch. 181, § 2; L. 2011, ch. 30, § 88; L. 2011, ch. 105, § 5; L. 2012, ch. 172, § 5; L. 2018, ch. 7, § 3; L. 2018, ch. 106, § 3; July 1.</t>
  </si>
  <si>
    <t>?</t>
  </si>
  <si>
    <t>Perjury</t>
  </si>
  <si>
    <t>Making false affidavit perjury</t>
  </si>
  <si>
    <t>Any person who shall willfully and corruptly swear or affirm falsely to any material matter or thing required by the terms of this act to be sworn to or affirmed, is guilty of perjury and upon conviction shall be punishable by fine or imprisonment as other persons committing perjury are punishable.</t>
  </si>
  <si>
    <t>https://www.ksrevisor.org/statutes/chapters/ch08/008_002_0061a.html</t>
  </si>
  <si>
    <t>L. 1959, ch. 49, § 29; July 1.</t>
  </si>
  <si>
    <t>8-142 Fifth</t>
  </si>
  <si>
    <t>False registration of motor vehicle</t>
  </si>
  <si>
    <t>Unlawful acts</t>
  </si>
  <si>
    <t>To use a false or fictitious name or address in any application for a certificate of title, the registration of any vehicle or for any renewal or duplicate thereof, or knowingly to make a false statement or knowingly to conceal a material fact or otherwise commit a fraud in any such application</t>
  </si>
  <si>
    <t>https://www.ksrevisor.org/statutes/chapters/ch08/008_001_0042.html</t>
  </si>
  <si>
    <t>L. 1929, ch. 81, § 20; L. 1937, ch. 72, § 7; L. 1951, ch. 104, § 1; L. 1955, ch. 294, § 10; L. 1956, ch. 48, § 4; L. 1957, ch. 57, § 7; L. 1961, ch. 49, § 1; L. 1963, ch. 48, § 3; L. 1968, ch. 411, § 3; L. 1969, ch. 48, § 2; L. 1974, ch. 35, § 6; L. 1975, ch. 426, § 28; L. 1975, ch. 33, § 1; L. 1975, ch. 427, § 4; L. 1976, ch. 41, § 1; L. 1985, ch. 43, § 1; L. 1992, ch. 105, § 1; L. 1995, ch. 186, § 4; L. 1998, ch. 140, § 9; L. 2003, ch. 124, § 2; L. 2006, ch. 136, § 3; L. 2010, ch. 156, § 3; L. 2015, ch. 47, § 3; July 1.</t>
  </si>
  <si>
    <t>Felony (motor vehicle used)</t>
  </si>
  <si>
    <t>8-1603</t>
  </si>
  <si>
    <t>Hit and Run</t>
  </si>
  <si>
    <t>Accident involving damage to vehicle or property; duties of drivers; penalties for violations</t>
  </si>
  <si>
    <t>(a) The driver of any vehicle involved in an accident resulting only in damage to a vehicle or other property which is driven or attended by any person shall immediately stop such vehicle at the scene of such accident, or as close thereto as possible, but shall forthwith return to and in every event shall remain at the scene of such accident until such person has fulfilled the requirements of K.S.A. 8-1604, and amendments thereto. Every such stop shall be made without obstructing traffic more than is necessary. Any person failing to stop or comply with the requirements under such circumstances shall be guilty of a misdemeanor and, upon conviction, shall be punished as provided in K.S.A. 8-2116, and amendments thereto.
(b) The driver under subsection (a), if possible, shall comply with the provisions of K.S.A. 2010 Supp. 8-15,107, and amendments thereto.</t>
  </si>
  <si>
    <t>https://law.justia.com/codes/kansas/2011/Chapter8/Article16/8-1603.html</t>
  </si>
  <si>
    <t>1974, ch. 33, § 8-1603; L. 2009, ch. 6, § 2; Repealed, L. 2011, ch. 80, § 5; July 1.</t>
  </si>
  <si>
    <t>8-1602</t>
  </si>
  <si>
    <t>Misdemeanor - level 5 person felony</t>
  </si>
  <si>
    <t>Accident involving death or personal injury; duties of drivers, reports; penalties for violations; revocation of license, permit or driving privileges</t>
  </si>
  <si>
    <t>(a) The driver of any vehicle involved in an accident resulting in injury to, great bodily harm to or death of any person or damage to any attended vehicle or property shall immediately stop such vehicle at the scene of such accident, or as close thereto as possible, but shall then immediately return to and in every event shall remain at the scene of the accident until the driver has fulfilled the requirements of K.S.A. 8-1604, and amendments thereto.
(b) A person who violates subsection (a) when an accident results in:
(1) Total property damages of less than $1,000 shall be guilty of a misdemeanor and, upon conviction, shall be punished as provided in K.S.A. 8-2116, and amendments thereto.
(2) Injury to any person or total property damages in excess of $1,000 or more shall be guilty of a class A person misdemeanor.
(3) Great bodily harm to any person shall be guilty of a severity level 8, person felony.
(4) The death of any person shall be guilty of a severity level 6, person felony, except as provided in subsection (a)(5) [(b)(5)].
(5) The death of any person, if the person knew or reasonably should have known that such accident resulted in injury or death, shall be a level 5, person felony.
(c) The director may revoke the license or permit to drive or any nonresident operating privilege of any person so convicted.
(d) The driver shall comply with the provisions of K.S.A. 2020 Supp. 8-15,107, and amendments thereto.</t>
  </si>
  <si>
    <t>https://www.ksrevisor.org/statutes/chapters/ch08/008_016_0002.html</t>
  </si>
  <si>
    <t>L. 1974, ch. 33, § 8-1602; L. 2006, ch. 182, § 1; L. 2011, ch. 80, § 1; July 1.</t>
  </si>
  <si>
    <t>8-1604</t>
  </si>
  <si>
    <t>Duty of driver to give certain information after accident; failure to provide proof of liability insurance or financial security; duty to render aid after accident; proof of liability insurance or financial security by electronic means, restrictions</t>
  </si>
  <si>
    <t>(a) (1) The driver of any vehicle involved in an accident resulting in injury to or death of any person, or damage to any attended vehicle or property, shall give such driver's name, address and the registration number of the vehicle such driver is driving, and upon request shall exhibit such driver's license or permit to drive, the name of the company with which there is in effect a policy of motor vehicle liability insurance covering the vehicle involved in the accident and the policy number of such policy to any person injured in such accident or to the driver or occupant of or person attending any vehicle or other property damaged in such accident, and shall give such information and upon request exhibit such license or permit and the name of the insurer and policy number to any police officer at the scene of the accident or who is investigating the accident.
(2) Such driver, insofar as possible, shall immediately make efforts to determine whether any person involved in such accident was injured or killed, and shall render to any person injured in such accident reasonable assistance, including the carrying, or the making of arrangements for the carrying of such person to a physician, surgeon or hospital for medical or surgical treatment if it is apparent that such treatment is necessary, or if such carrying is requested by the injured person.
(b) If no police officer is present, the driver of any vehicle involved in such accident, or any occupant of such vehicle 18 years of age or older, shall immediately report such accident, by the quickest available means of communication, to the nearest office of a duly authorized police authority if:
(1) There is apparently property damage of $1,000 or more;
(2) any person involved in the accident is injured or killed; or
(3) the persons specified in subsection (a) are not present or in condition to receive such information.
(c) Unless the insurance company subsequently submits an insurance verification form indicating that insurance was not in force, no person charged with failing to provide the name of such person's insurance company and policy number as required in subsection (a), shall be convicted if such person produces in court, within 10 days of the date of arrest or of issuance of the citation, evidence of financial security for the motor vehicle operated, which was valid at the time of arrest or of issuance of the citation. For the purpose of this subsection, evidence of financial security shall be provided by a policy of motor vehicle liability insurance, an identification card or certificate of insurance issued to the policyholder by the insurer which provides the name of the insurer, the policy number, make and year of the vehicle and the effective and expiration dates of the policy, or a certificate of self-insurance signed by the commissioner of insurance. Such evidence also may be produced by displaying on a cellular phone or other type of portable electronic device evidence of financial security required by this subsection. Any person to whom such evidence of financial security is displayed shall view only such evidence of financial security. Such person shall be prohibited from viewing any other content or information stored on such cellular phone or other portable electronic devices. Upon the production in court of evidence of financial security, the court shall record the information displayed thereon on the insurance verification form prescribed by the secretary of revenue, immediately forward such form to the department of revenue, and stay any further proceedings on the matter pending a request from the prosecuting attorney that the matter be set for trial. Upon receipt of such form the department shall mail the form to the named insurance company for verification that insurance was in force on the date indicated on the form. It shall be the duty of insurance companies to notify the department within 30 calendar days of the receipt of such forms of any insurance that was not in force on the date specified. Upon return of any form to the department indicating that insurance was not in force on such date, the department shall immediately forward a copy of such form to the office of the prosecuting attorney or the city clerk of the municipality in which such prosecution is pending when the prosecuting attorney is not ascertainable. Receipt of any completed form indicating that insurance was not in effect on the date specified shall be prima facie evidence of failure to provide proof of financial security and violation of this section. A request that the matter be set for trial shall be made immediately following the receipt by the prosecuting attorney of a copy of the form from the department of revenue indicating that insurance was not in force. Any charge hereunder shall be dismissed if no request for a trial setting has been made within 60 days of the date evidence of financial security was produced in court.</t>
  </si>
  <si>
    <t>https://www.ksrevisor.org/statutes/chapters/ch08/008_016_0004.html</t>
  </si>
  <si>
    <t>L. 1974, ch. 33, § 8-1604; L. 1978, ch. 38, § 1; L. 1984, ch. 174, § 1; L. 1988, ch. 161, § 1; L. 1996, ch. 51, § 1; L. 2011, ch. 80, § 2; L. 2013, ch. 19, § 2; July 1.</t>
  </si>
  <si>
    <t>40-3104</t>
  </si>
  <si>
    <t>class A/B misdemeanor</t>
  </si>
  <si>
    <t>Driving without insurance</t>
  </si>
  <si>
    <t>Motor vehicle liability insurance coverage required; prohibited vehicle operation; verification; self-insurance; display of proof of financial security; penalties for failure to maintain financial security; reinstatement fees</t>
  </si>
  <si>
    <t>(a) Every owner shall provide motor vehicle liability insurance coverage in accordance with the provisions of this act for every motor vehicle owned by such person, unless such motor vehicle: (1) Is included under an approved self-insurance plan as provided in subsection (f); (2) is used as a driver training motor vehicle, as defined in K.S.A. 72-4005, and amendments thereto, in an approved driver training course by a school district or an accredited nonpublic school under an agreement with a motor vehicle dealer, and such motor vehicle liability insurance coverage is provided by the school district or accredited nonpublic school; (3) is included under a qualified plan of self-insurance approved by an agency of the state in which such motor vehicle is registered and the form prescribed in subsection (b) of K.S.A. 40-3106, and amendments thereto, has been filed; or (4) is expressly exempted from the provisions of this act.
(b) An owner of an uninsured motor vehicle shall not permit the operation thereof upon a highway or upon property open to use by the public, unless such motor vehicle is expressly exempted from the provisions of this act.
(c) No person shall knowingly drive an uninsured motor vehicle upon a highway or upon property open to use by the public, unless such motor vehicle is expressly exempted from the provisions of this act.
(d) (1) Any person operating a motor vehicle upon a highway or upon property open to use by the public shall display, upon demand, evidence of financial security to a law enforcement officer. Such evidence of financial security which meets the requirements of subsection (e) may be displayed on a cellular phone or any other type of portable electronic device. The law enforcement officer to whom such evidence of financial security is displayed shall view only such evidence of financial responsibility. Such law enforcement officer shall be prohibited from viewing any other content or information stored on such cellular phone or other type of portable electronic device. The law enforcement officer shall issue a citation to any person who fails to display evidence of financial security upon such demand. The law enforcement officer shall transmit a copy of the insurance verification form prescribed by the secretary of revenue with the copy of the citation transmitted to the court.
(2) No citation shall be issued to any person for failure to provide proof of financial security when evidence of financial security meeting the standards of subsection (e) is displayed upon demand of a law enforcement officer. Whenever the authenticity of such evidence is questionable, the law enforcement officer may initiate the preparation of the insurance verification form prescribed by the secretary of revenue by recording information from the evidence of financial security displayed. The officer shall immediately forward the form to the department of revenue, and the department shall proceed with verification in the manner prescribed in the following paragraph. Upon return of a form indicating that insurance was not in force on the date indicated on the form, the department shall immediately forward a copy of the form to the law enforcement officer initiating preparation of the form.
(e) Unless the insurance company subsequently submits an insurance verification form indicating that insurance was not in force, no person charged with violating subsection (b), (c) or (d) shall be convicted if such person produces in court, within 10 days of the date of arrest or of issuance of the citation, evidence of financial security for the motor vehicle operated, which was valid at the time of arrest or of issuance of the citation. Such evidence of financial security may be produced by displaying such information on a cellular phone or any other type of portable electronic device. Any person to whom such evidence of financial security is displayed on a cellular phone or any other type of portable electronic device shall be prohibited from viewing any other content or information stored on such cellular phone or other type of portable electronic device. For the purpose of this subsection, evidence of financial security shall be provided by a policy of motor vehicle liability insurance, an identification card or certificate of insurance issued to the policyholder by the insurer which provides the name of the insurer, the policy number, make and year of the vehicle and the effective and expiration dates of the policy, or a certificate of self-insurance signed by the commissioner of insurance. Upon the production in court of evidence of financial security, the court shall record the information displayed thereon on the insurance verification form prescribed by the secretary of revenue, immediately forward such form to the department of revenue, and stay any further proceedings on the matter pending a request from the prosecuting attorney that the matter be set for trial. Upon receipt of such form the department shall mail the form to the named insurance company for verification that insurance was in force on the date indicated on the form. It shall be the duty of insurance companies to notify the department within 30 calendar days of the receipt of such forms of any insurance that was not in force on the date specified. Upon return of any form to the department indicating that insurance was not in force on such date, the department shall immediately forward a copy of such form to the office of the prosecuting attorney or the city clerk of the municipality in which such prosecution is pending when the prosecuting attorney is not ascertainable. Receipt of any completed form indicating that insurance was not in effect on the date specified shall be prima facie evidence of failure to provide proof of financial security and violation of this section. A request that the matter be set for trial shall be made immediately following the receipt by the prosecuting attorney of a copy of the form from the department of revenue indicating that insurance was not in force. Any charge of violating subsection (b), (c) or (d) shall be dismissed if no request for a trial setting has been made within 60 days of the date evidence of financial security was produced in court.
(f) Any person in whose name more than 25 motor vehicles are registered in Kansas may qualify as a self-insurer by obtaining a certificate of self-insurance from the commissioner of insurance. The certificate of self-insurance issued by the commissioner shall cover such owned vehicles and those vehicles, registered in Kansas, leased to such person if the lease agreement requires that motor vehicle liability insurance on the vehicles be provided by the lessee. Upon application of any such person, the commissioner of insurance may issue a certificate of self-insurance, if the commissioner is satisfied that such person is possessed and will continue to be possessed of ability to pay any liability imposed by law against such person arising out of the ownership, operation, maintenance or use of any motor vehicle described in this subsection. A self-insurer shall provide liability coverage subject to the provisions of subsection (e) of K.S.A. 40-3107, and amendments thereto, arising out of the ownership, operation, maintenance or use of a self-insured motor vehicle in those instances where the lessee or the rental driver, if not the lessee, does not have a motor vehicle liability insurance policy or insurance coverage pursuant to a motor vehicle liability insurance policy or certificate of insurance or such insurance policy for such leased or rented vehicle. Such liability coverage shall be provided to any person operating a self-insured motor vehicle with the expressed or implied consent of the self-insurer.
Upon notice and a hearing in accordance with the provisions of the Kansas administrative procedure act, the commissioner of insurance may cancel a certificate of self-insurance upon reasonable grounds. Failure to provide liability coverage or personal injury protection benefits required by K.S.A. 40-3107 and 40-3109, and amendments thereto, or pay any liability imposed by law arising out of the ownership, operation, maintenance or use of a motor vehicle registered in such self-insurer's name, or to otherwise comply with the requirements of this subsection shall constitute reasonable grounds for the cancellation of a certificate of self-insurance. Reasonable grounds shall not exist unless such objectionable activity occurs with such frequency as to indicate a general business practice.
Self-insureds shall investigate claims in a reasonably prompt manner, handle such claims in a reasonable manner based on available information and effectuate prompt, fair and equitable settlement of claims in which liability has become reasonably clear.
As used in this subsection, "liability imposed by law" means the stated limits of liability as provided under subsection (e) of K.S.A. 40-3107, and amendments thereto.
Nothing in this subsection shall preclude a self-insurer from pursuing all rights of subrogation against another person or persons.
(g) (1) Any person violating any provision of this section shall be guilty of a class B misdemeanor and shall be subject to a fine of not less than $300 nor more than $1,000 or confinement in the county jail for a term of not more than six months, or both such fine and confinement.
(2) Any person convicted of violating any provision of this section within three years of any such prior conviction shall be guilty of a class A misdemeanor and shall be subject to a fine of not less than $800 nor more than $2,500.
(h) In addition to any other penalties provided by this act for failure to have or maintain financial security in effect, the director, upon receipt of a report required by K.S.A. 8-1607 or 8-1611, and amendments thereto, or a denial of such insurance by the insurance company listed on the form prescribed by the secretary of revenue pursuant to subsection (d) of this section, shall, upon notice and hearing as provided by K.S.A. 40-3118, and amendments thereto:
(1) Suspend:
(A) The license of each driver in any manner involved in the accident;
(B) the license of the owner of each motor vehicle involved in such accident, unless the vehicle was stolen at the time of the accident, proof of which must be established by the owner of the motor vehicle. Theft by a member of the vehicle owner's immediate family under the age of 18 years shall not constitute a stolen vehicle for the purposes of this section;
(C) if the driver is a nonresident, the privilege of operating a motor vehicle within this state; or
(D) if such owner is a nonresident, the privilege of such owner to operate or permit the operation within this state of any motor vehicle owned by such owner; and
(2) revoke the registration of all vehicles owned by the owner of each motor vehicle involved in such accident.
(i) The suspension or revocation requirements in subsection (h) shall not apply:
(1) To the driver or owner if the owner had in effect at the time of the accident an automobile liability policy as required by K.S.A. 40-3107, and amendments thereto, with respect to the vehicle involved in the accident;
(2) to the driver, if not the owner of the vehicle involved in the accident, if there was in effect at the time of the accident an automobile liability policy with respect to such driver's driving of vehicles not owned by such driver;
(3) to any self-insurer as defined by subsection (u) of K.S.A. 40-3103, and amendments thereto;
(4) to the driver or owner of any vehicle involved in the accident which was exempt from the provisions of this act pursuant to K.S.A. 40-3105, and amendments thereto;
(5) to the owner of a vehicle described in subsection (a)(2).
(j) (1) For the purposes of provisions (1) and (2) of subsection (i) of this section, the director may require verification by an owner's or driver's insurance company or agent thereof that there was in effect at the time of the accident an automobile liability policy as required in this act.
(2) Subject to the provisions of subsection (k), any suspension or revocation effected hereunder shall remain in effect until such person:
(A) Has filed satisfactory proof of financial security with the director as required by subsection (d) of K.S.A. 40-3118, and amendments thereto;
(B) has paid the reinstatement fee herein prescribed; and
(C) (i) has been released from liability;
(ii) is a party to an action to determine liability pursuant to which the court temporarily stays such suspension pending final disposition of such action;
(iii) has entered into an agreement for the payment of damages; or
(iv) has been finally adjudicated not to be liable in respect to such accident and evidence of any such fact has been filed with the director.
(3) The reinstatement fee shall be $100 except that if the registration of a motor vehicle of any owner is revoked within one year following a prior revocation of the registration of a motor vehicle of such owner under the provisions of this act such fee shall be $300.
(k) (1) Whenever any person whose license has been suspended or revoked pursuant to this section is involved in an accident and has entered into an agreement with any driver, or such driver's insurer, who has been damaged or whose vehicle has been damaged to pay for such damage and such person defaults on payments under such agreement, the driver or the driver's insurer, as appropriate, shall notify the director within 60 days of the date of default.
(2) Upon receipt of the notice of default, the director shall immediately suspend such person's license and registration. If such person is a nonresident, the director shall immediately suspend such nonresident's privilege to operate a motor vehicle in this state.
(3) Except as provided in paragraph (4), such person's driver's license, registration and nonresident's operating privilege shall remain so suspended and shall not be renewed, nor shall any such license or registration be thereafter issued in the name of such person, including any such person not previously licensed, unless and until:
(A) The director receives notice payments under the agreement referred to in paragraph (1) have been resumed and that payments under such agreement are no longer in default;
(B) such person has filed satisfactory proof of financial responsibility with the director as required by subsection (d) of K.S.A. 40-3118, and amendments thereto; and
(C) the reinstatement fee required by subsection (j) has been paid.
(4) Upon due notice to the director that the conditions of paragraph (3) have been fulfilled, such person may obtain from the director an order restoring such person's driver's license, registration and nonresident's operating privilege to operate a motor vehicle in this state conditioned upon such person's continued compliance with the agreement referred to in paragraph (1).
(5) In the event such person fails to make any further payment under the agreement referred to in paragraph (1) when such payment is due, the director, upon receipt of notice of such default, shall immediately suspend the license, registration or nonresident's operating privilege of such person until all payments have been made under the agreement referred to in paragraph (1). No suspension of such person's license, registration or nonresident's privilege to operate a motor vehicle in this state shall be reinstated pursuant to paragraph (4).
(l) The provisions of this section shall not apply to motor carriers of property or passengers regulated by the corporation commission of the state of Kansas.
(m) The provisions of subsection (d) shall not apply to vehicle dealers, as defined in K.S.A. 8-2401, and amendments thereto, for vehicles being offered for sale by such dealers.</t>
  </si>
  <si>
    <t>https://www.ksrevisor.org/statutes/chapters/ch40/040_031_0004.html</t>
  </si>
  <si>
    <t>L. 1974, ch. 193, § 4; L. 1977, ch. 164, § 1; L. 1979, ch. 149, § 1; L. 1981, ch. 197, § 1; L. 1982, ch. 206, § 2; L. 1984, ch. 174, § 2; L. 1985, ch. 165, § 1; L. 1986, ch. 182, § 1; L. 1987, ch. 174, § 1; L. 1987, ch. 173, § 2; L. 1988, ch. 161, § 2; L. 1988, ch. 356, § 116; L. 1989, ch. 142, § 1; L. 1990, ch. 171, § 1; L. 1994, ch. 291, § 74; L. 1996, ch. 46, § 1; L. 1996, ch. 240, § 1; L. 1999, ch. 162, § 11; L. 2006, ch. 186, § 7; L. 2010, ch. 12, § 1; L. 2010, ch. 155, § 16; L. 2013, ch. 19, § 3; July 1.</t>
  </si>
  <si>
    <t>21-3405b</t>
  </si>
  <si>
    <t>https://www.ksrevisor.org/statutes/chapters/ch21/021_034_0005b.html</t>
  </si>
  <si>
    <t>L. 1988, ch. 47, § 1; L. 1990, ch. 97, § 2; Repealed, L. 1992, ch. 298, § 97; Repealed, L. 1993, ch. 291, § 283; July 1.</t>
  </si>
  <si>
    <t>8-1567</t>
  </si>
  <si>
    <t>class B nonperson misdemeanor - nonperson felony</t>
  </si>
  <si>
    <t>Driving under the influence; penalties</t>
  </si>
  <si>
    <t>(a) Driving under the influence is operating or attempting to operate any vehicle within this state while:
(1) The alcohol concentration in the person's blood or breath as shown by any competent evidence, including other competent evidence, as defined in K.S.A. 8-1013(f)(1), and amendments thereto, is 0.08 or more;
(2) the alcohol concentration in the person's blood or breath, as measured within three hours of the time of operating or attempting to operate a vehicle, is 0.08 or more;
(3) under the influence of alcohol to a degree that renders the person incapable of safely driving a vehicle;
(4) under the influence of any drug or combination of drugs to a degree that renders the person incapable of safely driving a vehicle; or
(5) under the influence of a combination of alcohol and any drug or drugs to a degree that renders the person incapable of safely driving a vehicle.
(b) (1) Driving under the influence is:
(A) On a first conviction a class B, nonperson misdemeanor. The person convicted shall be sentenced to not less than 48 consecutive hours nor more than six months' imprisonment, or in the court's discretion 100 hours of public service, and fined not less than $750 nor more than $1,000. The person convicted shall serve at least 48 consecutive hours' imprisonment or 100 hours of public service either before or as a condition of any grant of probation or suspension, reduction of sentence or parole. The court may place the person convicted under a house arrest program pursuant to K.S.A. 2020 Supp. 21-6609, and amendments thereto, to serve the remainder of the sentence only after such person has served 48 consecutive hours' imprisonment;
(B) on a second conviction a class A, nonperson misdemeanor. The person convicted shall be sentenced to not less than 90 days nor more than one year's imprisonment and fined not less than $1,250 nor more than $1,750. The person convicted shall serve at least five consecutive days' imprisonment before the person is granted probation, suspension or reduction of sentence or parole or is otherwise released. The five days' imprisonment mandated by this subsection may be served in a work release program only after such person has served 48 consecutive hours' imprisonment, provided such work release program requires such person to return to confinement at the end of each day in the work release program. The person convicted, if placed into a work release program, shall serve a minimum of 120 hours of confinement. Such 120 hours of confinement shall be a period of at least 48 consecutive hours of imprisonment followed by confinement hours at the end of and continuing to the beginning of the offender's work day. The court may place the person convicted under a house arrest program pursuant to K.S.A. 2020 Supp. 21-6609, and amendments thereto, to serve the five days' imprisonment mandated by this subsection only after such person has served 48 consecutive hours' imprisonment. The person convicted, if placed under house arrest, shall be monitored by an electronic monitoring device, which verifies the offender's location. The offender shall serve a minimum of 120 hours of confinement within the boundaries of the offender's residence. Any exceptions to remaining within the boundaries of the offender's residence provided for in the house arrest agreement shall not be counted as part of the 120 hours;
(C) on a third conviction a class A, nonperson misdemeanor, except as provided in subsection (b)(1)(D). The person convicted shall be sentenced to not less than 90 days nor more than one year's imprisonment and fined not less than $1,750 nor more than $2,500. The person convicted shall not be eligible for release on probation, suspension or reduction of sentence or parole until the person has served at least 90 days' imprisonment. The 90 days' imprisonment mandated by this subsection may be served in a work release program only after such person has served 48 consecutive hours' imprisonment, provided such work release program requires such person to return to confinement at the end of each day in the work release program. The person convicted, if placed into a work release program, shall serve a minimum of 2,160 hours of confinement. Such 2,160 hours of confinement shall be a period of at least 48 consecutive hours of imprisonment followed by confinement hours at the end of and continuing to the beginning of the offender's work day. The court may place the person convicted under a house arrest program pursuant to K.S.A. 2020 Supp. 21-6609, and amendments thereto, to serve the 90 days' imprisonment mandated by this subsection only after such person has served 48 consecutive hours' imprisonment. The person convicted, if placed under house arrest, shall be monitored by an electronic monitoring device, which verifies the offender's location. The offender shall serve a minimum of 2,160 hours of confinement within the boundaries of the offender's residence. Any exceptions to remaining within the boundaries of the offender's residence provided for in the house arrest agreement shall not be counted as part of the 2,160 hours;
(D) on a third conviction a nonperson felony if the person has a prior conviction which occurred within the preceding 10 years, not including any period of incarceration. The person convicted shall be sentenced to not less than 90 days nor more than one year's imprisonment and fined not less than $1,750 nor more than $2,500. The person convicted shall not be eligible for release on probation, suspension or reduction of sentence or parole until the person has served at least 90 days' imprisonment. The 90 days' imprisonment mandated by this subsection may be served in a work release program only after such person has served 48 consecutive hours' imprisonment, provided such work release program requires such person to return to confinement at the end of each day in the work release program. The person convicted, if placed into a work release program, shall serve a minimum of 2,160 hours of confinement. Such 2,160 hours of confinement shall be a period of at least 48 consecutive hours of imprisonment followed by confinement hours at the end of and continuing to the beginning of the offender's work day. The court may place the person convicted under a house arrest program pursuant to K.S.A. 2020 Supp. 21-6609, and amendments thereto, to serve the 90 days' imprisonment mandated by this subsection only after such person has served 48 consecutive hours' imprisonment. The person convicted, if placed under house arrest, shall be monitored by an electronic monitoring device, which verifies the offender's location. The offender shall serve a minimum of 2,160 hours of confinement within the boundaries of the offender's residence. Any exceptions to remaining within the boundaries of the offender's residence provided for in the house arrest agreement shall not be counted as part of the 2,160 hours; and
(E) on a fourth or subsequent conviction a nonperson felony. The person convicted shall be sentenced to not less than 90 days nor more than one year's imprisonment and fined $2,500. The person convicted shall not be eligible for release on probation, suspension or reduction of sentence or parole until the person has served at least 90 days' imprisonment. The 90 days' imprisonment mandated by this subsection may be served in a work release program only after such person has served 72 consecutive hours' imprisonment, provided such work release program requires such person to return to confinement at the end of each day in the work release program. The person convicted, if placed into a work release program, shall serve a minimum of 2,160 hours of confinement. Such 2,160 hours of confinement shall be a period of at least 72 consecutive hours of imprisonment followed by confinement hours at the end of and continuing to the beginning of the offender's work day. The court may place the person convicted under a house arrest program pursuant to K.S.A. 2020 Supp. 21-6609, and amendments thereto, to serve the 90 days' imprisonment mandated by this subsection only after such person has served 72 consecutive hours' imprisonment. The person convicted, if placed under house arrest, shall be monitored by an electronic monitoring device, which verifies the offender's location. The offender shall serve a minimum of 2,160 hours of confinement within the boundaries of the offender's residence. Any exceptions to remaining within the boundaries of the offender's residence provided for in the house arrest agreement shall not be counted as part of the 2,160 hours.
(2) The court may order that the term of imprisonment imposed pursuant to subsection (b)(1)(D) or (b)(1)(E) be served in a state facility in the custody of the secretary of corrections in a facility designated by the secretary for the provision of substance abuse treatment pursuant to the provisions of K.S.A. 2020 Supp. 21-6804, and amendments thereto. The person shall remain imprisoned at the state facility only while participating in the substance abuse treatment program designated by the secretary and shall be returned to the custody of the sheriff for execution of the balance of the term of imprisonment upon completion of or the person's discharge from the substance abuse treatment program. Custody of the person shall be returned to the sheriff for execution of the sentence imposed in the event the secretary of corrections determines: (A) That substance abuse treatment resources or the capacity of the facility designated by the secretary for the incarceration and treatment of the person is not available; (B) the person fails to meaningfully participate in the treatment program of the designated facility; (C) the person is disruptive to the security or operation of the designated facility; or (D) the medical or mental health condition of the person renders the person unsuitable for confinement at the designated facility. The determination by the secretary that the person either is not to be admitted into the designated facility or is to be transferred from the designated facility is not subject to review. The sheriff shall be responsible for all transportation expenses to and from the state correctional facility.
(3) In addition, for any conviction pursuant to subsection (b)(1)(C), (b)(1)(D) or (b)(1)(E), at the time of the filing of the judgment form or journal entry as required by K.S.A. 22-3426 or K.S.A. 2020 Supp. 21-6711, and amendments thereto, the court shall cause a certified copy to be sent to the officer having the offender in charge. The court shall determine whether the offender, upon release from imprisonment, shall be supervised by community correctional services or court services based upon the risk and needs of the offender. The risk and needs of the offender shall be determined by use of a risk assessment tool specified by the Kansas sentencing commission. The law enforcement agency maintaining custody and control of a defendant for imprisonment shall cause a certified copy of the judgment form or journal entry to be sent to the supervision office designated by the court and upon expiration of the term of imprisonment shall deliver the defendant to a location designated by the supervision office designated by the court. After the term of imprisonment imposed by the court, the person shall be placed on supervision to community correctional services or court services, as determined by the court, for a mandatory one-year period of supervision, which such period of supervision shall not be reduced. During such supervision, the person shall be required to participate in a multidisciplinary model of services for substance use disorders facilitated by a Kansas department for aging and disability services designated care coordination agency to include assessment and, if appropriate, referral to a community based substance use disorder treatment including recovery management and mental health counseling as needed. The multidisciplinary team shall include the designated care coordination agency, the supervision officer, the Kansas department for aging and disability services designated treatment provider and the offender. An offender for whom a warrant has been issued by the court alleging a violation of this supervision shall be considered a fugitive from justice if it is found that the warrant cannot be served. If it is found the offender has violated the provisions of this supervision, the court shall determine whether the time from the issuing of the warrant to the date of the court's determination of an alleged violation, or any part of it, shall be counted as time served on supervision. Any violation of the conditions of such supervision may subject such person to revocation of supervision and imprisonment in jail for the remainder of the period of imprisonment, the remainder of the supervision period, or any combination or portion thereof. The term of supervision may be extended at the court's discretion beyond one year, and any violation of the conditions of such extended term of supervision may subject such person to the revocation of supervision and imprisonment in jail of up to the remainder of the original sentence, not the term of the extended supervision.
(4) In addition, prior to sentencing for any conviction pursuant to subsection (b)(1)(A) or (b)(1)(B), the court shall order the person to participate in an alcohol and drug evaluation conducted by a provider in accordance with K.S.A. 8-1008, and amendments thereto. The person shall be required to follow any recommendation made by the provider after such evaluation, unless otherwise ordered by the court.
(c) Any person 18 years of age or older convicted of violating this section or an ordinance which prohibits the acts that this section prohibits who had one or more children under the age of 18 years in the vehicle at the time of the offense shall have such person's punishment enhanced by one month of imprisonment. This imprisonment must be served consecutively to any other minimum mandatory penalty imposed for a violation of this section or an ordinance which prohibits the acts that this section prohibits. Any enhanced penalty imposed shall not exceed the maximum sentence allowable by law. During the service of the enhanced penalty, the judge may order the person on house arrest, work release or other conditional release.
(d) If a person is charged with a violation of subsection (a)(4) or (a)(5), the fact that the person is or has been entitled to use the drug under the laws of this state shall not constitute a defense against the charge.
(e) The court may establish the terms and time for payment of any fines, fees, assessments and costs imposed pursuant to this section. Any assessment and costs shall be required to be paid not later than 90 days after imposed, and any remainder of the fine shall be paid prior to the final release of the defendant by the court.
(f) In lieu of payment of a fine imposed pursuant to this section, the court may order that the person perform community service specified by the court. The person shall receive a credit on the fine imposed in an amount equal to $5 for each full hour spent by the person in the specified community service. The community service ordered by the court shall be required to be performed not later than one year after the fine is imposed or by an earlier date specified by the court. If by the required date the person performs an insufficient amount of community service to reduce to zero the portion of the fine required to be paid by the person, the remaining balance of the fine shall become due on that date.
(g) Prior to filing a complaint alleging a violation of this section, a prosecutor shall request and shall receive from the:
(1) Division a record of all prior convictions obtained against such person for any violations of any of the motor vehicle laws of this state; and
(2) Kansas bureau of investigation central repository all criminal history record information concerning such person.
(h) The court shall electronically report every conviction of a violation of this section and every diversion agreement entered into in lieu of further criminal proceedings on a complaint alleging a violation of this section to the division including any finding regarding the alcohol concentration in the offender's blood or breath. Prior to sentencing under the provisions of this section, the court shall request and shall receive from the division a record of all prior convictions obtained against such person for any violations of any of the motor vehicle laws of this state.
(i) For the purpose of determining whether a conviction is a first, second, third, fourth or subsequent conviction in sentencing under this section:
(1) Convictions for a violation of this section, or a violation of an ordinance of any city or resolution of any county that prohibits the acts that this section prohibits, or entering into a diversion agreement in lieu of further criminal proceedings on a complaint alleging any such violations, shall be taken into account, but only convictions or diversions occurring on or after July 1, 2001. Nothing in this provision shall be construed as preventing any court from considering any convictions or diversions occurring during the person's lifetime in determining the sentence to be imposed within the limits provided for a first, second, third, fourth or subsequent offense;
(2) any convictions for a violation of the following sections occurring during a person's lifetime shall be taken into account: (A) Driving a commercial motor vehicle under the influence, K.S.A. 8-2,144, and amendments thereto; (B) operating a vessel under the influence of alcohol or drugs, K.S.A. 32-1131, and amendments thereto; (C) involuntary manslaughter while driving under the influence of alcohol or drugs, K.S.A. 21-3442, prior to its repeal, or K.S.A. 2020 Supp. 21-5405(a)(3) or (a)(5), and amendments thereto; (D) aggravated battery as described in K.S.A. 2020 Supp. 21-5413(b)(3) or (b)(4), and amendments thereto; and (E) aggravated vehicular homicide, K.S.A. 21-3405a, prior to its repeal, or vehicular battery, K.S.A. 21-3405b, prior to its repeal, if the crime was committed while committing a violation of K.S.A. 8-1567, and amendments thereto;
(3) "conviction" includes: (A) Entering into a diversion agreement in lieu of further criminal proceedings on a complaint alleging an offense described in subsection (i)(2); and (B) conviction of a violation of an ordinance of a city in this state, a resolution of a county in this state or any law of another jurisdiction that would constitute an offense that is comparable to the offense described in subsection (i)(1) or (i)(2);
(4) multiple convictions of any crime described in subsection (i)(1) or (i)(2) arising from the same arrest shall only be counted as one conviction;
(5) it is irrelevant whether an offense occurred before or after conviction for a previous offense; and
(6) a person may enter into a diversion agreement in lieu of further criminal proceedings for a violation of this section, and amendments thereto, or an ordinance which prohibits the acts of this section, and amendments thereto, only once during the person's lifetime.
(j) For the purposes of determining whether an offense is comparable, the following shall be considered:
(1) The name of the out-of-jurisdiction offense;
(2) the elements of the out-of-jurisdiction offense; and
(3) whether the out-of-jurisdiction offense prohibits similar conduct to the conduct prohibited by the closest approximate Kansas offense.
(k) Upon conviction of a person of a violation of this section or a violation of a city ordinance or county resolution prohibiting the acts prohibited by this section, the division, upon receiving a report of conviction, shall suspend, restrict or suspend and restrict the person's driving privileges as provided by K.S.A. 8-1014, and amendments thereto.
(l) (1) Nothing contained in this section shall be construed as preventing any city from enacting ordinances, or any county from adopting resolutions, declaring acts prohibited or made unlawful by this act as unlawful or prohibited in such city or county and prescribing penalties for violation thereof.
(2) The minimum penalty prescribed by any such ordinance or resolution shall not be less than the minimum penalty prescribed by this section for the same violation, and the maximum penalty in any such ordinance or resolution shall not exceed the maximum penalty prescribed for the same violation.
(3) On and after July 1, 2007, and retroactive for ordinance violations committed on or after July 1, 2006, an ordinance may grant to a municipal court jurisdiction over a violation of such ordinance which is concurrent with the jurisdiction of the district court over a violation of this section, notwithstanding that the elements of such ordinance violation are the same as the elements of a violation of this section that would constitute, and be punished as, a felony.
(4) Any such ordinance or resolution shall authorize the court to order that the convicted person pay restitution to any victim who suffered loss due to the violation for which the person was convicted.
(m) (1) Upon the filing of a complaint, citation or notice to appear alleging a person has violated a city ordinance prohibiting the acts prohibited by this section, and prior to conviction thereof, a city attorney shall request and shall receive from the:
(A) Division a record of all prior convictions obtained against such person for any violations of any of the motor vehicle laws of this state; and
(B) Kansas bureau of investigation central repository all criminal history record information concerning such person.
(2) If the elements of such ordinance violation are the same as the elements of a violation of this section that would constitute, and be punished as, a felony, the city attorney shall refer the violation to the appropriate county or district attorney for prosecution.
(n) No plea bargaining agreement shall be entered into nor shall any judge approve a plea bargaining agreement entered into for the purpose of permitting a person charged with a violation of this section, or a violation of any ordinance of a city or resolution of any county in this state which prohibits the acts prohibited by this section, to avoid the mandatory penalties established by this section or by the ordinance. For the purpose of this subsection, entering into a diversion agreement pursuant to K.S.A. 12-4413 et seq. or 22-2906 et seq., and amendments thereto, shall not constitute plea bargaining.
(o) The alternatives set out in subsection (a) may be pleaded in the alternative, and the state, city or county may, but shall not be required to, elect one or more of such alternatives prior to submission of the case to the fact finder.
(p) As used in this section: (1) "Alcohol concentration" means the number of grams of alcohol per 100 milliliters of blood or per 210 liters of breath;
(2) "imprisonment" shall include any restrained environment in which the court and law enforcement agency intend to retain custody and control of a defendant and such environment has been approved by the board of county commissioners or the governing body of a city; and
(3) "drug" includes toxic vapors as such term is defined in K.S.A. 2020 Supp. 21-5712, and amendments thereto.
(q) (1) The amount of the increase in fines as specified in this section shall be remitted by the clerk of the district court to the state treasurer in accordance with the provisions of K.S.A. 75-4215, and amendments thereto. Upon receipt of remittance of the increase provided in this act, the state treasurer shall deposit the entire amount in the state treasury and the state treasurer shall credit 50% to the community alcoholism and intoxication programs fund and 50% to the department of corrections alcohol and drug abuse treatment fund, which is hereby created in the state treasury.
(2) On and after July 1, 2011, the amount of $250 from each fine imposed pursuant to this section shall be remitted by the clerk of the district court to the state treasurer in accordance with the provisions of K.S.A. 75-4215, and amendments thereto. Upon receipt of each such remittance, the state treasurer shall credit the entire amount to the community corrections supervision fund established by K.S.A. 75-52,113, and amendments thereto.</t>
  </si>
  <si>
    <t>https://www.ksrevisor.org/statutes/chapters/ch08/008_015_0067.html</t>
  </si>
  <si>
    <t>L. 1974, ch. 33, § 8-1567; L. 1976, ch. 50, § 1; L. 1982, ch. 144, § 5; L. 1983, ch. 37, § 2; L. 1984, ch. 37, § 4; L. 1984, ch. 39, § 9; L. 1985, ch. 48, § 9; L. 1985, ch. 50, § 5; L. 1988, ch. 48, § 6; L. 1988, ch. 47, § 17; L. 1989, ch. 92, § 16; L. 1990, ch. 44, § 6; L. 1990, ch. 47, § 3; L. 1991, ch. 36, § 20; L. 1992, ch. 298, § 1; L. 1993, ch. 259, § 8; L. 1993, ch. 291, § 270; L. 1994, ch. 291, § 2; L. 2001, ch. 200, § 14; L. 2002, ch. 50, § 1; L. 2002, ch. 166, § 2; L. 2003, ch. 100, § 1; L. 2007, ch. 181, § 9; L. 2008, ch. 170, § 4; L. 2009, ch. 107, § 5; L. 2009, ch. 143, § 3; L. 2010, ch. 153, § 3; L. 2011, ch. 105, § 19; L. 2012, ch. 172, § 20; L. 2013, ch. 122, § 6; L. 2014, ch. 115, § 3; L. 2018, ch. 7, § 7; L. 2018, ch. 106, § 13; July 1.</t>
  </si>
  <si>
    <r>
      <rPr/>
      <t xml:space="preserve">See 2006 K.S.A. 21-4619 at </t>
    </r>
    <r>
      <rPr>
        <color rgb="FF1155CC"/>
        <u/>
      </rPr>
      <t>https://law.justia.com/codes/kansas/2006/chapter21/statute_11858.html</t>
    </r>
  </si>
  <si>
    <t>First offense</t>
  </si>
  <si>
    <t>(d) (1) No person may petition for expungement until five or more years have elapsed since the person satisfied the sentence imposed or the terms of a diversion agreement or was discharged from probation, a community correctional services program, parole, postrelease supervision, conditional release or a suspended sentence, if such person was convicted of a first violation of K.S.A. 8-1567, and amendments thereto, including any diversion for such violation... (3) Except as provided further, the provisions of this subsection shall apply to all violations committed on or after July 1, 2006.</t>
  </si>
  <si>
    <t>class A nonperson misdemeanor - nonperson felony</t>
  </si>
  <si>
    <t>Second or subsequent offense</t>
  </si>
  <si>
    <t>(d) (2) No person may petition for expungement until 10 or more years have elapsed since the person satisfied the sentence imposed or was discharged from probation, a community correctional services program, parole, postrelease supervision, conditional release or a suspended sentence, if such person was convicted of a second or subsequent violation of K.S.A. 8-1567, and amendments thereto... (3) Except as provided further, the provisions of this subsection shall apply to all violations committed on or after July 1, 2006. The provisions of subsection (d)(2) shall not apply to violations committed on or after July 1, 2014, but prior to July 1, 2015.</t>
  </si>
  <si>
    <t>See endnote to https://www.kansaslegalservices.org/sites/kansaslegalservices.org/files/Chart%20of%20eligibilty%20for%20Expungement_0.pdf</t>
  </si>
  <si>
    <t>Internet trade in child pornography</t>
  </si>
  <si>
    <t>Any (except below)</t>
  </si>
  <si>
    <t>Arrest</t>
  </si>
  <si>
    <t>three or more years since fulfilled terms of diversion agreement</t>
  </si>
  <si>
    <t>(a) (2) Except as provided in subsections (b), (c), (d), (e) and (f), any person who has fulfilled the terms of a diversion agreement may petition the district court for the expungement of such diversion agreement and related arrest records if three or more years have elapsed since the terms of the diversion agreement were fulfilled.</t>
  </si>
  <si>
    <t xml:space="preserve">One or more years have elapsed since the person satisfied the sentence imposed or the terms of a diversion agreement or was discharged from probation, a community correctional services program, parole, postrelease supervision, conditional release or a suspended sentence; and such person can prove they were acting under coercion caused by the act of another. For purposes of this subsection, "coercion" means: Threats of harm or physical restraint against any person; a scheme, plan or pattern intended to cause a person to believe that failure to perform an act would result in bodily harm or physical restraint against any person; or the abuse or threatened abuse of the legal process.
</t>
  </si>
  <si>
    <t>Unique Code</t>
  </si>
  <si>
    <t>Abandonment</t>
  </si>
  <si>
    <t>Addiction Counselor Licensure Act</t>
  </si>
  <si>
    <t>Adoption</t>
  </si>
  <si>
    <t>Adult Care Home Licensure Act</t>
  </si>
  <si>
    <t>Adult Care Homes</t>
  </si>
  <si>
    <t>Aggravated Abandonment</t>
  </si>
  <si>
    <t>Aggravated Arson</t>
  </si>
  <si>
    <t>Aggravated Battery</t>
  </si>
  <si>
    <t>Aggravated Escape From Custody</t>
  </si>
  <si>
    <t>Aggravated Weapons Violation by a Convicted Felon</t>
  </si>
  <si>
    <t>Agricultural Corporations</t>
  </si>
  <si>
    <t>Agricultural Seeds</t>
  </si>
  <si>
    <t>AIDS &amp; Hepatitis B</t>
  </si>
  <si>
    <t>Air Quality Act</t>
  </si>
  <si>
    <t>Aircraft &amp; Airfields</t>
  </si>
  <si>
    <t>Alcoholism &amp; Intoxication Treatment</t>
  </si>
  <si>
    <t>Amusement Ride Inspection</t>
  </si>
  <si>
    <t>Animals &amp; Nuisances</t>
  </si>
  <si>
    <t>Antiquities Commission</t>
  </si>
  <si>
    <t>Appearance Bonds</t>
  </si>
  <si>
    <t>Appraisal Management Company Registration Act</t>
  </si>
  <si>
    <t>Army &amp; Air National Guard</t>
  </si>
  <si>
    <t>Arson Reporting</t>
  </si>
  <si>
    <t>Asset Seizure &amp; Forfeiture</t>
  </si>
  <si>
    <t>Assisting Suicide</t>
  </si>
  <si>
    <t>Athlete Agent Act</t>
  </si>
  <si>
    <t>Athletic Trainers Licensure Act</t>
  </si>
  <si>
    <t>Automobile Injury Reparations Act</t>
  </si>
  <si>
    <t>Banking</t>
  </si>
  <si>
    <t>Barberry Eradication</t>
  </si>
  <si>
    <t>Barbers</t>
  </si>
  <si>
    <t>Blackmail</t>
  </si>
  <si>
    <t>Breach of Privacy</t>
  </si>
  <si>
    <t>Burglary</t>
  </si>
  <si>
    <t>Care &amp; Treatment</t>
  </si>
  <si>
    <t>Cemetery Corporations</t>
  </si>
  <si>
    <t>Census</t>
  </si>
  <si>
    <t>Cereal Malt Beverages</t>
  </si>
  <si>
    <t>Chemigation Safety Law</t>
  </si>
  <si>
    <t>Child Rape Protection Act</t>
  </si>
  <si>
    <t>Cigarettes &amp; Tobacco Products</t>
  </si>
  <si>
    <t>Cities &amp; Municipalities</t>
  </si>
  <si>
    <t>Cities of the First Class</t>
  </si>
  <si>
    <t>Cities of the Third Class</t>
  </si>
  <si>
    <t>Club/Drinking Establishment Act</t>
  </si>
  <si>
    <t>Code for Care of Children</t>
  </si>
  <si>
    <t>Code for care of Children</t>
  </si>
  <si>
    <t>Code of Military Justice</t>
  </si>
  <si>
    <t>Commercial Drivers' License Act</t>
  </si>
  <si>
    <t>Commercial Feed Stuffs</t>
  </si>
  <si>
    <t>Commercial Fertilizers</t>
  </si>
  <si>
    <t>Commercial Sexual Exploitation of a Child</t>
  </si>
  <si>
    <t>Computer Crime</t>
  </si>
  <si>
    <t>Concealed Handgun</t>
  </si>
  <si>
    <t>Contracts &amp; Promises</t>
  </si>
  <si>
    <t>Cosmetology</t>
  </si>
  <si>
    <t>Counties &amp; County Officers</t>
  </si>
  <si>
    <t>Counties/County Clerks</t>
  </si>
  <si>
    <t>Counties/County Commissioners</t>
  </si>
  <si>
    <t>Counties/County Officers</t>
  </si>
  <si>
    <t>Counties/County Treasurers</t>
  </si>
  <si>
    <t>Criminal Damage to Property</t>
  </si>
  <si>
    <t>Criminal Deprivation of Property</t>
  </si>
  <si>
    <t>Criminal Desecration</t>
  </si>
  <si>
    <t>Criminal Discharge of Firearm</t>
  </si>
  <si>
    <t>Criminal Disclosure of a Warrant</t>
  </si>
  <si>
    <t>Criminal Disposal of Explosives</t>
  </si>
  <si>
    <t>Criminal Distribution of Firearms to a Felon</t>
  </si>
  <si>
    <t>Criminal False Communication</t>
  </si>
  <si>
    <t>Criminal Hunting</t>
  </si>
  <si>
    <t>Criminal Littering</t>
  </si>
  <si>
    <t>Criminal Possession of Explosives</t>
  </si>
  <si>
    <t>Criminal Possession of Weapon by a Convicted Felon</t>
  </si>
  <si>
    <t>Criminal Sodomy</t>
  </si>
  <si>
    <t>Criminal Use of a Financial Card</t>
  </si>
  <si>
    <t>Criminal Use of Explosives</t>
  </si>
  <si>
    <t>Crude Oil or Petroleum</t>
  </si>
  <si>
    <t>Dairy Commission</t>
  </si>
  <si>
    <t>Department of Administration</t>
  </si>
  <si>
    <t>Department of Agriculture</t>
  </si>
  <si>
    <t>Department of Commerce</t>
  </si>
  <si>
    <t>Derailment of Train</t>
  </si>
  <si>
    <t>Destroying a Written Instrument</t>
  </si>
  <si>
    <t>Distribution of a Controlled Substance Causing Great Bodily Harm</t>
  </si>
  <si>
    <t>District Officers &amp; Employers</t>
  </si>
  <si>
    <t>Drainage &amp; Levees</t>
  </si>
  <si>
    <t>Drainage Districts within Counties or Cities</t>
  </si>
  <si>
    <t>Drainage in One or More Counties</t>
  </si>
  <si>
    <t>Drainage of Swamps, Bottoms or Lowlands</t>
  </si>
  <si>
    <t>Drainage on Petition to Court</t>
  </si>
  <si>
    <t>Drivers' Licenses</t>
  </si>
  <si>
    <t>Drugs</t>
  </si>
  <si>
    <t>DUI Provisions</t>
  </si>
  <si>
    <t>Egg Law</t>
  </si>
  <si>
    <t>Elections</t>
  </si>
  <si>
    <t>Electronic Solicitation</t>
  </si>
  <si>
    <t>Emergency Management Act</t>
  </si>
  <si>
    <t>Emergency Planning &amp; Community Right-To-Know</t>
  </si>
  <si>
    <t>Employment Security Law</t>
  </si>
  <si>
    <t>Employment Systems</t>
  </si>
  <si>
    <t>EMS</t>
  </si>
  <si>
    <t>Endangering the Food Supply</t>
  </si>
  <si>
    <t>Endangerment</t>
  </si>
  <si>
    <t>Examination/Registration/Licensing &amp; Bonding of Abstracters</t>
  </si>
  <si>
    <t>Failure to Remain</t>
  </si>
  <si>
    <t>False Alarm</t>
  </si>
  <si>
    <t>False Information or Report</t>
  </si>
  <si>
    <t>False Writing</t>
  </si>
  <si>
    <t>Farm Produce</t>
  </si>
  <si>
    <t>Fees &amp; Salaries</t>
  </si>
  <si>
    <t>Fences</t>
  </si>
  <si>
    <t>Fertilizers</t>
  </si>
  <si>
    <t>Fetal Organs &amp; Tissue</t>
  </si>
  <si>
    <t>Fire Safety &amp; Prevention</t>
  </si>
  <si>
    <t>Fire Safety and Prevention</t>
  </si>
  <si>
    <t>Firearms</t>
  </si>
  <si>
    <t>Fleeing or Attempting to Elude a LEO</t>
  </si>
  <si>
    <t>Flood Control</t>
  </si>
  <si>
    <t>Food Advertising &amp; Sales Practices</t>
  </si>
  <si>
    <t>Food, Drugs &amp; Cosmetics</t>
  </si>
  <si>
    <t>Fraudulent Acts</t>
  </si>
  <si>
    <t>Funeral &amp; Cemetery Merchandise Agreements</t>
  </si>
  <si>
    <t>Furnishing Alcoholic Liquor or Cereal Malt Beverage to a Minor</t>
  </si>
  <si>
    <t>Grain &amp; Forage</t>
  </si>
  <si>
    <t>Grain Commodity Commissions</t>
  </si>
  <si>
    <t>Health Care Data</t>
  </si>
  <si>
    <t>Health Care Providers</t>
  </si>
  <si>
    <t>Health Maintenance Organization Act</t>
  </si>
  <si>
    <t>Higher Education Coordination</t>
  </si>
  <si>
    <t>Historical Property</t>
  </si>
  <si>
    <t>Home Health Agencies</t>
  </si>
  <si>
    <t>Hospitals &amp; Other Facilities</t>
  </si>
  <si>
    <t>Humane Slaughter</t>
  </si>
  <si>
    <t>ID &amp; Detection of Crimes &amp; Criminals</t>
  </si>
  <si>
    <t>Identification Cards</t>
  </si>
  <si>
    <t>Income Tax Returns</t>
  </si>
  <si>
    <t>Insurance</t>
  </si>
  <si>
    <t>Interference With Custody</t>
  </si>
  <si>
    <t>Interference with Parental Custody</t>
  </si>
  <si>
    <t>Interstate Compact on Placement of Children</t>
  </si>
  <si>
    <t>Jurors</t>
  </si>
  <si>
    <t>Juvenile Justice Code</t>
  </si>
  <si>
    <t>Kansas Age Discrimination In Employment Act</t>
  </si>
  <si>
    <t>Kansas Healing Arts Act</t>
  </si>
  <si>
    <t>Kansas Highway Patrol</t>
  </si>
  <si>
    <t>Kansas Liquor Control Act</t>
  </si>
  <si>
    <t>Kansas Offender Registration Act</t>
  </si>
  <si>
    <t>Kansas Sheep Council</t>
  </si>
  <si>
    <t>Kansas Uniform Securities Act</t>
  </si>
  <si>
    <t>Labor &amp; Industries</t>
  </si>
  <si>
    <t>Legislative Post Audit</t>
  </si>
  <si>
    <t>Levees</t>
  </si>
  <si>
    <t>Liquefied Petroleum Gas</t>
  </si>
  <si>
    <t>Listing Property for Taxation</t>
  </si>
  <si>
    <t>Livestock/Domestic Animals</t>
  </si>
  <si>
    <t>Livestock</t>
  </si>
  <si>
    <t>Loan Brokers</t>
  </si>
  <si>
    <t>Local Boards of Health</t>
  </si>
  <si>
    <t>Marriage</t>
  </si>
  <si>
    <t>Meat &amp; Poultry</t>
  </si>
  <si>
    <t>Medicaid fraud</t>
  </si>
  <si>
    <t>Medicaid</t>
  </si>
  <si>
    <t>Mental Health Tech</t>
  </si>
  <si>
    <t>Milk, Cream &amp; Dairy Products</t>
  </si>
  <si>
    <t>Mineral Severance Tax</t>
  </si>
  <si>
    <t>Mines &amp; Mining</t>
  </si>
  <si>
    <t>Mistreatment of an Elder Person</t>
  </si>
  <si>
    <t>Mistreatment of Dependent Adult</t>
  </si>
  <si>
    <t>Misuse of Public Funds</t>
  </si>
  <si>
    <t>Mortgage Business Act</t>
  </si>
  <si>
    <t>Motion Pictures</t>
  </si>
  <si>
    <t>Motor Carriers</t>
  </si>
  <si>
    <t>Murder</t>
  </si>
  <si>
    <t>Naturopathic Doctor Licensure Act</t>
  </si>
  <si>
    <t>New Goods Public Auction</t>
  </si>
  <si>
    <t>Nonsupport of Child</t>
  </si>
  <si>
    <t>Nonsupport of Spouse</t>
  </si>
  <si>
    <t>Notaries Public &amp; Commissioners</t>
  </si>
  <si>
    <t>Nuclear Energy Development &amp; Radiation Control Act</t>
  </si>
  <si>
    <t>Nurse Practice Act</t>
  </si>
  <si>
    <t>Obstructing Apprehension or Prosecution</t>
  </si>
  <si>
    <t>Obstruction of a Medicaid Fraud Investigation</t>
  </si>
  <si>
    <t>Odometers</t>
  </si>
  <si>
    <t>Official Misconduct</t>
  </si>
  <si>
    <t>Oil &amp; Gas</t>
  </si>
  <si>
    <t>Optometry Law</t>
  </si>
  <si>
    <t>Parimutuel Racing</t>
  </si>
  <si>
    <t>Parks/museums/lakes/recreational grounds</t>
  </si>
  <si>
    <t>Pawn Brokers and Precious Metal Dealers</t>
  </si>
  <si>
    <t>Performance of an Unauthorized Official Act</t>
  </si>
  <si>
    <t>Permitting False Claim</t>
  </si>
  <si>
    <t>Personal &amp; Family Protection Act</t>
  </si>
  <si>
    <t>Personal &amp; Real Property</t>
  </si>
  <si>
    <t>Pesticide Law</t>
  </si>
  <si>
    <t>Pet Animal Act</t>
  </si>
  <si>
    <t>Pharmacy Act</t>
  </si>
  <si>
    <t>Pharmacy</t>
  </si>
  <si>
    <t>Physical Therapy</t>
  </si>
  <si>
    <t>Physically Disabled Persons</t>
  </si>
  <si>
    <t>Physician Assistant Licensure Act</t>
  </si>
  <si>
    <t>Planning and Zoning</t>
  </si>
  <si>
    <t>Plant Pests</t>
  </si>
  <si>
    <t>Podiatrist</t>
  </si>
  <si>
    <t>Poultry Disease Control Act</t>
  </si>
  <si>
    <t>Presenting False Claim</t>
  </si>
  <si>
    <t>Private &amp; Out-of-State Postsecondary Educational Institution Act</t>
  </si>
  <si>
    <t>Private Investigative or Security Operations</t>
  </si>
  <si>
    <t>Prize Fights and Wrestling Matches Prohibited</t>
  </si>
  <si>
    <t>Production &amp; Conservation of Natural Gas</t>
  </si>
  <si>
    <t>Professional Counselor</t>
  </si>
  <si>
    <t>Promoting Material to Minors that is Harmful</t>
  </si>
  <si>
    <t>Promoting Obscenity to Minors</t>
  </si>
  <si>
    <t>Promoting Obscenity</t>
  </si>
  <si>
    <t>Promoting the Sale of Sexual Relations</t>
  </si>
  <si>
    <t>Protection Orders</t>
  </si>
  <si>
    <t>Psychologists</t>
  </si>
  <si>
    <t>Public Employees Retirement Systems</t>
  </si>
  <si>
    <t>Public Health</t>
  </si>
  <si>
    <t>Public Improvements</t>
  </si>
  <si>
    <t>Public Livestock Markets</t>
  </si>
  <si>
    <t>Public Nuisance</t>
  </si>
  <si>
    <t>Public Officers &amp; Employees</t>
  </si>
  <si>
    <t>Public Records Preservation</t>
  </si>
  <si>
    <t>Public Utilities</t>
  </si>
  <si>
    <t>Pyramid Promotional Scheme</t>
  </si>
  <si>
    <t>Radiologic Technologists Practice Act</t>
  </si>
  <si>
    <t>Radon Certification Law</t>
  </si>
  <si>
    <t>Railroad Companies</t>
  </si>
  <si>
    <t>Rape</t>
  </si>
  <si>
    <t>Real Estate Appraisers</t>
  </si>
  <si>
    <t>Real Estate Brokers' &amp; Salespersons' License Act</t>
  </si>
  <si>
    <t>Regulation of Labor &amp; Industry</t>
  </si>
  <si>
    <t>Regulation of Pharmacists</t>
  </si>
  <si>
    <t>Regulations of Equipment/Crude Oil/Products</t>
  </si>
  <si>
    <t>Reporting Abuse, Neglect or Exploitation of Certain Persons</t>
  </si>
  <si>
    <t>Residential Childhood Lead Poisoning Prevention Act</t>
  </si>
  <si>
    <t>Respiratory Therapy Practice Act</t>
  </si>
  <si>
    <t>Retailers' Sales Tax</t>
  </si>
  <si>
    <t>Revised Uniform Consumer Credit Code</t>
  </si>
  <si>
    <t>RICO Act</t>
  </si>
  <si>
    <t>Riot</t>
  </si>
  <si>
    <t>Roads &amp; Bridges</t>
  </si>
  <si>
    <t>Robbery</t>
  </si>
  <si>
    <t>Sabbath</t>
  </si>
  <si>
    <t>Safety Materials</t>
  </si>
  <si>
    <t>Sand &amp; Gravel</t>
  </si>
  <si>
    <t>Sanitation Controls</t>
  </si>
  <si>
    <t>Savings &amp; Loans Code</t>
  </si>
  <si>
    <t>School Safety &amp; Security Act</t>
  </si>
  <si>
    <t>Schools</t>
  </si>
  <si>
    <t>Scrap Metal Dealers</t>
  </si>
  <si>
    <t>Sec. of Health &amp; Environment, Activities</t>
  </si>
  <si>
    <t>Second Amendment Protection Act</t>
  </si>
  <si>
    <t>Sedition</t>
  </si>
  <si>
    <t>Sell Beverage Containers with Detachable Tabs</t>
  </si>
  <si>
    <t>Selling Sexual Relations</t>
  </si>
  <si>
    <t>Sewer Districts</t>
  </si>
  <si>
    <t>Sexual Battery</t>
  </si>
  <si>
    <t>Sexual Exploitation of Child</t>
  </si>
  <si>
    <t>Simulating the Legal Process</t>
  </si>
  <si>
    <t>Smoke Detector Act</t>
  </si>
  <si>
    <t>Social Workers</t>
  </si>
  <si>
    <t>Soil Amendment Act</t>
  </si>
  <si>
    <t>Soldiers, Sailors &amp; Patriotic Emblems</t>
  </si>
  <si>
    <t>Solid &amp; Hazardous Wastes</t>
  </si>
  <si>
    <t>Speech-Language Pathologists &amp; Audiologists</t>
  </si>
  <si>
    <t>Sports Bribery</t>
  </si>
  <si>
    <t>Stalking</t>
  </si>
  <si>
    <t>State Board of Technical Professionals</t>
  </si>
  <si>
    <t>State Corporation Commission</t>
  </si>
  <si>
    <t>State Fair</t>
  </si>
  <si>
    <t>State Gov. Ethics</t>
  </si>
  <si>
    <t>State Institutions for the Intellectually Disabled</t>
  </si>
  <si>
    <t>State Lottery</t>
  </si>
  <si>
    <t>Storage Tank Act</t>
  </si>
  <si>
    <t>Tampering with a Landmark</t>
  </si>
  <si>
    <t>Tampering with a Pipeline</t>
  </si>
  <si>
    <t>Tampering with a Public Notice</t>
  </si>
  <si>
    <t>Tampering with a Public Record</t>
  </si>
  <si>
    <t>Tampering with a Traffic Signal</t>
  </si>
  <si>
    <t>Tampering with Electronic Monitoring Equipment</t>
  </si>
  <si>
    <t>Tax</t>
  </si>
  <si>
    <t>Taxation</t>
  </si>
  <si>
    <t>Terrorism</t>
  </si>
  <si>
    <t>Theft Detection Shielding Device</t>
  </si>
  <si>
    <t>Theft of Property Lost, Mislaid or Delivered by Mistake</t>
  </si>
  <si>
    <t>Theft of Property or Services</t>
  </si>
  <si>
    <t>Throwing or Casting Rocks</t>
  </si>
  <si>
    <t>Townships &amp; Township Officers</t>
  </si>
  <si>
    <t>Trading Stamps</t>
  </si>
  <si>
    <t>Traffic Control Signal Preemption Device</t>
  </si>
  <si>
    <t>Trafficking in Contraband in Correctional Institution or Care and Treatment Facility</t>
  </si>
  <si>
    <t>Trafficking</t>
  </si>
  <si>
    <t>Treason</t>
  </si>
  <si>
    <t>Trespass on Railroad Property</t>
  </si>
  <si>
    <t>Trespassing</t>
  </si>
  <si>
    <t>Tribal Gaming Oversight</t>
  </si>
  <si>
    <t>Tribal Gaming</t>
  </si>
  <si>
    <t>Unfair Trade &amp; Consumer Protection</t>
  </si>
  <si>
    <t>Uniform Act Regulating Traffic</t>
  </si>
  <si>
    <t>Uniform Anatomical Gift Act</t>
  </si>
  <si>
    <t>Uniform Commercial Drivers' License Act</t>
  </si>
  <si>
    <t>Uniform Land Sales Practices Act</t>
  </si>
  <si>
    <t>Uniform Vital Statistics Act</t>
  </si>
  <si>
    <t>Unjustifiably Exposing a Convicted or Charged Person</t>
  </si>
  <si>
    <t>Unlawful Acts Concerning Certificates of Title</t>
  </si>
  <si>
    <t>Unlawful Administration of a Substance</t>
  </si>
  <si>
    <t>Unlawful Assembly</t>
  </si>
  <si>
    <t>Unlawful Discharge of a Firearm</t>
  </si>
  <si>
    <t>Unlawful Disposition of Animals</t>
  </si>
  <si>
    <t>Unlawful Endangerment</t>
  </si>
  <si>
    <t>Unlawful Hosting</t>
  </si>
  <si>
    <t>Unlawful Interference with a Firefighter</t>
  </si>
  <si>
    <t>Unlawful Interference with EMS Attendant</t>
  </si>
  <si>
    <t>Unlawful possession of a visual depiction of a child</t>
  </si>
  <si>
    <t>Unlawful Possession/Use of Reencoder</t>
  </si>
  <si>
    <t>Unlawful Possession/Use of Scanning Device</t>
  </si>
  <si>
    <t>Unlawful Public Demonstration at a Funeral</t>
  </si>
  <si>
    <t>Unlawful Sexual Relations</t>
  </si>
  <si>
    <t>Unlawful transmission of a visual depiction of a child</t>
  </si>
  <si>
    <t>Unlawful Use of Recordings</t>
  </si>
  <si>
    <t>Unlawful Voluntary Sexual Relations</t>
  </si>
  <si>
    <t>Vehicular Homicide</t>
  </si>
  <si>
    <t>Veterinary Practice Act</t>
  </si>
  <si>
    <t>Viatical Settlements Act</t>
  </si>
  <si>
    <t>Vital Records</t>
  </si>
  <si>
    <t>Voluntary Manslaughter</t>
  </si>
  <si>
    <t>Warehouse Receipt Fraud</t>
  </si>
  <si>
    <t>Warehouses</t>
  </si>
  <si>
    <t>Water Conditioning Contractors Act</t>
  </si>
  <si>
    <t>Water Supply and Distribution Districts</t>
  </si>
  <si>
    <t>Waters &amp; Watercourses</t>
  </si>
  <si>
    <t>Weeds</t>
  </si>
  <si>
    <t>Weights &amp; Measures</t>
  </si>
  <si>
    <t>Wildlife Parks &amp; Tourism</t>
  </si>
  <si>
    <t>Wildlife Violator Compact</t>
  </si>
  <si>
    <t>Witnesses</t>
  </si>
  <si>
    <t>Worker's Comp. Fraud</t>
  </si>
  <si>
    <t>Worker's Compensation</t>
  </si>
  <si>
    <t>Not Sure</t>
  </si>
  <si>
    <t>Abbreviated Charge Name</t>
  </si>
  <si>
    <t>Full Charge Name</t>
  </si>
  <si>
    <t>Statute</t>
  </si>
  <si>
    <t>1-316(a) - Accountants; Individual practicing certified public accountancy without a valid permit</t>
  </si>
  <si>
    <t>21-5605(a) - Abandonment; Of child less than 16</t>
  </si>
  <si>
    <t>65-6703(a) - Abortion; Abortion or attempt to abort a viable unborn child; 1st offense</t>
  </si>
  <si>
    <t>65-6703(a) - Abortion; Abortion or attempt to abort a viable unborn child; 2nd or subs. Conviction</t>
  </si>
  <si>
    <t>65-6703(c) - Abortion; Failure to perform medical tests and maintain records as provided in (c ); 1st offense</t>
  </si>
  <si>
    <t>65-6703(c) - Abortion; Failure to perform medical tests and maintain records as provided in (c); 2nd or subs. offense</t>
  </si>
  <si>
    <t>65-6703(b) - Abortion; Failure to provide written determination as provided in (b) to pregnant woman no less than 30 minutes prior to initiation of abortion; 1st offense</t>
  </si>
  <si>
    <t>65-6703(b) - Abortion; Failure to provide written determination as provided in (b) to pregnant woman no less than 30 minutes prior to initiation of abortion; 2nd or subs. offense</t>
  </si>
  <si>
    <t>65-6705(k) - Abortion; Intentional and knowing or reckless abortion on unemancipated minor</t>
  </si>
  <si>
    <t>65-6721(a) - Abortion; Partial birth abortion on viable fetus prohibited unless exceptions apply</t>
  </si>
  <si>
    <t>65-6724 - Abortion; Penalty for unauthorized "pain-capable" child abortion; Second or subs conviction</t>
  </si>
  <si>
    <t>65-6743(a)(1) - Abortion; Perform or attempt to perform dismemberment abortion; 1st conviction</t>
  </si>
  <si>
    <t>65-6743(a)(1) - Abortion; Perform or attempt to perform dismemberment abortion; 2nd conviction</t>
  </si>
  <si>
    <t>65-6726(a) - Abortion; Performing an abortion with knowledge that woman is seeking abortion solely on account of the sex of the unborn child; 1st conviction</t>
  </si>
  <si>
    <t>65-6726(a) - Abortion; Performing an abortion with knowledge that woman is seeking abortion solely on account of the sex of the unborn child; 2nd or subs. conviction</t>
  </si>
  <si>
    <t>65-6705(l)(1) - Abortion; Willful or knowing disclosure of the identity of a minor petitioning the court pursuant to this section or disclosure of any court record relating to such proceeding</t>
  </si>
  <si>
    <t>65-6705(l)(2) - Abortion; Willfully/knowingly permit or encourage disclosure of minor's identity or record</t>
  </si>
  <si>
    <t>1-316(b) - Accountants; Firm practicing certified public accountancy as a certified public accounting firm or C.P.A. firm without registering</t>
  </si>
  <si>
    <t>1-316(e) - Accountants; Issue a report or financial statements that references the American institute of certified public accountants without holding a permit to practice</t>
  </si>
  <si>
    <t>1-316(c) - Accountants; Use or assume title, abbreviation, designation, words, letters, sign, card or device likely to be confused with "certified public accountant." without valid Kansas certificate</t>
  </si>
  <si>
    <t>1-316(d)(3) - Accountants; Use professional or firm name or designation that is misleading as to any other matter</t>
  </si>
  <si>
    <t>1-316(d)(1) - Accountants; Use professional or firm name or designation that is misleading as to the legal form of the firm</t>
  </si>
  <si>
    <t>1-316(d)(2) - Accountants; Use professional or firm name or designation that is misleading as to the persons who are partners, officers, members, managers or shareholders of the firm</t>
  </si>
  <si>
    <t>65-6609(a) - Addiction Counselor Licensure Act; Effective Sept. 1, 2011; Engage in the practice of addiction counseling as a clinical addiction counselor or represent that such person is a licensed clinical addiction counselor or substance abuse counselor without having such license</t>
  </si>
  <si>
    <t>65-6609(b) - Addiction Counselor Licensure Act; Effective Sept. 1, 2011; Engage in the practice of addiction counseling or represent that such person is a licensed addiction counselor, substance abuse counselor or alcohol and drug counselor without having such license</t>
  </si>
  <si>
    <t>21-5837(a)(2) - Adding Dockage or Foreign Material to Grain; Knowingly recombining any dockage or foreign material once removed from grain with any grain intended to be marketed</t>
  </si>
  <si>
    <t>21-5837(a)(1) - Adding Dockage or Foreign Material to Grain; Knowingly; grain intended to be marketed</t>
  </si>
  <si>
    <t>59-2123(a)(1) - Adoption; Advertise that one will adopt, find an adoptive home for a child or otherwise place a child for adoption, if not a licensed child placement agency</t>
  </si>
  <si>
    <t>59-2130(e) - Adoption; Employee or agent of the department of social and rehabilitation services, a child-placing agency or a district court who intentionally destroys any information required to be filed under this section</t>
  </si>
  <si>
    <t>59-2120 - Adoption; Failure of professional providing services related to the placement of children to comply with the provisions of the interstate compact for the placement of children</t>
  </si>
  <si>
    <t>59-2121(b) - Adoption; Knowingly failing to list all consideration or disbursements</t>
  </si>
  <si>
    <t>59-2123(a)(2) - Adoption; Offer to adopt, find a home for or otherwise place a child as an inducement to a woman to come to such person's maternity center during pregnancy or after delivery</t>
  </si>
  <si>
    <t>59-2123(a)(3) - Adoption; Offer to adopt, find a home for or otherwise place a child as an inducement to any parent, guardian or custodian of a child to place such child in such person's home, institution or establishment</t>
  </si>
  <si>
    <t>59-2121(a) - Adoption; Receive or accept clearly excessive fees or expenses</t>
  </si>
  <si>
    <t>39-939(b) - Adult Care Home Licensure Act; Abuse, neglect, or cruel treatment of any resident</t>
  </si>
  <si>
    <t>39-939(c) - Adult Care Home Licensure Act; Admit to resident status, any person who is known to suffer from any disease or condition for which the home is not authorized to provide care</t>
  </si>
  <si>
    <t>39-939(a) - Adult Care Home Licensure Act; House, care for or permit any resident to stay in any unapproved room, area, or detached building</t>
  </si>
  <si>
    <t>39-940(b)(3) - Adult Care Home Licensure Act; Knowingly file false or incomplete records or reports</t>
  </si>
  <si>
    <t>39-940(b)(1) - Adult Care Home Licensure Act; Make false entries in forms for application, reports, records or inspections</t>
  </si>
  <si>
    <t>39-940(b)(2) - Adult Care Home Licensure Act; Omit information required or make false report concerning adult care home</t>
  </si>
  <si>
    <t>39-970(f)(5) - Adult Care Home Licensure Act; Unauthorized disclosure of criminal history record</t>
  </si>
  <si>
    <t>39-975(a) - Adult Care Homes; Representing a person as an operator without registration under the act</t>
  </si>
  <si>
    <t>21-5511(a)(1) - Adultery; Engaging in sexual intercourse or sodomy; when offender is married</t>
  </si>
  <si>
    <t>21-5511(a)(2) - Adultery; Engaging in sexual intercourse or sodomy; when offender is not married but knows other person is married</t>
  </si>
  <si>
    <t>21-5605(b) - Aggravated Abandonment; Of a child less than 16 resulting in great bodily harm</t>
  </si>
  <si>
    <t>21-5812(b)(2) - Aggravated Arson; Arson resulting in great bodily harm or disfigurement to a firefighter or law enforcement officer</t>
  </si>
  <si>
    <t>21-5812(b)(1) - Aggravated Arson; Arson to building or property in which there is a human being; resulting in no substantial risk of bodily harm</t>
  </si>
  <si>
    <t>21-5812(b)(1) - Aggravated Arson; Arson to building or property in which there is a human being; resulting in substantial risk of bodily harm</t>
  </si>
  <si>
    <t>21-5412(d)(2) - Aggravated Assault; On a state, county, city, university or campus law enforcement officer while disguised in any manner designed to conceal identity</t>
  </si>
  <si>
    <t>21-5412(d)(1) - Aggravated Assault; On a state, county, city, university or campus law enforcement officer with a deadly weapon</t>
  </si>
  <si>
    <t>21-5412(d)(3) - Aggravated Assault; On a state, county, city, university or campus law enforcement officer with the intent to commit a felony</t>
  </si>
  <si>
    <t>21-5412(b)(2) - Aggravated Assault; While disguised in any manner designed to conceal identity</t>
  </si>
  <si>
    <t>21-5412(b)(1) - Aggravated Assault; With a deadly weapon</t>
  </si>
  <si>
    <t>21-5412(b)(3) - Aggravated Assault; With intent to commit any felony</t>
  </si>
  <si>
    <t>21-5413(d)(1)(D) - Aggravated Battery; Attorney while engaged in performance of duty</t>
  </si>
  <si>
    <t>21-5413(d)(2)(D) - Aggravated Battery; Attorney while engaged in performance of duty</t>
  </si>
  <si>
    <t>21-5413(d)(2)(B) - Aggravated Battery; Campus or university police officer; knowingly causing bodily harm with a deadly weapon; physical contact done in a rude, insulting or angry manner, with a deadly weapon or in a manner whereby great bodily harm, disfigurement or death can be inflicted</t>
  </si>
  <si>
    <t>21-5413(d)(3)(B) - Aggravated Battery; Campus or university police officer; knowingly causing bodily harm with a motor vehicle</t>
  </si>
  <si>
    <t>21-5413(d)(1)(B) - Aggravated Battery; Campus or university police officer; knowingly causing great bodily harm or disfigurement</t>
  </si>
  <si>
    <t>21-5413(b)(3)(B) - Aggravated Battery; Committing an act described in K.S.A. 8-1567 (DUI) when bodily harm results and great bodily harm, disfigurement or death can result</t>
  </si>
  <si>
    <t>21-5413(b)(3)(A) - Aggravated Battery; Committing an act described in K.S.A. 8-1567 (DUI) when great bodily harm or disfigurement results</t>
  </si>
  <si>
    <t>21-5413(d)(1)(E) - Aggravated Battery; Community corrections or court services officer while engaged in performance of duty</t>
  </si>
  <si>
    <t>21-5413(d)(2)(E) - Aggravated Battery; Community corrections or court services officer while engaged in performance of duty</t>
  </si>
  <si>
    <t>21-5413(d)(1)(C) - Aggravated Battery; Judge while engaged in performance of duty</t>
  </si>
  <si>
    <t>21-5413(d)(2)(C) - Aggravated Battery; Judge while engaged in performance of duty</t>
  </si>
  <si>
    <t>21-5413(b)(1)(B) - Aggravated Battery; Knowingly causing bodily harm to another with a deadly weapon, or in a manner whereby great bodily harm, disfigurement or death can be inflicted</t>
  </si>
  <si>
    <t>21-5413(b)(1)(A) - Aggravated Battery; Knowingly causing great bodily harm or disfigurement</t>
  </si>
  <si>
    <t>21-5413(b)(1)(C) - Aggravated Battery; Knowingly causing physical contact when done in a rude, insulting or angry manner with a deadly weapon, or in a manner whereby great bodily harm, disfigurement or death can be inflicted</t>
  </si>
  <si>
    <t>21-5413(b)(2)(B) - Aggravated Battery; Recklessly causing bodily harm to another with a deadly weapon, or in a manner whereby great bodily harm, disfigurement or death can be inflicted</t>
  </si>
  <si>
    <t>21-5413(b)(2)(A) - Aggravated Battery; Recklessly causing great bodily harm or disfigurement</t>
  </si>
  <si>
    <t>21-5413(d)(2)(A) - Aggravated Battery; State, county or city law enforcement officer; knowingly causing bodily harm with a deadly weapon; physical contact done in a rude, insulting or angry manner, with a deadly weapon or in a manner whereby great bodily harm, disfigurement or death can be inflicted</t>
  </si>
  <si>
    <t>21-5413(d)(3)(A) - Aggravated Battery; State, county or city law enforcement officer; knowingly causing bodily harm with a motor vehicle</t>
  </si>
  <si>
    <t>21-5413(d)(1)(A) - Aggravated Battery; State, county or city law enforcement officer; knowingly causing great bodily harm or disfigurement</t>
  </si>
  <si>
    <t>21-5807(b)(3) - Aggravated Burglary; Without authority, enter a vehicle, aircraft, watercraft, railroad car or other means of conveyance in which there is a human being with intent to commit a felony, theft or sexually motivated crime therein</t>
  </si>
  <si>
    <t>21-5807(b)(2) - Aggravated Burglary; Without authority, enter into or remain within any building, or other structure which is not a dwelling in which there is a human being, with intent to commit a felony, theft or sexually motivated crime therein</t>
  </si>
  <si>
    <t>21-5807(b)(1) - Aggravated Burglary; Without authority, enter into or remain within any dwelling in which there is a human being, with intent to commit a felony, theft or sexually motivated crime therein</t>
  </si>
  <si>
    <t>21-5813(b) - Aggravated Criminal Damage to Property; By means other than fire or explosive; Knowingly damage, deface, destroy, or substantially impair the use of any property without consent; value or amount of damage exceeds $5,000, committed with intent to obtain scrap metal</t>
  </si>
  <si>
    <t>21-5415(b) - Aggravated Criminal Threat; When public, commercial or industrial building, place of assembly or facility of transportation is evacuated, locked down or disrupted as to regular, ongoing activities as result of threat</t>
  </si>
  <si>
    <t>21-6317(b)(1) - Aggravated Endangering the Food Supply; Knowingly endangering with intent to cause damage to plants or animals or economic harm or social unrest</t>
  </si>
  <si>
    <t>21-6317(b)(2) - Aggravated Endangering the Food Supply; Knowingly endangering with intent to cause illness or injury or death to human being(s)</t>
  </si>
  <si>
    <t>21-5911(b)(2)(F) - Aggravated Escape From Custody; By use of or threat of violence against any person while held by a person 18 or over who is being held on charge or adjudication of a misdemeanor or felony</t>
  </si>
  <si>
    <t>21-5911(b)(2)(B) - Aggravated Escape From Custody; By use of or threat of violence against any person while held on a charge or adjudication as a juvenile offender where act, if committed by adult, would be a felony</t>
  </si>
  <si>
    <t>21-5911(b)(2)(A) - Aggravated Escape From Custody; By use of or threat of violence against any person while held on a charge or conviction of any crime</t>
  </si>
  <si>
    <t>21-5911(b)(2)(C) - Aggravated Escape From Custody; By use of or threat of violence against any person while held prior to or upon a finding of probable cause for evaluation as a sexually violent predator</t>
  </si>
  <si>
    <t>21-5911(b)(2)(E) - Aggravated Escape From Custody; By use of or threat of violence against any person while held upon a commitment to the state security hospital</t>
  </si>
  <si>
    <t>21-5911(b)(2)(D) - Aggravated Escape From Custody; By use of or threat of violence against any person while held upon commitment to a treatment facility as a sexually violent predator</t>
  </si>
  <si>
    <t>21-5911(b)(2)(G) - Aggravated Escape From Custody; By use of or threat of violence against any person while held upon incarceration at a state correctional institution in the custody of secretary of corrections</t>
  </si>
  <si>
    <t>21-5911(b)(1)(F) - Aggravated Escape From Custody; While held in custody by a person 18 or over who is being held on an adjudication of a felony</t>
  </si>
  <si>
    <t>21-5911(b)(1)(B) - Aggravated Escape From Custody; While held on charge, adjudication or arrest as a juvenile offender where act, if committed by adult, would be a felony</t>
  </si>
  <si>
    <t>21-5911(b)(1)(A) - Aggravated Escape From Custody; While held on charge, conviction of or arrest for a felony</t>
  </si>
  <si>
    <t>21-5911(b)(1)(C) - Aggravated Escape From Custody; While held prior to or upon finding of probable cause for evaluation as a sexually violent predator</t>
  </si>
  <si>
    <t>21-5911(b)(1)(E) - Aggravated Escape From Custody; While held upon a commitment to the state security hospital as provided in K.S.A. 22-3428, based on a finding that the person committed an act constituting a felony</t>
  </si>
  <si>
    <t>21-5911(b)(1)(D) - Aggravated Escape From Custody; While held upon commitment to treatment facility as a sexually violent predator</t>
  </si>
  <si>
    <t>21-5911(b)(1)(G) - Aggravated Escape From Custody; While held upon incarceration at a state correctional institution in the custody of the secretary of corrections</t>
  </si>
  <si>
    <t>21-5915(b) - Aggravated Failure to Appear; Knowingly incurring a forfeiture of an appearance bond and failing to surrender oneself within 30 days of forfeiture or conviction by one who is charged with or convicted of a felony</t>
  </si>
  <si>
    <t>21-5917(b)(3) - Aggravated False Impersonation; Acknowledging the execution of any conveyance of property, or any other instrument which by law may be recorded</t>
  </si>
  <si>
    <t>21-5917(b)(4) - Aggravated False Impersonation; Any other act in the course of a suit, proceeding or prosecution whereby the person who is represented or impersonated may be made liable for payment of any debt, damages, costs or sum of money, or such person's rights or interests may be in any manner affected</t>
  </si>
  <si>
    <t>21-5917(b)(1) - Aggravated False Impersonation; Becoming bail or security, or acknowledging or executing any bond or other instrument as bail or security, for any party in any proceeding</t>
  </si>
  <si>
    <t>21-5917(b)(2) - Aggravated False Impersonation; Confessing any judgment</t>
  </si>
  <si>
    <t>21-5426(b)(2) - Aggravated Human Trafficking; Commit, attempt, conspire or solicit to commit; Human trafficking committed for the purpose of sexual gratification; victim under 14; offender 18 or older</t>
  </si>
  <si>
    <t>21-5426(b)(1) - Aggravated Human Trafficking; Commit, attempt, conspire or solicit to commit; Human trafficking involving kidnapping or attempted kidnapping; victim under 14; offender 18 or older</t>
  </si>
  <si>
    <t>21-5426(b)(3) - Aggravated Human Trafficking; Commit, attempt, conspire or solicit to commit; Human trafficking resulting in a death; victim under 14; offender 18 or older</t>
  </si>
  <si>
    <t>21-5426(b)(4) - Aggravated Human Trafficking; Commit, attempt, conspire or solicit to commit; Involve, recruit, harbor, transport, provide or obtain a person under 14 for forced labor, involuntary servitude or sexual gratification; offender 18 yrs of age or older</t>
  </si>
  <si>
    <t>21-5426(b)(2) - Aggravated Human Trafficking; Human trafficking committed for the purpose of sexual gratification</t>
  </si>
  <si>
    <t>21-5426(b)(1) - Aggravated Human Trafficking; Human trafficking involving kidnapping or attempted kidnapping</t>
  </si>
  <si>
    <t>21-5426(b)(3) - Aggravated Human Trafficking; Human trafficking resulting in a death</t>
  </si>
  <si>
    <t>21-5426(b)(4) - Aggravated Human Trafficking; Involve, recruit, harbor, transport, provide or obtain a person under 18 for forced labor, involuntary servitude or sexual gratification</t>
  </si>
  <si>
    <t>21-5409(b)(2)(B) - Aggravated Interference with Parental Custody; Commission of interference with parental custody by one who commits the crime for hire</t>
  </si>
  <si>
    <t>21-5409(b)(2)(F) - Aggravated Interference with Parental Custody; Commission of interference with parental custody by one who detains or conceals the child in an unknown place, whether inside or outside the state</t>
  </si>
  <si>
    <t>21-5409(b)(2)(A) - Aggravated Interference with Parental Custody; Commission of interference with parental custody by one who has previously been convicted of the crime</t>
  </si>
  <si>
    <t>21-5409(b)(2)(C) - Aggravated Interference with Parental Custody; Commission of interference with parental custody by one who takes the child outside the state without consent of one with custody or the court</t>
  </si>
  <si>
    <t>21-5409(b)(2)(D) - Aggravated Interference with Parental Custody; Commission of interference with parental custody by one who, after lawfully taking the child outside the state while exercising visitation rights or parenting time, refuses to return the child at the expiration of that time</t>
  </si>
  <si>
    <t>21-5409(b)(2)(E) - Aggravated Interference with Parental Custody; Commission of interference with parental custody by one who, at the expiration of any visitation rights or parenting time outside the state, refuses to return or impedes the return of the child</t>
  </si>
  <si>
    <t>21-5409(b)(1) - Aggravated Interference with Parental Custody; Hiring one to commit crime of interference with parental custody</t>
  </si>
  <si>
    <t>21-5922(b) - Aggravated Interference with Public Business; Interference when in possession of firearm or weapon</t>
  </si>
  <si>
    <t>21-5909(b)(3) - Aggravated Intimidation of a Witness or Victim; By one who has prior conviction for corruptly influencing a witness, or a violation of this act or any similar crime</t>
  </si>
  <si>
    <t>21-5909(b)(5) - Aggravated Intimidation of a Witness or Victim; Committed for pecuniary gain or for any other consideration by a person acting upon the request of another person</t>
  </si>
  <si>
    <t>21-5909(b)(1) - Aggravated Intimidation of a Witness or Victim; Express or implied threat of force or violence against a witness, victim or other person or the property of any witness, victim or other person</t>
  </si>
  <si>
    <t>21-5909(b)(2) - Aggravated Intimidation of a Witness or Victim; In furtherance of a conspiracy</t>
  </si>
  <si>
    <t>21-5909(b)(4) - Aggravated Intimidation of a Witness or Victim; Witness or victim is under 18</t>
  </si>
  <si>
    <t>21-5408(b) - Aggravated Kidnapping; Bodily harm inflicted upon the person kidnapped</t>
  </si>
  <si>
    <t>21-5420(b) - Aggravated Robbery; Armed with a dangerous weapon or inflicts bodily harm upon a person during robbery</t>
  </si>
  <si>
    <t>21-5817(b) - Aggravated Tampering with a Traffic Signal; Tampering which creates an unreasonable risk of an accident causing death or great bodily injury of any person</t>
  </si>
  <si>
    <t>21-5611(b)(1)(B) - Aggravated unlawful transmission of a visual depiction of a child; Knowingly transmitting a visual depiction of a child 12 or more years of age but less than 18 years of age in a state of nudity for pecuniary gain</t>
  </si>
  <si>
    <t>21-5611(b)(1)(B) - Aggravated unlawful transmission of a visual depiction of a child; Knowingly transmitting a visual depiction of a child 12 or more years of age but less than 18 years of age in a state of nudity for pecuniary gain; 2nd or subsequent offense</t>
  </si>
  <si>
    <t>21-5611(b)(1)(C) - Aggravated unlawful transmission of a visual depiction of a child; Knowingly transmitting a visual depiction of a child 12 or more years of age but less than 18 years of age in a state of nudity with the intent to exhibit or transmit such visual depiction to more than one person</t>
  </si>
  <si>
    <t>21-5611(b)(1)(C) - Aggravated unlawful transmission of a visual depiction of a child; Knowingly transmitting a visual depiction of a child 12 or more years of age but less than 18 years of age in a state of nudity with the intent to exhibit or transmit such visual depiction to more than one person; 2nd or subsequent offense</t>
  </si>
  <si>
    <t>21-5611(b)(1)(A) - Aggravated unlawful transmission of a visual depiction of a child; Knowingly transmitting a visual depiction of a child 12 or more years of age but less than 18 years of age in a state of nudity with the intent to harass, embarrass, intimidate, defame or otherwise inflict emotional, psychological or physical harm</t>
  </si>
  <si>
    <t>21-5611(b)(1)(A) - Aggravated unlawful transmission of a visual depiction of a child; Knowingly transmitting a visual depiction of a child 12 or more years of age but less than 18 years of age in a state of nudity with the intent to harass, embarrass, intimidate, defame or otherwise inflict emotional, psychological or physical harm; 2nd or subsequent offense</t>
  </si>
  <si>
    <t>21-6305(a)(1) - Aggravated Weapons Violation by a Convicted Felon; Violation of subsections (a)(1) through (a)(3) of K.S.A. 21-6301 or K.S.A. 21-6302 by a person who within 5 yrs preceding the violation, has been convicted of a nonperson felony or released from imprisonment for such nonperson felony</t>
  </si>
  <si>
    <t>21-6305(a)(2) - Aggravated Weapons Violation by a Convicted Felon; Violation of subsections (a)(1) through (a)(3) of K.S.A. 21-6301 or subsections (a)(1) through (a)(4) of K.S.A. 21-6302 by a person who has been convicted of a person felony or has been released from imprisonment for such and has not had the conviction expunged or been pardoned for such crime</t>
  </si>
  <si>
    <t>21-6305(a)(2) - Aggravated Weapons Violation by a Convicted Felon; Violation of subsections (a)(4) through (a)(6) of K.S.A. 21-6301 or subsection (a)(5) of K.S.A. 21-6302 by a person who has been convicted of a person felony or has been released from imprisonment for such and has not had the conviction expunged or been pardoned for such crime</t>
  </si>
  <si>
    <t>21-6305(a)(1) - Aggravated Weapons Violation by a Convicted Felon; Violation of subsections (a)(4) through (a)(6) of K.S.A. 21-6301 or subsection (a)(5) of K.S.A. 21-6302 by a person who within 5 yrs preceding the violation, has been convicted of a nonperson felony or released from imprisonment for such nonperson felony</t>
  </si>
  <si>
    <t>2-2203(b)(1) - Agricultural Chemical Act of 1947; Detach, alter, deface, or destroy, any label or labeling required; add substance to, or take substance from, an agricultural chemical which may defeat the purposes of this act</t>
  </si>
  <si>
    <t>2-2203(a)(7) - Agricultural Chemical Act of 1947; Distribution/sale of any agricultural chemical which is adulterated or misbranded</t>
  </si>
  <si>
    <t>2-2203(a)(3) - Agricultural Chemical Act of 1947; Distribution/sale of any agricultural chemical with different composition from what is represented in connection with its registration, unless authorized by the secretary</t>
  </si>
  <si>
    <t>2-2203(a)(4) - Agricultural Chemical Act of 1947; Distribution/sale of any agricultural chemical, not in the registrant's or manufacturer's unbroken immediate container and properly labeled</t>
  </si>
  <si>
    <t>2-2203(a)(5) - Agricultural Chemical Act of 1947; Distribution/sale of any improperly labeled agricultural chemical which contains any substance or substances in quantities highly toxic to man</t>
  </si>
  <si>
    <t>2-2203(a)(6) - Agricultural Chemical Act of 1947; Distribution/sale of certain chemicals without distinctly coloring such as required</t>
  </si>
  <si>
    <t>2-2203(a)(2) - Agricultural Chemical Act of 1947; Distribution/sale; agricultural chemical, with claims or directions differing in substance from representations made in its registration</t>
  </si>
  <si>
    <t>2-2203(a)(1) - Agricultural Chemical Act of 1947; Distribution/sale; unregistered agricultural chemical</t>
  </si>
  <si>
    <t>2-2203(b)(2) - Agricultural Chemical Act of 1947; Use for his or her own advantage or to reveal, other than to authorized persons, any information relative to formulas of products acquired by authority of K.S.A. 2-2204</t>
  </si>
  <si>
    <t>17-5902(b) - Agricultural Corporations; Knowingly submit false or materially misleading information or statements; fail or refuse to submit information and statements as required</t>
  </si>
  <si>
    <t>2-2904(b) - Agricultural Liming Materials Act; Sale of agricultural liming material containing toxic materials in quantities injurious to plants or animals</t>
  </si>
  <si>
    <t>2-2904(a) - Agricultural Liming Materials Act; Sale of noncompliant agricultural liming material</t>
  </si>
  <si>
    <t>2-1421(b)(1) - Agricultural Seeds; Sale/Distribution of; alter or deface any label so that the information is false or misleading or to mutilate any label</t>
  </si>
  <si>
    <t>-168709 - Agricultural Seeds; Sale/Distribution of; certification of Seeds/Plant Parts; issue, make, use or circulate any certification, or evidence of certification, without authority and approval</t>
  </si>
  <si>
    <t>2-1421(b)(2) - Agricultural Seeds; Sale/Distribution of; disseminate any false or misleading advertisements concerning agricultural seed</t>
  </si>
  <si>
    <t>2-1421(b)(5) - Agricultural Seeds; Sale/Distribution of; fail to comply with a stop sale order, or to move or otherwise handle or dispose of any quantity of seed held under a stop sale order, or a stop sale tag attached</t>
  </si>
  <si>
    <t>2-1421(b)(4) - Agricultural Seeds; Sale/Distribution of; hinder or obstruct the secretary or an authorized representative of the secretary in the performance of official duties</t>
  </si>
  <si>
    <t>2-1421(b)(3) - Agricultural Seeds; Sale/Distribution of; issue any statement, invoice or declaration as to the variety of any agricultural seed which is false or misleading</t>
  </si>
  <si>
    <t>2-1421(a)(8) - Agricultural Seeds; Sale/Distribution of; sale, offer for sale or advertise ag. seeds by variety name not certified by an official seed certifying agency, if such certification is required</t>
  </si>
  <si>
    <t>2-1421(a)(6) - Agricultural Seeds; Sale/Distribution of; sale, offer for sale or advertise ag. seeds containing more than 1% of weed seeds by weight, unless an exception herein applies</t>
  </si>
  <si>
    <t>2-1421(a)(4) - Agricultural Seeds; Sale/Distribution of; Sale, offer for sale or advertise ag. seeds containing noxious weed seeds</t>
  </si>
  <si>
    <t>2-1421(a)(5) - Agricultural Seeds; Sale/Distribution of; sale, offer for sale or advertise ag. seeds containing restricted weed seeds in excess of the quantity prescribed by subsection (k) of K.S.A. 2-1415</t>
  </si>
  <si>
    <t>2-1421(a)(3) - Agricultural Seeds; Sale/Distribution of; Sale, offer for sale or advertise ag. seeds having a false, misleading or incomplete label</t>
  </si>
  <si>
    <t>2-1421(a)(7) - Agricultural Seeds; Sale/Distribution of; sale, offer for sale or advertise ag. seeds labeled, advertised or represented to be certified or registered unless so certified or registered</t>
  </si>
  <si>
    <t>2-1421(a)(2) - Agricultural Seeds; Sale/Distribution of; Sale, offer for sale or advertise ag. seeds not properly labeled</t>
  </si>
  <si>
    <t>2-1421(a)(9) - Agricultural Seeds; Sale/Distribution of; sale, offer for sale or advertise ag. seeds without having registered with the secretary as required by K.S.A. 2-1421a</t>
  </si>
  <si>
    <t>2-1421(a)(1) - Agricultural Seeds; Sale/Distribution of; sale, offer for sale or advertise ag. seeds without testing to determine percentage of germination completed within a 9 month period immediately prior</t>
  </si>
  <si>
    <t>-176745 - Agricultural Seeds; Sale/Distribution of; sale/exchange of untested or unlabeled agricultural seeds</t>
  </si>
  <si>
    <t>2-1421(b)(6) - Agricultural Seeds; Sale/Distribution of; use the word "trace" as a substitute for any statement which is required</t>
  </si>
  <si>
    <t>2-1421(b)(7) - Agricultural Seeds; Sale/Distribution of; use the word "type" in any labeling in connection with the name of any agricultural seed variety</t>
  </si>
  <si>
    <t>21-5912(a)(1) - Aiding an Escape; Assist another to escape from such lawful custody</t>
  </si>
  <si>
    <t>21-5912(a)(1) - Aiding an Escape; Assist another to escape from such lawful custody; KDOC employee/volunteer or KDOC contractor employee/volunteer</t>
  </si>
  <si>
    <t>21-5912(a)(3) - Aiding an Escape; Introduce into an institution any object or thing adapted or designed for use in an escape</t>
  </si>
  <si>
    <t>21-5912(a)(3) - Aiding an Escape; Introduce into an institution any object or thing adapted or designed for use in an escape; KDOC employee/volunteer or KDOC contractor employee/volunteer</t>
  </si>
  <si>
    <t>21-5912(a)(2) - Aiding an Escape; Supply to another any object or thing adapted or designed for use in making an escape</t>
  </si>
  <si>
    <t>21-5912(a)(2) - Aiding an Escape; Supply to another any object or thing adapted or designed for use in making an escape; KDOC employee/volunteer or KDOC contractor employee/volunteer</t>
  </si>
  <si>
    <t>65-6017(e) - AIDS &amp; Hepatitis B; Breach in confidentiality of Court ordered testing of certain offenders in custody of secretary of corrections or commissioner of juvenile justice authority</t>
  </si>
  <si>
    <t>65-6005 - AIDS &amp; Hepatitis B; Disclosure of information made confidential and prohibited from disclosure under K.S.A. 65-6002 through 65-6004</t>
  </si>
  <si>
    <t>65-6016(a) - AIDS &amp; Hepatitis B; Unauthorized disclosure by corrections employees, of confidential information pertaining to infectious disease</t>
  </si>
  <si>
    <t>65-6010(b) - AIDS &amp; Hepatitis B; Unauthorized disclosure of confidential results of tests or reports, or information therein, obtained under this act</t>
  </si>
  <si>
    <t>65-6005 - AIDS &amp; Hepatitis B; Violate, refuse or neglect to obey any provision of K.S.A. 65-6001 through 65-6004</t>
  </si>
  <si>
    <t>65-3025(h) - Air Quality Act; Destroy, alter or conceal any record required to be maintained under this act</t>
  </si>
  <si>
    <t>65-3025(b) - Air Quality Act; Knowingly violate an approval or permit issued under this act</t>
  </si>
  <si>
    <t>65-3025(a) - Air Quality Act; Knowingly violate an order issued under this act</t>
  </si>
  <si>
    <t>65-3025(d) - Air Quality Act; Knowingly violate any provision of K.S.A. 65-3025</t>
  </si>
  <si>
    <t>65-3025(g) - Air Quality Act; Make any false material statement, representation or certification in any application, record, report, permit or other document filed, maintained or used for purposes of compliance with this act</t>
  </si>
  <si>
    <t>65-3026(b) - Air Quality Act; Penalty for knowingly violating provisions of K.S.A. 65-3025</t>
  </si>
  <si>
    <t>65-3025(e) - Air Quality Act; Refuse or hinder entry, inspection, sampling or examination or copying of records related to this act by an agent/employee of the secretary after identification of agent/employee and notice of the agent/employee purpose</t>
  </si>
  <si>
    <t>65-3025(e) - Air Quality Act; Refuse or hinder entry, inspection, sampling or examination or copying of records related to this act by an identified agent/employee of the secretary after receiving notice of the agent/employee purpose</t>
  </si>
  <si>
    <t>65-3025(c) - Air Quality Act; Unauthorized violation of this act or any rule and regulation promulgated under this act</t>
  </si>
  <si>
    <t>65-3025(d) - Air Quality Act; Violate any of the provisions of subsections (a) through (f) of K.S.A. 65-3025</t>
  </si>
  <si>
    <t>65-3025(c) - Air Quality Act; Violate of any provision of this act or any rule and regulation promulgated under this act, unless authorized by the secretary</t>
  </si>
  <si>
    <t>65-3025(b) - Air Quality Act; Violation of any provision of an approval or permit issued under this act</t>
  </si>
  <si>
    <t>65-3025(a) - Air Quality Act; Violation of any provision of an order issued under this act</t>
  </si>
  <si>
    <t>3-202 - Aircraft &amp; Airfields; Navigate any aircraft or use any aircraft for instruction in the art of navigation, without a pilot's certificate</t>
  </si>
  <si>
    <t>-327927 - Aircraft &amp; Airfields; Operation Under Influence of Alcohol</t>
  </si>
  <si>
    <t>-327196 - Aircraft &amp; Airfields; Operation Under Influence of Alcohol of Drugs; unreasonable refusal to consent to a chemical test of blood, breath or urine</t>
  </si>
  <si>
    <t>-328292 - Aircraft &amp; Airfields; Operation Under Influence of Drugs</t>
  </si>
  <si>
    <t>3-204 - Aircraft &amp; Airfields; Pilot to present license on demand</t>
  </si>
  <si>
    <t>3-203 - Aircraft &amp; Airfields; Violation of air commerce regulations</t>
  </si>
  <si>
    <t>21-6321(a)(2) - Alcohol Without Liquid Machine; Knowingly purchase, sell or offer for sale an alcohol without liquid machine</t>
  </si>
  <si>
    <t>21-6321(a)(1) - Alcohol Without Liquid Machine; Knowingly use any alcohol without liquid machine to inhale alcohol vapor or otherwise introduce alcohol in any form into the human body</t>
  </si>
  <si>
    <t>65-4012 - Alcoholism &amp; Intoxication Treatment; Establish or operate a public or private treatment facility without a license</t>
  </si>
  <si>
    <t>21-5827(a) - Altering a Legislative Document; Knowingly mutilate, alter or change, otherwise than in the regular course of legislation, any act, bill or resolution introduced into or acted upon by either or both houses of the legislature of this state either before or after such act, bill or resolution has been signed by the governor</t>
  </si>
  <si>
    <t>44-1610(a) - Amusement Ride Inspection; Knowing violation of safety rules by owner or operator</t>
  </si>
  <si>
    <t>44-1610(b) - Amusement Ride Inspection; Violate availability of inspection records and safety instructions</t>
  </si>
  <si>
    <t>21-1213(a)(7) - Animals &amp; Nuisances; Sale of live bruecella abortus to unauthorized person</t>
  </si>
  <si>
    <t>21-1213(a)(8) - Animals &amp; Nuisances; Sale of live bruecella abortus to unauthorized vendor</t>
  </si>
  <si>
    <t>21-1213(a)(4) - Animals &amp; Nuisances; Sale of rabies vaccine to unauthorized person</t>
  </si>
  <si>
    <t>21-1213(a)(5) - Animals &amp; Nuisances; Sale of rabies vaccine to unauthorized vendor</t>
  </si>
  <si>
    <t>21-1213(a)(1) - Animals &amp; Nuisances; Unlawful injection of live bruecella abortus</t>
  </si>
  <si>
    <t>21-1213(a)(2) - Animals &amp; Nuisances; Unlawful injection of rabies vaccine</t>
  </si>
  <si>
    <t>21-1213(a)(6) - Animals &amp; Nuisances; Unlawful purchase of live bruecella abortus</t>
  </si>
  <si>
    <t>21-1213(a)(3) - Animals &amp; Nuisances; Unlawful purchase of rabies vaccine</t>
  </si>
  <si>
    <t>74-5408 - Antiquities Commission; Penalties for violations of act</t>
  </si>
  <si>
    <t>877283 - Appearance Bonds; Apply for replacement or new driver's license prior to return of original one which was posted as bond; punished in accordance with 8-2116; 1st offense</t>
  </si>
  <si>
    <t>877283 - Appearance Bonds; Apply for replacement or new driver's license prior to return of original one which was posted as bond; punished in accordance with 8-2116; 2nd offense</t>
  </si>
  <si>
    <t>877283 - Appearance Bonds; Apply for replacement or new driver's license prior to return of original one which was posted as bond; punished in accordance with 8-2116; 3rd offense</t>
  </si>
  <si>
    <t>58-4723(c) - Appraisal Management Company Registration Act; Violation of the act or of any rule or regulation adopted thereto</t>
  </si>
  <si>
    <t>48-222 - Army &amp; Air National Guard; Employer refusing to permit employee/member of Guard to attend drill or annual muster, or perform active service, when so ordered by the commander in chief</t>
  </si>
  <si>
    <t>48-219 - Army &amp; Air National Guard; Penalty for unlawful acts affecting property</t>
  </si>
  <si>
    <t>31-406 - Arson Reporting; Fail to release information or evidence per K.S.A. 31-403(a) or to give notice and provide material developed from an inquiry into a fire loss as provided in K.S.A. 31-403(b)</t>
  </si>
  <si>
    <t>21-5812(a)(2) - Arson; Knowingly, by means of fire or explosive; damage a dwelling accidentally as a result of manufacture or attempted manufacture a controlled substance</t>
  </si>
  <si>
    <t>21-5812(a)(1)(B) - Arson; Knowingly, by means of fire or explosive; damage dwelling with intent to injure or defraud an insurer or lien holder</t>
  </si>
  <si>
    <t>21-5812(a)(1)(A) - Arson; Knowingly, by means of fire or explosive; damage dwelling without consent of owner</t>
  </si>
  <si>
    <t>21-5812(a)(3) - Arson; Knowingly, by means of fire or explosive; damage structure not a dwelling accidentally as result of manufacture or attempted manufacture a controlled substance</t>
  </si>
  <si>
    <t>21-5812(a)(1)(D) - Arson; Knowingly, by means of fire or explosive; damage structure not a dwelling with intent to injure or defraud insurer or lien holder</t>
  </si>
  <si>
    <t>21-5812(a)(1)(C) - Arson; Knowingly, by means of fire or explosive; damage structure not a dwelling without consent of owner</t>
  </si>
  <si>
    <t>65-5302(a) - Asbestos Control; Asbestos projects; license required; 1st offense</t>
  </si>
  <si>
    <t>65-5302(a) - Asbestos Control; Asbestos projects; license required; 2nd offense</t>
  </si>
  <si>
    <t>65-5308(a) - Asbestos Control; Certification of individuals required; 1st offense</t>
  </si>
  <si>
    <t>65-5308(a) - Asbestos Control; Certification of individuals required; 2nd offense</t>
  </si>
  <si>
    <t>65-5307(a) - Asbestos Control; Records of asbestos projects required; contents; 1st offense</t>
  </si>
  <si>
    <t>65-5307(a) - Asbestos Control; Records of asbestos projects required; contents; 2nd offense</t>
  </si>
  <si>
    <t>65-5307(b) - Asbestos Control; Required notification of secretary of project date; 1st offense</t>
  </si>
  <si>
    <t>65-5307(b) - Asbestos Control; Required notification of secretary of project date; 2nd offense</t>
  </si>
  <si>
    <t>21-5412(c)(1) - Assault of a Law Enforcement Officer; Uniformed or properly identified state, county or city law enforcement officer</t>
  </si>
  <si>
    <t>21-5412(c)(2) - Assault of a Law Enforcement Officer; Uniformed or properly identified university or campus police officer</t>
  </si>
  <si>
    <t>21-5412(a) - Assault; Knowingly placing another person in reasonable apprehension of immediate bodily harm</t>
  </si>
  <si>
    <t>60-4109(b)(6) - Asset Seizure &amp; Forfeiture; Commencement of forfeiture proceedings; knowing failure of a trustee to comply with the provisions of this subsection</t>
  </si>
  <si>
    <t>60-4109(b)(10) - Asset Seizure &amp; Forfeiture; Commencement of forfeiture proceedings; unauthorized disclosure of certain information by an employee of the seizing agency or the plaintiff's attorney</t>
  </si>
  <si>
    <t>60-4118(d) - Asset Seizure &amp; Forfeiture; Knowingly remove, conceal, withhold, destroy, or mutilate any subpoenaed documentary material with intent to avoid, evade, prevent, or obstruct compliance with subpoena</t>
  </si>
  <si>
    <t>21-5407(a)(2)(B) - Assisting Suicide; Intentionally participating in a physical act by which another commits or attempts to commit suicide</t>
  </si>
  <si>
    <t>21-5407(a)(2)(A) - Assisting Suicide; Intentionally providing the physical means by which another commits or attempts to commit suicide</t>
  </si>
  <si>
    <t>21-5407(a)(1) - Assisting Suicide; Knowingly, by force or duress, causing another to commit or attempt to commit suicide</t>
  </si>
  <si>
    <t>44-1529(a)(1)(B) - Athlete Agent Act; Furnish anything of value to a student-athlete before the student-athlete enters into the agency contract, with the intent to induce a student-athlete to enter into an agency contract</t>
  </si>
  <si>
    <t>44-1529(a)(1)(C) - Athlete Agent Act; Furnish anything of value to any individual other than the student-athlete or another registered athlete agent, with the intent to induce a student-athlete to enter into an agency contract</t>
  </si>
  <si>
    <t>44-1529(a)(1)(A) - Athlete Agent Act; Give any materially false or misleading information or makes a materially false promise or representation, with the intent to induce a student-athlete to enter into an agency contract</t>
  </si>
  <si>
    <t>44-1529(a)(2)(F) - Athlete Agent Act; Intentionally fail to notify a student-athlete before the student-athlete signs or otherwise authenticates an agency contract for a particular sport that the signing or authentication may make the student-athlete ineligible to participate as a student-athlete in that sport</t>
  </si>
  <si>
    <t>44-1529(a)(2)(C) - Athlete Agent Act; Intentionally fail to register when required by K.S.A. 2005 Supp. 44-1519</t>
  </si>
  <si>
    <t>44-1529(a)(2)(A) - Athlete Agent Act; Intentionally initiates contact with a student-athlete while not registered under this act</t>
  </si>
  <si>
    <t>44-1529(a)(2)(E) - Athlete Agent Act; Intentionally predate or postdate an agency contract</t>
  </si>
  <si>
    <t>44-1529(a)(2)(D) - Athlete Agent Act; Intentionally provide materially false or misleading information in an application for registration or renewal of registration</t>
  </si>
  <si>
    <t>44-1529(a)(2)(B) - Athlete Agent Act; Intentionally refuse or fail to retain or permit inspection of the records required to be retained by K.S.A. 2005 Supp. 44-1528</t>
  </si>
  <si>
    <t>65-6903(a) - Athletic Trainers Licensure Act; Unlawful representation of oneself as an athletic trainer</t>
  </si>
  <si>
    <t>40-3104(d) - Automobile Injury Reparations Act; Failure to display evidence of financial security upon demand by law enforcement; 1st violation</t>
  </si>
  <si>
    <t>40-3104(d) - Automobile Injury Reparations Act; Failure to display evidence of financial security upon demand by law enforcement; 2nd or subs. conviction within 3 yrs</t>
  </si>
  <si>
    <t>40-3118(b) - Automobile Injury Reparations Act; Failure to maintain continuous financial security</t>
  </si>
  <si>
    <t>40-3118(i) - Automobile Injury Reparations Act; Financial security for motor vehicle registration; false certification</t>
  </si>
  <si>
    <t>40-3104(c) - Automobile Injury Reparations Act; Knowingly drive an uninsured motor vehicle upon a highway or upon property open to use by the public; 1st violation</t>
  </si>
  <si>
    <t>40-3104(c) - Automobile Injury Reparations Act; Knowingly drive an uninsured motor vehicle upon a highway or upon property open to use by the public; 2nd or subs. conviction within 3 yrs</t>
  </si>
  <si>
    <t>40-3104(a) - Automobile Injury Reparations Act; Motor vehicle liability insurance coverage required</t>
  </si>
  <si>
    <t>40-3104(a) - Automobile Injury Reparations Act; Motor vehicle liability insurance coverage required; 2nd or subs. conviction within 3 yrs</t>
  </si>
  <si>
    <t>40-3104(b) - Automobile Injury Reparations Act; Permitting uninsured motor vehicle to be operated upon a highway or upon property open to use by the public; 1st violation</t>
  </si>
  <si>
    <t>40-3104(b) - Automobile Injury Reparations Act; Permitting uninsured motor vehicle to be operated upon a highway or upon property open to use by the public; 2nd or subs. conviction within 3 yrs</t>
  </si>
  <si>
    <t>21-5833(a)(1) - Automobile Master Key Violation; Selling or offering to sell a motor vehicle master key knowingly designed to fit the ignition switch of more than 1 motor vehicle to an unauthorized person</t>
  </si>
  <si>
    <t>21-5833(a)(2) - Automobile Master Key Violation; Unauthorized possession of a motor vehicle master key designed to fit the ignition switch of more than 1 motor vehicle</t>
  </si>
  <si>
    <t>8-135(c)(7) - Automobiles/Vehicles; Buying/selling a vehicle required to be registered, without passing of the certificate of title either at delivery or another agreed time not to exceed 60 days</t>
  </si>
  <si>
    <t>8-142(Second) - Automobiles/Vehicles; Display/possession of fictitious, canceled, revoked, suspended or altered registration receipt, certificate of title, registration license plate, registration decal, accessible parking placard or accessible parking identification card</t>
  </si>
  <si>
    <t>8-1,125(f) - Automobiles/Vehicles; Effective Jan. 1, 2012;Failure to return disabled placards to department of revenue or disabled license plates to the county treasurer as required</t>
  </si>
  <si>
    <t>8-142(Fourth) - Automobiles/Vehicles; Fail or refuse to surrender any suspended, canceled or revoked registration receipt, certificate of title, registration license plate or registration decal upon demand</t>
  </si>
  <si>
    <t>8-135c(c)(7) - Automobiles/Vehicles; Failure to apply for a nonrepairable vehicle certificate</t>
  </si>
  <si>
    <t>8-142(Tenth) - Automobiles/Vehicles; Failure to comply with requirements pertaining to gross weight and operation of farm truck or truck tractor used with a trailer or semitrailer; signage required for farm truck or farm truck tractor used to transport a gross weight of more than 54,000 pounds</t>
  </si>
  <si>
    <t>8-198(f)(3)(C) - Automobiles/Vehicles; Failure to get rebuilt salvage title as required herein</t>
  </si>
  <si>
    <t>8-198(d)(8) - Automobiles/Vehicles; Failure to get salvage title as required herein</t>
  </si>
  <si>
    <t>8-142(Fifteenth) - Automobiles/Vehicles; Failure to keep required records and comply with rules when registering a truck or truck tractor on the basis of operating not more than 6,000 miles</t>
  </si>
  <si>
    <t>8-143(d) - Automobiles/Vehicles; Failure to pay registration fee or fees when due</t>
  </si>
  <si>
    <t>8-607 - Automobiles/Vehicles; Fair Trade Act; penalty for any violation of act</t>
  </si>
  <si>
    <t>8-603 - Automobiles/Vehicles; Fair Trade Act; sell or contract to sell motor vehicle or vehicles or other specific commodities to any dealer with condition that dealer finance the purchase or sale only with/through a designated person</t>
  </si>
  <si>
    <t>8-1,130(b) - Automobiles/Vehicles; False certification that one is qualified for disabled plate, placard, or identification card</t>
  </si>
  <si>
    <t>8-1,130(a) - Automobiles/Vehicles; False representation that one is qualified for disabled plate, placard or identification card</t>
  </si>
  <si>
    <t>8-198(h) - Automobiles/Vehicles; Knowingly make false statement concerning financial security in obtaining a permit to operate a salvage vehicle on the highways; failure to obtain permit as required by law</t>
  </si>
  <si>
    <t>8-142(Third) - Automobiles/Vehicles; Lend or permit use of a registration receipt, certificate of title, registration license plate or registration decal by one not so entitled</t>
  </si>
  <si>
    <t>195254 - Automobiles/Vehicles; Licensure of Vehicle Sales &amp; Manufacture; selling motor vehicles without a license</t>
  </si>
  <si>
    <t>8-142(Fourteenth) - Automobiles/Vehicles; Operate more than 6,000 miles in any calendar year any truck or truck tractor registered and licensed to operate no more than 6,000 miles in such calendar year</t>
  </si>
  <si>
    <t>8-142(Thirteenth) - Automobiles/Vehicles; Operation of a farm trailer carrying more than 6,000 pounds without being registered and the registration fees paid</t>
  </si>
  <si>
    <t>8-142(Eighth) - Automobiles/Vehicles; Operation of a truck or truck tractor registered for a g/w &gt; 12,000 lbs. outside approved locations</t>
  </si>
  <si>
    <t>8-142(Twelfth) - Automobiles/Vehicles; Operation of a truck or truck tractor without carrying proper registration receipt  or without having marked said vehicle as required</t>
  </si>
  <si>
    <t>8-142(First) - Automobiles/Vehicles; Operation of a vehicle not properly registered or without certificate of title or without registration decal affixed as required</t>
  </si>
  <si>
    <t>8-142(Sixteenth) - Automobiles/Vehicles; Operation of a vehicle or combination of vehicles on the national system of interstate and defense highways with a gross weight greater than permitted by the laws of the United States Congress</t>
  </si>
  <si>
    <t>8-142(Seventh) - Automobiles/Vehicles; Operation of a vehicle whose weight with cargo is in excess of the gross weight for which the vehicle is registered</t>
  </si>
  <si>
    <t>8-142(Eleventh) - Automobiles/Vehicles; Operation of any truck or truck tractor without the current quarter of license fees being paid</t>
  </si>
  <si>
    <t>8-1,143(b) - Automobiles/Vehicles; Operation of any vehicle without registration or a hunter's permit</t>
  </si>
  <si>
    <t>8-135(c)(6) - Automobiles/Vehicles; Operation of vehicle required to be registered, or transferring title to any such vehicle, without a certificate of title issued as required</t>
  </si>
  <si>
    <t>8-142(Ninth) - Automobiles/Vehicles; Operation on the highways of this state a farm truck or farm trailer for purpose of transportation of other than authorized cargo</t>
  </si>
  <si>
    <t>8-1,130a(a) - Automobiles/Vehicles; Possession of accessible parking identification device which is expired or been revoked or suspended by the secretary of revenue; 1st violation</t>
  </si>
  <si>
    <t>8-142(Sixth) - Automobiles/Vehicles; Registering a vehicle in county other than the one in which the owner resides or has a bona fide place of business</t>
  </si>
  <si>
    <t>8-199a - Automobiles/Vehicles; Remove notice required to be attached to rebuilt vehicles</t>
  </si>
  <si>
    <t>8-113a - Automobiles/Vehicles; Reporting requirement; failure to report unclaimed vehicle as required</t>
  </si>
  <si>
    <t>8-199(a) - Automobiles/Vehicles; Sell / transfer ownership of any nonhighway vehicle or salvage vehicle without giving purchaser an assigned nonhighway certificate of title or salvage title</t>
  </si>
  <si>
    <t>8-1,129(a)(5) - Automobiles/Vehicles; Stop, stand or park a vehicle in an access aisle between or beside a designated accessible parking space</t>
  </si>
  <si>
    <t>8-1,129(a)(3) - Automobiles/Vehicles; Stop, stand or park a vehicle so that it blocks a disabled parking stall</t>
  </si>
  <si>
    <t>8-1,129(a)(4) - Automobiles/Vehicles; Stop, stand or park a vehicle so that it blocks an access aisle</t>
  </si>
  <si>
    <t>8-1,129(a)(2) - Automobiles/Vehicles; Stop, stand or park a vehicle so that it blocks an access entrance</t>
  </si>
  <si>
    <t>8-1,129(a)(1) - Automobiles/Vehicles; Stop, stand or park a vehicle, in handicap accessible parking without displaying required special license plate, permanent placard or disabled veteran license plate and an individual identification card, or a valid temporary placard</t>
  </si>
  <si>
    <t>8-177 - Automobiles/Vehicles; Swearing falsely to any affidavit required</t>
  </si>
  <si>
    <t>8-1,130a(b) - Automobiles/Vehicles; Unauthorized utilization of any handicapped accessible parking I.D. device, issued to another, to park in any handicapped parking space; 1st violation</t>
  </si>
  <si>
    <t>8-135(b) - Automobiles/Vehicles; Unlawful operation of unregistered vehicle after transfer/sale</t>
  </si>
  <si>
    <t>8-135(a) - Automobiles/Vehicles; Unlawful possession of license plate</t>
  </si>
  <si>
    <t>8-142(First) - Automobiles/Vehicles; Unlawfully claiming motor vehicle is exempt from registration as a self-propelled crane</t>
  </si>
  <si>
    <t>8-142(Fifth) - Automobiles/Vehicles; Use a false/ fictitious name or address when applying for a certificate of title, registration of a vehicle or for renewal or duplicate; knowingly making false statement to conceal a material fact or otherwise commit a fraud in an application</t>
  </si>
  <si>
    <t>8-1327(a)(5) - Automobiles/Vehicles; Use of False or Fictitious Name on ID Application</t>
  </si>
  <si>
    <t>8-113 - Automobiles/Vehicles; Various Vehicle Identification numbers; unlawful acts</t>
  </si>
  <si>
    <t>8-116(b) - Automobiles/Vehicles; VINs; custody of vehicle with VIN destroyed, removed, etc</t>
  </si>
  <si>
    <t>8-116(c) - Automobiles/Vehicles; VINs; destroy, alter, remove, etc. VIN</t>
  </si>
  <si>
    <t>8-116(a) - Automobiles/Vehicles; VINs; sale of vehicle with VIN destroyed, removed, etc</t>
  </si>
  <si>
    <t>8-161(d) - Automobiles/Vehicles; Willful and false representation of qualifications to obtain disabled veterans registration and license plates or false use of such parking privilege</t>
  </si>
  <si>
    <t>8-1,117 - Automobiles/Vehicles; Willful filing or knowingly presenting a fraudulent proration fleet registration application to gain refund or credit</t>
  </si>
  <si>
    <t>39692 - Banking; Certified checks, drafts or orders in excess of amount on deposit</t>
  </si>
  <si>
    <t>9-1717(a) - Banking; Commissioner; prohibition of felon serving as director, officer or employee of bank</t>
  </si>
  <si>
    <t>9-1712(b) - Banking; Commissioner; unauthorized disclosure of confidential information</t>
  </si>
  <si>
    <t>9-2012(a) - Banking; Embezzlement with intent to injure or defraud</t>
  </si>
  <si>
    <t>39326 - Banking; Failure by receiver to comply with state banking code by receiver</t>
  </si>
  <si>
    <t>40422 - Banking; Insolvent bank receiving deposits</t>
  </si>
  <si>
    <t>37500 - Banking; Make false report, statement or entry in the books</t>
  </si>
  <si>
    <t>38596 - Banking; Neglect to perform any duty required; permit violation of any of the provisions of this act; make a false statement; or be guilty of any misconduct or corruption in office</t>
  </si>
  <si>
    <t>37135 - Banking; Neglect to perform duties required or failure to conform to law</t>
  </si>
  <si>
    <t>38961 - Banking; Receiving deposits after authority revoked</t>
  </si>
  <si>
    <t>43709 - Banking; Unlawful to obstruct examination</t>
  </si>
  <si>
    <t>9-2013(a)(1) - Banking; Unlawful to offer anything of value</t>
  </si>
  <si>
    <t>9-2013(a)(2) - Banking; Unlawful to solicit anything of value</t>
  </si>
  <si>
    <t>40787 - Banking; Unlawfully engaging in the banking or trust company business</t>
  </si>
  <si>
    <t>42614 - Banking; Unlawfully transacting banking or trust business</t>
  </si>
  <si>
    <t>38231 - Banking; Willfully swear or affirm falsely; penalty as for perjury; in a felony trial</t>
  </si>
  <si>
    <t>38231 - Banking; Willfully swear or affirm falsely; penalty as for perjury; other than in a felony trial</t>
  </si>
  <si>
    <t>2-717 - Barberry Eradication; Penalty for violation of act, K.S.A. 2-712 to 2-716</t>
  </si>
  <si>
    <t>65-1822(b) - Barbers; Obtain or attempt to obtain a license for any other than the required fee, or for any other thing of value or by fraudulent misrepresentations</t>
  </si>
  <si>
    <t>65-1810(f) - Barbers; Operate a barber school or barber college without a license</t>
  </si>
  <si>
    <t>65-1822(a) - Barbers; Penalty for any violation of act</t>
  </si>
  <si>
    <t>65-1828(a) - Barbers; Penalty for any violation of act unless otherwise provided</t>
  </si>
  <si>
    <t>65-1822(c) - Barbers; Practice or attempt to practice by fraudulent misrepresentations</t>
  </si>
  <si>
    <t>21-5413(c)(1)(D) - Battery; Attorney while engaged in performance of duty</t>
  </si>
  <si>
    <t>21-5413(c)(2)(D) - Battery; Attorney while engaged in performance of duty</t>
  </si>
  <si>
    <t>21-5413(c)(2)(A) - Battery; Campus or university police officer; knowingly or recklessly causing bodily harm</t>
  </si>
  <si>
    <t>21-5413(c)(1)(A) - Battery; Campus/university police officer; Knowingly causing physical contact  in a rude, insulting or angry manner</t>
  </si>
  <si>
    <t>21-5413(c)(3)(D) - Battery; City or county correctional officer/employee by a person confined in city holding facility or county jail</t>
  </si>
  <si>
    <t>21-5413(c)(1)(E) - Battery; Community corrections or court services officer while engaged in performance of duty</t>
  </si>
  <si>
    <t>21-5413(c)(2)(E) - Battery; Community corrections or court services officer while engaged in performance of duty</t>
  </si>
  <si>
    <t>21-5413(c)(1)(C) - Battery; Judge while engaged in performance of duty</t>
  </si>
  <si>
    <t>21-5413(c)(2)(C) - Battery; Judge while engaged in performance of duty</t>
  </si>
  <si>
    <t>21-5413(c)(3)(B) - Battery; Juvenile correctional facility officer/employee by a person confined in a JCF</t>
  </si>
  <si>
    <t>21-5413(c)(3)(C) - Battery; Juvenile detention facility officer/employee by a person confined in a JDC</t>
  </si>
  <si>
    <t>21-5413(a)(2) - Battery; Knowingly causing physical contact with another person when done in a rude, insulting or angry manner</t>
  </si>
  <si>
    <t>21-5413(a)(1) - Battery; Knowingly or recklessly causing bodily harm to another person</t>
  </si>
  <si>
    <t>21-5413(c)(1)(B) - Battery; Law enforcement officer; Knowingly causing physical contact in a rude, insulting or angry manner</t>
  </si>
  <si>
    <t>21-5413(f) - Battery; Mental health employee</t>
  </si>
  <si>
    <t>21-5413(e) - Battery; School employee</t>
  </si>
  <si>
    <t>21-5413(c)(3)(A) - Battery; State correctional officer/employee by a person in custody of the Secretary of Corrections</t>
  </si>
  <si>
    <t>21-5413(c)(2)(B) - Battery; State, county or city law enforcement officer; knowingly or recklessly causing bodily harm</t>
  </si>
  <si>
    <t>21-5609(a)(3) - Bigamy; Cohabitation in this state after marriage in another state or country under circumstances described in subsection (a)(1) or (a)(2)</t>
  </si>
  <si>
    <t>21-5609(a)(1) - Bigamy; Marriage by a person who has another spouse living at the time of such marriage</t>
  </si>
  <si>
    <t>21-5609(a)(2) - Bigamy; Marriage by an unmarried person to a person known to be the spouse of another</t>
  </si>
  <si>
    <t>21-5428(a)(1) - Blackmail; Intentionally gain/attempt to gain anything of value or compel another to act against such person's will, by threatening to: Communicate information that would subject such person or another to public ridicule, contempt or degradation</t>
  </si>
  <si>
    <t>21-5428(a)(2) - Blackmail; Intentionally gain/attempt to gain anything of value or compel another to act against such person's will, by threatening to: Disseminate videotape, photograph, film or image obtained in violation of K.S.A. 21-6101(a)(6)</t>
  </si>
  <si>
    <t>74-5824 - Board of Examiners In Fitting &amp; Dispensing of Hearing Aids; Penalty for violation of Act - 1st offense</t>
  </si>
  <si>
    <t>74-5824 - Board of Examiners In Fitting &amp; Dispensing of Hearing Aids; Penalty for violation of Act - 2nd or subs. offense</t>
  </si>
  <si>
    <t>32-1155 - Boating; Applications for license of vessels to indicate presence of marine toilets</t>
  </si>
  <si>
    <t>32-1129(a) - Boating; Boating without required lifesaving devices</t>
  </si>
  <si>
    <t>32-1119(e) - Boating; Every motorboat of class 2 or 3 shall be provided with an efficient bell</t>
  </si>
  <si>
    <t>32-1119(i) - Boating; Fail to have the carburetor or carburetors of engine using gasoline as fuel, equipped with coast guard approved flame arrester, backfire trap or other similar device, unless exempt</t>
  </si>
  <si>
    <t>32-1119(g) - Boating; Fail to keep readily accessible and in good condition, coast guard approved fire extinguishers, capable of promptly and effectually extinguishing burning gasoline</t>
  </si>
  <si>
    <t>32-1119(f) - Boating; Fail to keep readily accessible one coast guard approved lifesaving device for each person on board</t>
  </si>
  <si>
    <t>32-1119(j) - Boating; Fail to provide means for properly and efficiently ventilating the bilges of the engine and fuel tank compartments, unless exempt</t>
  </si>
  <si>
    <t>32-1148(b) - Boating; Failure of owner of a boat livery ensure that the equipment required pursuant to K.S.A. 32-1119 has been provided prior to permitting operation of any motorboat</t>
  </si>
  <si>
    <t>32-1148(a) - Boating; Failure of owner of a boat livery to keep certain records for at least 6 months</t>
  </si>
  <si>
    <t>32-1177(b) - Boating; Failure of vessel operator involved in a collision resulting in death or excessive property damage to file full description of the incident</t>
  </si>
  <si>
    <t>32-1177(a) - Boating; Failure of vessel operator involved in a collision, accident or other casualty to render aid and provide contact information</t>
  </si>
  <si>
    <t>32-1127(b) - Boating; Inspection certificate issued by the United States coast guard required for owner of any vessel operating on the waters of this state and carrying more than 20 passengers</t>
  </si>
  <si>
    <t>32-1115(a)(1) - Boating; Intentional, unauthorized, defacing, destroying, removing or altering of an identification number required for a vessel</t>
  </si>
  <si>
    <t>32-1119(b) - Boating; Lighting requirements for motorboats</t>
  </si>
  <si>
    <t>32-1125(b) - Boating; Manipulation of any water skis, surfboard or similar device while under the influence of alcohol or drugs, or both</t>
  </si>
  <si>
    <t>32-1119(d) - Boating; Motorboats of class 1, 2, or 3 shall be provided with an efficient whistle or other sound-producing mechanical appliance</t>
  </si>
  <si>
    <t>32-1119(n) - Boating; Operate a motorboat or other vessel close to swimming areas, moored boats or vessels engaged in fishing, servicing buoys or markings, or similar activities, without reducing to no wake speed</t>
  </si>
  <si>
    <t>32-1128(d) - Boating; Operate a motorboat towing a person or persons on water skis, surfboard, or similar device, without a wide angle rear view mirror properly placed to provide a maximum vision of the person or persons being towed, or an observer at least 12 yrs of age in the boat in addition to the operator</t>
  </si>
  <si>
    <t>32-1128(a) - Boating; Operate a vessel towing a person or persons on water skis, surfboard, or similar device, or engage in water skiing, surfboarding, or similar activity during prohibited hours</t>
  </si>
  <si>
    <t>32-1119(m) - Boating; Operate or give permission to operate a vessel which is not equipped as required by the laws of Kansas and rules and regulations of the secretary</t>
  </si>
  <si>
    <t>32-1128(c) - Boating; Operate or manipulate a vessel, tow rope or other device, in such a way as to cause the water skis, surfboard, or similar device, or any person thereon to collide with or strike against any object or person</t>
  </si>
  <si>
    <t>32-1110 - Boating; Operate or permit the operation of any motorboat or vessel propelled by sail without such vessel being numbered in accordance with this act</t>
  </si>
  <si>
    <t>32-1125(c) - Boating; Operation of any motorboat or vessel for pleasure riding or pull any water skis, surfboard or similar device in prohibited areas</t>
  </si>
  <si>
    <t>32-1127(a) - Boating; Operation of any vessel on the waters of this state carrying more than 20 passengers without satisfying the United States coast guard stability test criteria for small passenger vessels in 46 C.F.R. 179</t>
  </si>
  <si>
    <t>32-1125(d) - Boating; Operation of or mooring a vessel in prohibited areas; operation of a vessel for purposes other than fishing in designated fishing areas; operation of a vessel for purposes other than hunting in designated hunting areas</t>
  </si>
  <si>
    <t>32-1125(e) - Boating; Permitting a person under 12 yrs of age to operate a motorboat without parental or other adult (over 17 yrs) direct supervision</t>
  </si>
  <si>
    <t>32-1115(a)(2) - Boating; Placing or stamping any serial number upon a vessel other than the one assigned to the vessel</t>
  </si>
  <si>
    <t>32-1125(a) - Boating; Reckless or negligent, operation of or manipulation of any motorboat or vessel, water skis, surfboard or similar device</t>
  </si>
  <si>
    <t>32-1152 - Boating; Sanitation; toilet facilities</t>
  </si>
  <si>
    <t>32-1115(b) - Boating; Selling, bartering, exchanging or possessing any vessel where the original hull identification number has been destroyed, removed, altered or defaced</t>
  </si>
  <si>
    <t>32-1153 - Boating; Unlawful sewage disposal</t>
  </si>
  <si>
    <t>32-1126 - Boating; Violating capacity limits of a vessel</t>
  </si>
  <si>
    <t>32-1151 - Boating; Water Activities; scuba diving; rules and regulations; buoy required</t>
  </si>
  <si>
    <t>32-1150 - Boating; Water Activities; Scuba diving; rules and regulations; diving in prohibited locations</t>
  </si>
  <si>
    <t>32-1125(f) - Boating; Willfully fail or refuse to stop, or flee or attempt to elude a pursuing law enforcement vehicle or vessel, when given a visual or audible signal to stop</t>
  </si>
  <si>
    <t>-286806 - Bonds &amp; Warrants; Cash-Basis law; clerks not to issue or sign orders</t>
  </si>
  <si>
    <t>-287171 - Bonds &amp; Warrants; Cash-Basis law; creating indebtedness in excess of funds unlawful</t>
  </si>
  <si>
    <t>10-1116(c) - Bonds &amp; Warrants; Cash-Basis law; member of governing body of any municipality, knowingly voting for or in any manner aid or promote the entering into of any contract or the creation of any other indebtedness</t>
  </si>
  <si>
    <t>-286441 - Bonds &amp; Warrants; Cash-Basis law; treasurers not to pay orders</t>
  </si>
  <si>
    <t>10-118a - Bonds &amp; Warrants; Diversion of interest and sinking funds for refunding bonds; misappropriation of such</t>
  </si>
  <si>
    <t>10-810 - Bonds &amp; Warrants; Execution of unlawful or irregular warrants or warrant checks</t>
  </si>
  <si>
    <t>10-130(d)(1) - Bonds &amp; Warrants; Failure of a county treasurer to forward moneys in the county treasury when requested</t>
  </si>
  <si>
    <t>10-130a - Bonds &amp; Warrants; Failure of state treasurer to pay certain funds or moneys as provided by law</t>
  </si>
  <si>
    <t>10-130(d)(2) - Bonds &amp; Warrants; Failure of the treasurer of a municipality or any county treasurer to make timely request for moneys</t>
  </si>
  <si>
    <t>10-130(d)(3) - Bonds &amp; Warrants; Failure of the treasurer of a municipality to make timely remittance of moneys for redemption of bonds or to pay the interest thereon</t>
  </si>
  <si>
    <t>10-110(a) - Bonds &amp; Warrants; Failure to furnish statement</t>
  </si>
  <si>
    <t>10-113 - Bonds &amp; Warrants; Failure to levy a sum sufficient to pay the interest on bonds as required</t>
  </si>
  <si>
    <t>10-110(a) - Bonds &amp; Warrants; Failure to make cancellation</t>
  </si>
  <si>
    <t>10-117 - Bonds &amp; Warrants; Unlawful issue, diversion or misuse of bond proceeds or tax funds</t>
  </si>
  <si>
    <t>21-6101(a)(8) - Breach of Privacy; Disseminating any videotape photograph, film or image of another identifiable person 18 years of age or older who is nude or engaged in sexual activity and under circumstances in which such identifiable person had a reasonable expectation of privacy, with the intent to harass, threaten or intimidate such identifiable person, and such identifiable person did not consent to such dissemination</t>
  </si>
  <si>
    <t>21-6101(a)(8) - Breach of Privacy; Disseminating any videotape photograph, film or image of another identifiable person 18 years of age or older who is nude or engaged in sexual activity and under circumstances in which such identifiable person had a reasonable expectation of privacy, with the intent to harass, threaten or intimidate such identifiable person, and such identifiable person did not consent to such dissemination; 2nd or subsequent offense</t>
  </si>
  <si>
    <t>21-6101(a)(5) - Breach of Privacy; Install or use any device or equipment for the interception of any telephone, telegraph or other wire or wireless communication</t>
  </si>
  <si>
    <t>21-6101(a)(4) - Breach of Privacy; Install or use outside or inside a private place any device for hearing, recording, amplifying or broadcasting sounds</t>
  </si>
  <si>
    <t>21-6101(a)(7) - Breach of Privacy; Knowingly and without authority; Disseminating or permitting the dissemination of any videotape, photograph, film or image obtained in violation of subsection (a)(6)</t>
  </si>
  <si>
    <t>21-6101(a)(2) - Breach of Privacy; Knowingly and without authority; Divulging, without consent of sender or receiver, the existence or contents of intercepted message</t>
  </si>
  <si>
    <t>21-6101(a)(3) - Breach of Privacy; Knowingly and without authority; Enter with intent to listen surreptitiously to private conversations in a private place or to observe the personal conduct of any other person entitled to privacy therein</t>
  </si>
  <si>
    <t>21-6101(a)(6) - Breach of Privacy; Knowingly and without authority; Installing or using a concealed camera of any type, to secretly photograph or record by electronic or other means, another, who is nude or in a state of undress, or record under or through the clothing being worn by that other person, for the purpose of viewing the body of, or the undergarments worn by, that other person, without consent or knowledge of that other person, with intent to invade the privacy</t>
  </si>
  <si>
    <t>21-6101(a)(6) - Breach of Privacy; Knowingly and without authority; Installing or using a concealed camera of any type, to secretly photograph or record by electronic or other means, another, who is nude or in a state of undress, or record under or through the clothing being worn by that other person, for the purpose of viewing the body of, or the undergarments worn by, that other person, without consent or knowledge of that other person, with intent to invade the privacy; 2nd offense within 5 years</t>
  </si>
  <si>
    <t>21-6101(a)(1) - Breach of Privacy; Knowingly and without authority; Intercepting, without consent of sender or receiver, a message by telephone, telegraph, letter or other means of private communication</t>
  </si>
  <si>
    <t>21-6001(a)(1) - Bribery; Intent to improperly influence a public official, offer, give or promise to give, directly or indirectly, to any public official benefit, reward or consideration which public official is not permitted to accept, in exchange for performance or omission of performance of public official's duty or promise to perform or omit to perform powers or duties</t>
  </si>
  <si>
    <t>21-6001(a)(2) - Bribery; Public official  intentionally requesting, receiving or agreeing to receive, directly or indirectly, any benefit, reward or consideration, which public official is not permitted to accept, with intent to improperly influence such public official and in exchange for performance or omission of performance of public official’s powers or duties or promise to perform or omit performance of powers or duties</t>
  </si>
  <si>
    <t>32-1131(a)(3) - BUI; Alcohol concentration in blood or breath is .02 or more within 3 hours of vessel operation or attempted operation and person under 21; 1st offense</t>
  </si>
  <si>
    <t>32-1131(a)(3) - BUI; Alcohol concentration in blood or breath is .02 or more within 3 hours of vessel operation or attempted operation and person under 21; 2nd or subs. offense</t>
  </si>
  <si>
    <t>32-1131(a)(1) - BUI; Alcohol concentration in blood or breath is .08 or more as shown by competent evidence including other competent evidence; 1st offense</t>
  </si>
  <si>
    <t>32-1131(a)(1) - BUI; Alcohol concentration in blood or breath is .08 or more as shown by competent evidence including other competent evidence; 2nd or subs. offense</t>
  </si>
  <si>
    <t>32-1131(a)(2) - BUI; Alcohol concentration in blood or breath is .08 or more within 3 hours of vessel operation or attempted operation; 1st offense</t>
  </si>
  <si>
    <t>32-1131(a)(2) - BUI; Alcohol concentration in blood or breath is .08 or more within 3 hours of vessel operation or attempted operation; 2nd or subs. offense</t>
  </si>
  <si>
    <t>32-1131(a)(4) - BUI; Under the influence of alcohol to degree that renders the person incapable of safely operating a vessel; 1st offense</t>
  </si>
  <si>
    <t>32-1131(a)(4) - BUI; Under the influence of alcohol to degree that renders the person incapable of safely operating a vessel; 2nd or subs. offense</t>
  </si>
  <si>
    <t>32-1131(a)(5) - BUI; Under the influence of any drug or drugs that renders the person incapable of safely operating a vessel; 1st offense</t>
  </si>
  <si>
    <t>32-1131(a)(5) - BUI; Under the influence of any drug or drugs that renders the person incapable of safely operating a vessel; 2nd or subs. offense</t>
  </si>
  <si>
    <t>32-1131(a)(6) - BUI; Under the influence of combination of alcohol and drug that renders the person incapable of safely operating a vessel; 1st offense</t>
  </si>
  <si>
    <t>32-1131(a)(6) - BUI; Under the influence of combination of alcohol and drug that renders the person incapable of safely operating a vessel; 2nd or subs. offense</t>
  </si>
  <si>
    <t>21-5807(a)(2) - Burglary; Without authority, enter into or remain within a building or other structure not a dwelling, with intent to commit the theft of a firearm</t>
  </si>
  <si>
    <t>21-5807(a)(2) - Burglary; Without authority, enter into or remain within a bulding or other structure not a dwelling, with intent to commit a felony, theft or sexually motivated crime therein</t>
  </si>
  <si>
    <t>21-5807(a)(1) - Burglary; Without authority, enter into or remain within a dwelling with intent to commit a felony, theft or sexually motivated crime therein</t>
  </si>
  <si>
    <t>21-5807(a)(1) - Burglary; Without authority, enter into or remain within a dwelling with intent to commit the theft of a firearm</t>
  </si>
  <si>
    <t>21-5807(a)(3) - Burglary; Without authority, enter into or remain within any vehicle, aircraft, watercraft, railroad car or other means of conveyance of persons or property, with intent to commit a felony, theft or sexually motivated crime therein</t>
  </si>
  <si>
    <t>21-5807(a)(3) - Burglary; Without authority, enter into or remain within any vehicle, aircraft, watercraft, railroad car or other means of conveyance of persons or property, with intent to commit the theft of a firearm</t>
  </si>
  <si>
    <t>21-6502(a) - Business Crimes; Debt adjusting</t>
  </si>
  <si>
    <t>21-6503(a) - Business Crimes; Deceptive commercial practices</t>
  </si>
  <si>
    <t>21-6504(a)(3) - Business Crimes; Equity skimming; With intent to defraud, intentionally engaging in a pattern or practice of applying or authorizing the application of rents from such dwelling for such person's own use</t>
  </si>
  <si>
    <t>21-6504(a)(2) - Business Crimes; Equity skimming; With intent to defraud, intentionally engaging in a pattern or practice of failing to deliver to holder of mortgage before a sheriff's sale or holder of the certificate of purchase during the period of redemption all rent proceeds received</t>
  </si>
  <si>
    <t>21-6504(a)(1) - Business Crimes; Equity skimming; With intent to defraud, intentionally engaging in a pattern or practice of purchasing family dwellings, or acquiring any interest therein, which are subject to a loan in default or near default and secured by a mortgage</t>
  </si>
  <si>
    <t>21-6509(a) - Business Crimes; Knowingly employing an illegal alien within the United States</t>
  </si>
  <si>
    <t>21-6505(a) - Business Crimes; Tie-in magazine sale</t>
  </si>
  <si>
    <t>21-6421(a)(1) - Buying Sexual Relations; Entering or remaining in a place where sexual relations are sold with the intent to engage in sexual acts with a person 18 or older offender has no prior convictions under this section</t>
  </si>
  <si>
    <t>21-6421(a)(1) - Buying Sexual Relations; Entering or remaining in a place where sexual relations are sold with the intent to engage in sexual acts with a person 18 or older offender has prior conviction under this section</t>
  </si>
  <si>
    <t>21-6421(a)(2) - Buying Sexual Relations; Knowingly hiring a person 18 or older to engage in sexual acts offender has no prior convictions under this section</t>
  </si>
  <si>
    <t>21-6421(a)(2) - Buying Sexual Relations; Knowingly hiring a person 18 or older to engage in sexual acts offender has prior conviction under this section</t>
  </si>
  <si>
    <t>59-2980 - Care &amp; Treatment; Mentally Ill Persons; make any false petition, report or order provided for in this act for a corrupt consideration or advantage, or through malice</t>
  </si>
  <si>
    <t>59-2979(a) - Care &amp; Treatment; Mentally Ill Persons; unauthorized and willful disclosure of privileged records</t>
  </si>
  <si>
    <t>59-2978(a) - Care &amp; Treatment; Mentally Ill Persons; willful, unauthorized deprivation of any patient's rights</t>
  </si>
  <si>
    <t>59-29b80 - Care &amp; Treatment; Persons with Addiction Problems; make any false petition, report or order provided for in this act for a corrupt consideration or advantage, or through malice</t>
  </si>
  <si>
    <t>59-29b79(a) - Care &amp; Treatment; Persons with Addiction Problems; unauthorized and willful disclosure of privileged records</t>
  </si>
  <si>
    <t>59-29b78(a) - Care &amp; Treatment; Persons with Addiction Problems; willful, unauthorized deprivation of any patient's rights</t>
  </si>
  <si>
    <t>21-6312(c) - Carrying Concealed Explosives or Detonating Substance</t>
  </si>
  <si>
    <t>21-5822(a) - Causing Unlawful Prosecution for Worthless Check</t>
  </si>
  <si>
    <t>16-323 - Cemetery Corporations; Misuse of the Cemetery Merchandise Trust Fund</t>
  </si>
  <si>
    <t>17-1311a(a) - Cemetery Corporations; Misuse of the permanent maintenance fund</t>
  </si>
  <si>
    <t>11-307 - Census; Any interference with one carrying out the provisions of this act</t>
  </si>
  <si>
    <t>11-208(a) - Census; Employee knowingly failing to perform the duties or submitting false report</t>
  </si>
  <si>
    <t>41-2705(a)(1) - Cereal Malt Beverages; Accept, receive or borrow money or anything else of value, or accept or receive credit, from any manufacturer or distributor</t>
  </si>
  <si>
    <t>41-2705(a)(4) - Cereal Malt Beverages; Accept, receive or borrow money or anything else of value, or accept or receive credit, from any officer, manager, agent or representative of a manufacturer or distributor</t>
  </si>
  <si>
    <t>41-2705(a)(2) - Cereal Malt Beverages; Accept, receive or borrow money or anything else of value, or accept or receive credit, from any person connected with, in any way representing or a member of the family of a manufacturer or distributor</t>
  </si>
  <si>
    <t>41-2705(a)(3) - Cereal Malt Beverages; Accept, receive or borrow money or anything else of value, or accept or receive credit, from any stockholders in a manufacturer or distributor</t>
  </si>
  <si>
    <t>41-2725(a) - Cereal Malt Beverages; Cereal malt beverage prohibited at state capitol</t>
  </si>
  <si>
    <t>41-2706(a) - Cereal Malt Beverages; Certain sales on credit or in trade prohibited</t>
  </si>
  <si>
    <t>41-2722(a)(5) - Cereal Malt Beverages; Certain sales practices prohibited; Advertise or promote any prohibited practices in K.S.A. 41-2722(a)(1) through (4)</t>
  </si>
  <si>
    <t>41-2722(a)(4) - Cereal Malt Beverages; Certain sales practices prohibited; Encourage or permit games or contests involving cereal malt beverages or awarding drinks as prizes</t>
  </si>
  <si>
    <t>41-2722(a)(2) - Cereal Malt Beverages; Certain sales practices prohibited; Offer or serve a drink at a price less than licensee's acquisition cost</t>
  </si>
  <si>
    <t>41-2722(a)(3) - Cereal Malt Beverages; Certain sales practices prohibited; Offer or serve an unlimited number of drinks during a set period of time for a fixed price, except at private functions</t>
  </si>
  <si>
    <t>41-2722(a)(1) - Cereal Malt Beverages; Certain sales practices prohibited; Offer or serve free cereal malt beverages to any person</t>
  </si>
  <si>
    <t>41-2726(a) - Cereal Malt Beverages; CMB;  Sales below cost prohibited; punished per 41-2711</t>
  </si>
  <si>
    <t>41-2705(b) - Cereal Malt Beverages; Licensee permitting or assenting, or being a party to any violation or infringement of the provisions of this section or of K.S.A. 41-702 or 41-703</t>
  </si>
  <si>
    <t>41-2702 - Cereal Malt Beverages; Retailer's license required for sale of CMB</t>
  </si>
  <si>
    <t>41-2707 - Cereal Malt Beverages; Sale by distributor to retailer on credit unlawful</t>
  </si>
  <si>
    <t>41-2722(b)(3) - Cereal Malt Beverages; Sell or serve cereal malt beverage in a pitcher capable of containing not more than 64 fluid ounces.</t>
  </si>
  <si>
    <t>65-4516 - Certification of Operators of Water Supply Systems &amp; Wastewater Treatment Facilities; Fail to supply supervision by a certified operator</t>
  </si>
  <si>
    <t>2-3308(a)(2) - Chemigation Safety Law; Engage in chemigation on a suspended or revoked permit</t>
  </si>
  <si>
    <t>2-3308(a)(1) - Chemigation Safety Law; Engage in chemigation without a permit</t>
  </si>
  <si>
    <t>2-3308(a)(4) - Chemigation Safety Law; Failure of permit holder to immediately notify the secretary of any actual or suspected accident resulting from the use of chemigation</t>
  </si>
  <si>
    <t>2-3313(g) - Chemigation Safety Law; Person registered or holding permit; aid, abet or conspire with any person to evade any of the provisions of this act; allow use of a registration or permit by a person not named on the registration or permit</t>
  </si>
  <si>
    <t>2-3313(h) - Chemigation Safety Law; Person registered or holding permit; impersonate any state, county or city inspector or official, as acting in their official capacity</t>
  </si>
  <si>
    <t>2-3313(b) - Chemigation Safety Law; Person registered or holding permit; knowingly use ineffective or improper equipment or materials</t>
  </si>
  <si>
    <t>2-3313(a) - Chemigation Safety Law; Person registered or holding permit; make a pesticide use or application not in accordance with the label directions</t>
  </si>
  <si>
    <t>2-3313(d) - Chemigation Safety Law; Person registered or holding permit; make false or fraudulent records or reports</t>
  </si>
  <si>
    <t>2-3313(f) - Chemigation Safety Law; Person registered or holding permit; refuse or neglect to comply with any limitations or restrictions on or in a duly issued registration or permit</t>
  </si>
  <si>
    <t>2-3313(c) - Chemigation Safety Law; Person registered or holding permit; refuse or neglect to keep and maintain records as required; refuse or neglect to make records available as required by this act</t>
  </si>
  <si>
    <t>2-3313(i) - Chemigation Safety Law; Person registered or holding permit; use any chemigation method or pesticide, fertilizer or other chemical material without regard to public health, safety or welfare</t>
  </si>
  <si>
    <t>2-3313(e) - Chemigation Safety Law; Person registered or holding permit; use fraud or misrepresentation in making an application for or renewal of a registration or permit</t>
  </si>
  <si>
    <t>2-3313(j) - Chemigation Safety Law; Person registered or holding permit; use the chemigation process without proper registration or permit issued under the provisions of this act</t>
  </si>
  <si>
    <t>2-3308(a)(3) - Chemigation Safety Law; Tamper with, or damage equipment specified in this act</t>
  </si>
  <si>
    <t>38-601 - Child Labor; Employment of children under 14</t>
  </si>
  <si>
    <t>38-603(a) - Child Labor; Employment of children under 16</t>
  </si>
  <si>
    <t>38-602 - Child Labor; Employment of children under 18</t>
  </si>
  <si>
    <t>38-616(a) - Child Labor; Employment of infant under 1 month on motion picture set or location without written appropriate certification by licensed physician and surgeon board-certified in pediatrics</t>
  </si>
  <si>
    <t>65-67a09(c) - Child Rape Protection Act; 1st conviction</t>
  </si>
  <si>
    <t>65-67a09(c) - Child Rape Protection Act; Failure of a physician to comply with any provision of this section or any rule or regulation adopted hereunder; 2nd or subs. conviction</t>
  </si>
  <si>
    <t>79-3321(x) - Cigarettes &amp; Tobacco Products; Affix a stamp required pursuant to K.S.A. 79-3311 to the package of any cigarettes described in subsection (v) or altered in violation of subsection (w)</t>
  </si>
  <si>
    <t>79-3321(w) - Cigarettes &amp; Tobacco Products; Alter the package of any cigarettes, prior to sale or distribution to the ultimate consumer, to remove, conceal or obscure certain labels or health warnings</t>
  </si>
  <si>
    <t>79-3322(b)(1)(B) - Cigarettes &amp; Tobacco Products; Buy cigarettes or tobacco for a person under 18 yrs of age</t>
  </si>
  <si>
    <t>79-3321(g) - Cigarettes &amp; Tobacco Products; Dealer; fail or refuse to keep and preserve all records as required</t>
  </si>
  <si>
    <t>79-3321(e) - Cigarettes &amp; Tobacco Products; Dealer; Fail to produce records or invoices required to be kept</t>
  </si>
  <si>
    <t>79-3333(c) - Cigarettes &amp; Tobacco Products; Fail of retail cigarette dealer to register, file sales tax returns or remit taxes owed for the sale of cigarettes over the internet, telephone or other mail order transaction</t>
  </si>
  <si>
    <t>79-3321(j) - Cigarettes &amp; Tobacco Products; Fail or refuse to permit inspection of a carrier transporting cigarettes</t>
  </si>
  <si>
    <t>79-3333(f) - Cigarettes &amp; Tobacco Products; Fail to comply with documentation requirements involving the sale of cigarettes through the internet or other mail order transaction</t>
  </si>
  <si>
    <t>79-3333(g) - Cigarettes &amp; Tobacco Products; Fail to comply with packaging requirements when shipping</t>
  </si>
  <si>
    <t>50-6a16(b) - Cigarettes &amp; Tobacco Products; False representation to any person directly or indirectly by non-participating manufacturer: any information about a brand family listed on the directory; that it is a participating manufacturer; that it has made all required escrow payments; or that it has satisfied any other requirements imposed pursuant to the act</t>
  </si>
  <si>
    <t>79-3321(f) - Cigarettes &amp; Tobacco Products; Knowingly make, use, or present any falsified invoice or falsely state the nature or quantity of the goods therein invoiced</t>
  </si>
  <si>
    <t>79-3321(b) - Cigarettes &amp; Tobacco Products; Mutilate or attach a mutilated or previously used stamp to any package of cigarettes; possession of any mutilated stamps</t>
  </si>
  <si>
    <t>79-3321(i) - Cigarettes &amp; Tobacco Products; Possess evidence of tax indicia not purchased from the director</t>
  </si>
  <si>
    <t>79-3321(n) - Cigarettes &amp; Tobacco Products; Possession or attempted possession of cigarettes, electronic cigarettes or tobacco by a person under 18 yrs of age</t>
  </si>
  <si>
    <t>79-3321(c) - Cigarettes &amp; Tobacco Products; Prevent a full inspection as authorized by this act</t>
  </si>
  <si>
    <t>79-3321(m) - Cigarettes &amp; Tobacco Products; Purchase or attempted purchase of cigarettes, electronic cigarettes or tobacco by a person under 18 yrs of age</t>
  </si>
  <si>
    <t>79-3321(r) - Cigarettes &amp; Tobacco Products; Retail dealer; fail to post and maintain notice as required</t>
  </si>
  <si>
    <t>79-3333(e) - Cigarettes &amp; Tobacco Products; Retailer; failure to verify date of birth or age of the purchaser</t>
  </si>
  <si>
    <t>79-3333(d) - Cigarettes &amp; Tobacco Products; Retailer; sale of cigarettes via internet, telephone or mail without proper certification</t>
  </si>
  <si>
    <t>79-3333(a) - Cigarettes &amp; Tobacco Products; Retailer; unlicensed sale of cigarette and tobacco products act</t>
  </si>
  <si>
    <t>79-3333(b) - Cigarettes &amp; Tobacco Products; Sale of cigarettes without Kansas cigarette tax stamp affixed to package</t>
  </si>
  <si>
    <t>79-3321(q) - Cigarettes &amp; Tobacco Products; Sell a vending machine without a vending machine distributor's license</t>
  </si>
  <si>
    <t>79-3321(p) - Cigarettes &amp; Tobacco Products; Sell cigarettes without having a license</t>
  </si>
  <si>
    <t>79-3321(o) - Cigarettes &amp; Tobacco Products; Sell cigarettes without Kansas tax indicia or without paying Kansas cigarette tax, to a retailer or at retail</t>
  </si>
  <si>
    <t>50-6a16(a) - Cigarettes &amp; Tobacco Products; Sell, distribute cigarettes; acquire, hold, own, possess, transport, import or cause to be imported cigarettes that the person knows or should know are intended for distribution or sale in this state in violation of K.S.A. 50-6a04(a) or K.S.A. 50-6a13(a); 1st conviction</t>
  </si>
  <si>
    <t>50-6a16(a) - Cigarettes &amp; Tobacco Products; Sell, distribute cigarettes; acquire, hold, own, possess, transport, import or cause to be imported cigarettes that the person knows or should know are intended for distribution or sale in this state in violation of K.S.A. 50-6a04(a) or K.S.A. 50-6a13(a); 2nd conviction</t>
  </si>
  <si>
    <t>50-6a16(a) - Cigarettes &amp; Tobacco Products; Sell, distribute cigarettes; acquire, hold, own, possess, transport, import or cause to be imported cigarettes that the person knows or should know are intended for distribution or sale in this state in violation of K.S.A. 50-6a04(a) or K.S.A. 50-6a13(a); 3rd conviction</t>
  </si>
  <si>
    <t>79-3321(l) - Cigarettes &amp; Tobacco Products; Sell, furnish or distribute cigarettes, electronic cigarettes or tobacco to person under 18</t>
  </si>
  <si>
    <t>79-3322(b)(1)(A) - Cigarettes &amp; Tobacco Products; Sell, give, furnish cigarettes or tobacco to person under 18 yrs of age</t>
  </si>
  <si>
    <t>79-3321(s) - Cigarettes &amp; Tobacco Products; Unauthorized distribution of samples within 500 feet of any school when such facility is being used primarily by persons under 18 yrs of age</t>
  </si>
  <si>
    <t>79-3321(a) - Cigarettes &amp; Tobacco Products; Unauthorized possession of more than 200 cigarettes without the required tax indicia</t>
  </si>
  <si>
    <t>79-3321(u) - Cigarettes &amp; Tobacco Products; Unauthorized sale of cigarettes, electronic cigarettes or tobacco products by means of a self-service display in any establishment, or portion of an establishment</t>
  </si>
  <si>
    <t>79-3321(t) - Cigarettes &amp; Tobacco Products; Unauthorized sale of cigarettes, electronic cigarettes or tobacco products by means of a vending machine in any establishment, or portion of an establishment, open to minors</t>
  </si>
  <si>
    <t>79-3321(v) - Cigarettes &amp; Tobacco Products; Unauthorized sale, distribution, acquisition, possession, transportation, or importation of certain cigarettes within this state</t>
  </si>
  <si>
    <t>79-3321(d) - Cigarettes &amp; Tobacco Products; Use any artful device or deceptive practice to conceal any violation of this act or to mislead one charged with the enforcement of this act</t>
  </si>
  <si>
    <t>79-3321(k) - Cigarettes &amp; Tobacco Products; Vend small cigars, or a product that can be confused with cigarettes, from a machine vending cigarettes; build a vending machine to vend cigars or products that may be confused with cigarettes, that may be attached to a cigarette vending machine</t>
  </si>
  <si>
    <t>79-3321(h) - Cigarettes &amp; Tobacco Products; Wholesale cigarettes to any unauthorized person</t>
  </si>
  <si>
    <t>-105949 - Cities &amp; Municipalities; Any city treasurer violating any of the provisions of this act</t>
  </si>
  <si>
    <t>-96818 - Cities &amp; Municipalities; Cities in counties over 90,000; failure, neglect or refusal of any railroad company or companies or street-railway company to erect, construct, reconstruct or repair any viaduct or tunnel as required</t>
  </si>
  <si>
    <t>-97183 - Cities &amp; Municipalities; Failure, neglect or refusal of any railroad company or companies or street-railway company to erect, construct, reconstruct or repair any viaduct or tunnel as required</t>
  </si>
  <si>
    <t>12-1,108 - Cities &amp; Municipalities; Inspection of tax returns; unlawful to exhibit, disclose or publish</t>
  </si>
  <si>
    <t>12-853 - Cities &amp; Municipalities; Materially diminish the augmented flow of water due to the use of said stream or streams by such cities in conveying its water to its water system intake</t>
  </si>
  <si>
    <t>12-189 - Cities &amp; Municipalities; Officer or employee of a city or county divulging confidential info</t>
  </si>
  <si>
    <t>12-761(a) - Cities &amp; Municipalities; Planning and Zoning; penalty for any violation of regulations</t>
  </si>
  <si>
    <t>12-850 - Cities &amp; Municipalities; Unauthorized interference with the surface of any street, alleys, public park or grounds of such city</t>
  </si>
  <si>
    <t>13-1903 - Cities of the First Class; General Powers of Board of Commissioners; failure of railroad company or companies or street-railway company, to comply with the duty to erect, construct, reconstruct or repair any viaduct, within the time and in the manner required by the board of commissioners</t>
  </si>
  <si>
    <t>15-1008 - Cities of the Third Class; Cemeteries; unlawful establishment or maintenance</t>
  </si>
  <si>
    <t>41-2640(a)(6) - Club/Drinking Establishment Act; Advertise or promote in any way, whether on or off the licensed premises, any of the practices prohibited under subsections (a)(1) through (5)</t>
  </si>
  <si>
    <t>41-2604(a) - Club/Drinking Establishment Act; Allowing consumption of liquor in violation of Act</t>
  </si>
  <si>
    <t>41-2640(a)(4) - Club/Drinking Establishment Act; Encourage or permit, on the licensed premises, any game or contest which involves drinking alcoholic liquor or cereal malt beverage or the awarding of individual drinks as prizes</t>
  </si>
  <si>
    <t>41-2632(b)(2) - Club/Drinking Establishment Act; Influencing purchases from particular retailer by licensees prohibited</t>
  </si>
  <si>
    <t>41-2632(b)(1) - Club/Drinking Establishment Act; Influencing purchases of particular brand by licensees prohibited</t>
  </si>
  <si>
    <t>41-2640(a)(1) - Club/Drinking Establishment Act; Offer or serve any free cereal malt beverage or alcoholic liquor</t>
  </si>
  <si>
    <t>41-2640(a)(2) - Club/Drinking Establishment Act; Offer or serve to any person an individual drink at a price that is less than the acquisition cost of the individual drink to the licensee or permit holder</t>
  </si>
  <si>
    <t>41-2615(a) - Club/Drinking Establishment Act; Possession or consumption by minor prohibited</t>
  </si>
  <si>
    <t>41-2640(b)(7) - Club/Drinking Establishment Act; Public venue; Advertise or promote any prohibited practices in K.S.A. 41-2640(b)(1) through (6)</t>
  </si>
  <si>
    <t>41-2640(b)(5) - Club/Drinking Establishment Act; Public venue; Encourage or permit games or contests involving drinking alcoholic liquor and cereal malt beverage or awarding drinks as prizes</t>
  </si>
  <si>
    <t>41-2640(b)(2) - Club/Drinking Establishment Act; Public venue; Offer or serve a drink or original container of alcoholic liquor or cereal malt beverage at a price less than the licensee's acquisition cost of the drink or original container</t>
  </si>
  <si>
    <t>41-2640(b)(1) - Club/Drinking Establishment Act; Public venue; Offer or serve free cereal malt beverage or alcoholic liquor in any form to any person</t>
  </si>
  <si>
    <t>41-2640(b)(3) - Club/Drinking Establishment Act; Public venue; Sell or serve alcoholic liquor in glass containers to customers in the general admission area</t>
  </si>
  <si>
    <t>41-2640(b)(4) - Club/Drinking Establishment Act; Public venue; Sell or serve more than two drinks per customer an any one time in the general admission area</t>
  </si>
  <si>
    <t>41-2640(b)(6) - Club/Drinking Establishment Act; Public venue; sell, offer to sell or serve free powdered alcohol</t>
  </si>
  <si>
    <t>41-2640(a)(5) - Club/Drinking Establishment Act; Sell, offer to sell or serve free powdered alcohol</t>
  </si>
  <si>
    <t>41-2640(a)(3) - Club/Drinking Establishment Act; Sell, offer to sell or serve to any person an unlimited number of individual drinks during any set period of time for a fixed price, except at private functions or to general membership of a club</t>
  </si>
  <si>
    <t>21-6417(a)(1) - Cockfighting; Causing gamecocks to fight each other for amusement or gain</t>
  </si>
  <si>
    <t>21-6417(a)(2) - Cockfighting; Knowingly permitting gamecock fighting on premises</t>
  </si>
  <si>
    <t>21-6417(a)(3) - Cockfighting; Training or otherwise preparing gamecock for the purpose of gamecock fighting</t>
  </si>
  <si>
    <t>21-6417(c) - Cockfighting; Unlawful attendance of gamecock fighting</t>
  </si>
  <si>
    <t>21-6417(b) - Cockfighting; Unlawful possession of gamecock fighting paraphernalia</t>
  </si>
  <si>
    <t>38-2223(e)(2) - Code for Care of Children; Intentionally preventing or interfering with the making of a report of child abuse</t>
  </si>
  <si>
    <t>38-2224(a) - Code for care of Children; Retaliation by employer against one who reports to, or cooperates with an investigation by law enforcement or the secretary relating to suspected abuse of a child</t>
  </si>
  <si>
    <t>38-2223(e)(1) - Code for Care of Children; Willful and knowing failure to report child abuse as required</t>
  </si>
  <si>
    <t>38-2223(e)(3) - Code for Care of Children; Willful and knowing false report of child abuse, lacking factual foundation</t>
  </si>
  <si>
    <t>48-2713(a) - Code of Military Justice; Use of any menacing word, sign, or gesture in the presence of the military court, or who disturbs the military courts proceedings by any riot or disorder</t>
  </si>
  <si>
    <t>48-2712(a)(3) - Code of Military Justice; Willfully neglect or refuse to appear, or refuse to qualify as a witness or to testify or to produce any evidence which that person may have been legally subpoenaed to produce</t>
  </si>
  <si>
    <t>21-6506(a)(3) - Commercial Bribery; Knowing violation of duty of fidelity or trust; by a lawyer, physician, accountant, appraiser or other professional adviser</t>
  </si>
  <si>
    <t>21-6506(a)(2) - Commercial Bribery; Knowing violation of duty of fidelity or trust; by a person acting in a fiduciary capacity</t>
  </si>
  <si>
    <t>21-6506(a)(1) - Commercial Bribery; Knowing violation of duty of fidelity or trust; by an agent or employee of another</t>
  </si>
  <si>
    <t>21-6506(a)(5) - Commercial Bribery; Knowing violation of duty of fidelity or trust; by an arbitrator or other purportedly disinterested adjudicator or referee</t>
  </si>
  <si>
    <t>21-6506(a)(4) - Commercial Bribery; Knowing violation of duty of fidelity or trust; by an officer, director, partner, manager, or other participant in the affairs of a corporation, partnership or unincorporated association</t>
  </si>
  <si>
    <t>8-2,132(c) - Commercial Drivers' License Act; Driving a commercial vehicle in violation of out-of-service order</t>
  </si>
  <si>
    <t>8-2,132(b) - Commercial Drivers' License Act; Driving a commercial vehicle while DL suspended/revoked/cancelled or subject to disqualification</t>
  </si>
  <si>
    <t>8-2,132(a) - Commercial Drivers' License Act; Driving a commercial vehicle without valid DL</t>
  </si>
  <si>
    <t>2-1011(2)(B) - Commercial Feed Stuffs; Fail or neglect to file the tonnage report and pay the inspection fee due thereon as required</t>
  </si>
  <si>
    <t>2-1011(2)(C) - Commercial Feed Stuffs; File a false report of the tonnage of feeding stuffs sold for any period</t>
  </si>
  <si>
    <t>2-1011(2)(D) - Commercial Feed Stuffs; Impede, obstruct, hinder or otherwise prevent or attempt to prevent agents charged with the enforcement of the provisions of article 10 of chapter 2 of K.S.A.</t>
  </si>
  <si>
    <t>2-1011(2)(A) - Commercial Feed Stuffs; Mutilate, destroy, obliterate or remove the label or any part thereof, or any act which may result in misbranding or false labeling</t>
  </si>
  <si>
    <t>2-1011(1)(D) - Commercial Feed Stuffs; Unlawful sale/distribution; adulterated or containing substance or substances which may render it injurious to public health or the health of livestock, poultry and pets</t>
  </si>
  <si>
    <t>2-1011(1)(C) - Commercial Feed Stuffs; Unlawful sale/distribution; bearing false/misleading statement on the label or the advertising</t>
  </si>
  <si>
    <t>2-1011(1)(B) - Commercial Feed Stuffs; Unlawful sale/distribution; not labeled as required by law</t>
  </si>
  <si>
    <t>2-1011(1)(A) - Commercial Feed Stuffs; Unlawful sale/distribution; not licensed</t>
  </si>
  <si>
    <t>2-1208(1)(c) - Commercial Fertilizers; Sale/distribution of; fertilizer bears a false or misleading statement on the application for registration, the label or the advertising</t>
  </si>
  <si>
    <t>2-1208(1)(b) - Commercial Fertilizers; Sale/distribution of; fertilizer not labeled as required</t>
  </si>
  <si>
    <t>2-1208(1)(a) - Commercial Fertilizers; Sale/distribution of; fertilizer not registered</t>
  </si>
  <si>
    <t>21-5811(a)(2) - Commercial Fossil Hunting; Remove fossils from property without landowners consent</t>
  </si>
  <si>
    <t>21-5811(a)(1) - Commercial Fossil Hunting; Without written authorization of the landowner</t>
  </si>
  <si>
    <t>21-6406(a)(1)(D) - Commercial Gambling; Knowingly conduct a lottery, or possess facilities to do so with such intent</t>
  </si>
  <si>
    <t>21-6406(a)(2)(A) - Commercial Gambling; Knowingly grant the use or allow the continued use of a place as a gambling place</t>
  </si>
  <si>
    <t>21-6406(a)(1)(A) - Commercial Gambling; Knowingly operate or receive earnings of a gambling place</t>
  </si>
  <si>
    <t>21-6406(a)(2)(B) - Commercial Gambling; Knowingly permit another to set up a gambling device for use in a place under the offender's control</t>
  </si>
  <si>
    <t>21-6406(a)(1)(B) - Commercial Gambling; Knowingly receive/record/forward bets or offers to bet or, possess facilities to do so with such intent</t>
  </si>
  <si>
    <t>21-6406(a)(1)(E) - Commercial Gambling; Knowingly set up for use or collect the proceeds of any gambling device</t>
  </si>
  <si>
    <t>21-6406(a)(1)(C) - Commercial Gambling; Knowingly/for gain, become a custodian of anything of value bet or offered to be bet</t>
  </si>
  <si>
    <t>21-6422(a)(1)(B) - Commercial Sexual Exploitation of a Child; Knowingly offering, giving or receiving anything of value to procure a patron, where there is an exchange of value, to procure or solicit a person under 18 to perform sexual acts; offender 18 or older and victim under 14</t>
  </si>
  <si>
    <t>21-6422(a)(1)(B) - Commercial Sexual Exploitation of a Child; Knowingly offering, giving or receiving anything of value to procure a patron, where there is an exchange of value, to procure or solicit a person under 18 to to perform sexual acts; offender has no prior convictions under this section; victim not under 14 or offender not 18 or older</t>
  </si>
  <si>
    <t>21-6422(a)(1)(B) - Commercial Sexual Exploitation of a Child; Knowingly offering, giving or receiving anything of value to procure a patron, where there is an exchange of value, to procure or solicit a person under 18 to to perform sexual acts; offender has prior conviction under this section; victim not under 14 or offender not 18 or older</t>
  </si>
  <si>
    <t>21-6422(a)(1)(A) - Commercial Sexual Exploitation of a Child; Knowingly offering, giving or receiving anything of value to procure or solicit a person under 18 to perform sexual acts; offender 18 or older and victim under 14</t>
  </si>
  <si>
    <t>21-6422(a)(1)(A) - Commercial Sexual Exploitation of a Child; Knowingly offering, giving or receiving anything of value to procure or solicit a person under 18 to perform sexual acts; offender has no prior convictions under this section; victim not under 14 or offender not 18 or older</t>
  </si>
  <si>
    <t>21-6422(a)(1)(A) - Commercial Sexual Exploitation of a Child; Knowingly offering, giving or receiving anything of value to procure or solicit a person under 18 to perform sexual acts; offender has prior conviction under this section; victim not under 14 or offender not 18 or older</t>
  </si>
  <si>
    <t>21-6422(a)(2) - Commercial Sexual Exploitation of a Child; Knowingly own or maintain any property where sexual relations are offered or sold by a person under 18; offender 18 or older and victim under 14</t>
  </si>
  <si>
    <t>21-6422(a)(2) - Commercial Sexual Exploitation of a Child; Knowingly own or maintain any property where sexual relations are offered or sold by a person under 18; offender has no prior convictions under this section; victim not under 14 and offender not 18 or older</t>
  </si>
  <si>
    <t>21-6422(a)(2) - Commercial Sexual Exploitation of a Child; Knowingly own or maintain any property where sexual relations are offered or sold by a person under 18; offender has prior conviction under this section; victim not under 14 and offender not 18 or older</t>
  </si>
  <si>
    <t>21-6422(a)(3) - Commercial Sexual Exploitation of a Child; Knowingly permit property to be used as place where sexual relations are offered or sold by a person under 18; offender 18 or older and victim under 14</t>
  </si>
  <si>
    <t>21-6422(a)(3) - Commercial Sexual Exploitation of a Child; Knowingly permit property to be used as place where sexual relations are offered or sold by a person under 18; offender has no prior convictions under this section; victim not under 14 or offender not 18 or older</t>
  </si>
  <si>
    <t>21-6422(a)(3) - Commercial Sexual Exploitation of a Child; Knowingly permit property to be used as place where sexual relations are offered or sold by a person under 18; offender has prior conviction under this section; victim not under 14 or offender not 18 or older</t>
  </si>
  <si>
    <t>21-6422(a)(4) - Commercial Sexual Exploitation of a Child; Knowingly procure, pay for or provide transportation of a person under 18 with the intent to assist in selling sexual acts; offender 18 or older and victim under 14</t>
  </si>
  <si>
    <t>21-6422(a)(4) - Commercial Sexual Exploitation of a Child; Knowingly procure, pay for or provide transportation of a person under 18 with the intent to assist in selling sexual relations; offender has no prior convictions under this section; victim not under 14 or offender not 18 or older</t>
  </si>
  <si>
    <t>21-6422(a)(4) - Commercial Sexual Exploitation of a Child; Knowingly procure, pay for or provide transportation of a person under 18 with the intent to assist in selling sexual relations; offender has prior conviction under this section; victim not under 14 or offender not 18 or older</t>
  </si>
  <si>
    <t>32-1005(a)(1) - Commercialization of Wildlife; Capture, kill, possess certain animals; value of $1,000 or more</t>
  </si>
  <si>
    <t>32-1005(a)(4) - Commercialization of Wildlife; Purchase for use or consumption certain animals; value of $1,000 or more</t>
  </si>
  <si>
    <t>32-1005(a)(2) - Commercialization of Wildlife; Sell, barter, purchase certain animals; value of $1,000 or more</t>
  </si>
  <si>
    <t>32-1005(a)(3) - Commercialization of Wildlife; Ship, transport, receive certain animals; value of $1,000 or more</t>
  </si>
  <si>
    <t>22-3905(a) - Common Nuisance; Maintenance of a Common Nuisance</t>
  </si>
  <si>
    <t>21-6003(a) - Compensation for Past Official Acts</t>
  </si>
  <si>
    <t>21-5839(a)(4) - Computer Crime: Knowing and unauthorized disclosure of number, code or password to access computer or computer network, social networking website or personal electronic content</t>
  </si>
  <si>
    <t>21-5839(a)(5) - Computer Crime: Knowingly and without authorization access or attempt to access computer, computer system, social networking website, computer network or software, program, documentation, data or property contained therein</t>
  </si>
  <si>
    <t>21-5839(a)(1) - Computer Crime; Knowingly and without authorization access, damage, modify, alter, destroy, copy, disclose or take possession of a computer, computer system, computer network or other property</t>
  </si>
  <si>
    <t>21-5839(a)(1) - Computer Crime; Knowingly and without authorization access, damage, modify, alter, destroy, copy, disclose or take possession of a computer, computer system, computer network or other property; if monetary loss to victim is more than $100,000</t>
  </si>
  <si>
    <t>21-5839(a)(3) - Computer Crime; Knowingly exceed the limits of authorization and damage, modify, alter, destroy, copy, disclose or take possession of a computer, computer system, computer network or any other property</t>
  </si>
  <si>
    <t>21-5839(a)(3) - Computer Crime; Knowingly exceed the limits of authorization and damage, modify, alter, destroy, copy, disclose or take possession of a computer, computer system, computer network or any other property; if monetary loss to victim is more than $100,000</t>
  </si>
  <si>
    <t>21-5839(a)(2) - Computer Crime; Use computer, computer system, computer network or other property for purpose of devising or executing scheme or artifice with intent to defraud</t>
  </si>
  <si>
    <t>21-5839(a)(2) - Computer Crime; Use computer, computer system, computer network or other property for purpose of devising or executing scheme or artifice with intent to defraud; if monetary loss to victim is more than $100,000</t>
  </si>
  <si>
    <t>75-7c10(a) - Concealed Handgun; Carrying concealed handgun into statutorily prohibited locations; 1st or 2nd offense</t>
  </si>
  <si>
    <t>75-7c10(a) - Concealed Handgun; Carrying concealed handgun into statutorily prohibited locations; 3rd or subs. offense</t>
  </si>
  <si>
    <t>60-4708(c) - Construction Defects; Member or officer of an executive board accepting anything of value in exchange for encouraging or discouraging the filing of a claim for damages arising from a construction defect</t>
  </si>
  <si>
    <t>60-4708(a) - Construction Defects; Offer anything of value to a property manager of an association or member or officer of an executive board of an association to induce, encourage or discourage the filing of a claim for damages arising from a construction defect</t>
  </si>
  <si>
    <t>60-4708(b) - Construction Defects; Property manager accepting anything of value given in exchange for encouraging or discouraging the filing of a claim for damages arising from a construction defect</t>
  </si>
  <si>
    <t>50-6a04(a) - Consumer Protection Act; Affixing of cigarette stamps and meter impressions (falsely representing)</t>
  </si>
  <si>
    <t>50-620 - Consumer Protection Act; Certain information as to ownership of junk required; register</t>
  </si>
  <si>
    <t>50-626(a) - Consumer Protection Act; Engaging in any deceptive act or practice in connection with a consumer transaction; deceptive acts and practices defined in subsection (b)</t>
  </si>
  <si>
    <t>21-6423 - Consumer Protection Act; engaging in door-to-door sales</t>
  </si>
  <si>
    <t>50-621 - Consumer Protection Act; Junk dealer; purchasing items of junk without receiving information on ownership from seller; fail to file and maintain a record of ownership as required</t>
  </si>
  <si>
    <t>50-627(a) - Consumer Protection Act; Unconscionable acts and practices</t>
  </si>
  <si>
    <t>46-1014(a)(3) - Contempt of Legislature; Appear as required by a subpoena but refuse to answer, under oath or affirmation, any question pertinent to the matter under inquiry</t>
  </si>
  <si>
    <t>46-1014(a)(2) - Contempt of Legislature; Willfully fail to produce books, papers, documents or other records when required to do so</t>
  </si>
  <si>
    <t>46-1014(a)(1) - Contempt of Legislature; Willfully make default when summoned as a witness by subpoena</t>
  </si>
  <si>
    <t>16-114 - Contracts &amp; Promises; Penalty for any violation of act</t>
  </si>
  <si>
    <t>21-5603(a)(3) - Contributing to a Child's Misconduct; Fail to reveal information concerning runaway child to law enforcement officer with intent to aid in avoid in detection or apprehension of runaway</t>
  </si>
  <si>
    <t>21-5603(a)(5) - Contributing to a Child's Misconduct; Knowingly cause or encourage child under 18 to commit felony</t>
  </si>
  <si>
    <t>21-5603(a)(6) - Contributing to a Child's Misconduct; Knowingly cause or encourage probation violation</t>
  </si>
  <si>
    <t>21-5603(a)(2) - Contributing to a Child's Misconduct; Knowingly cause, encourage child under 18 to commit traffic infraction or misdemeanor or violate K.S.A. 41-727 or K.S.A. 74-8810(j)</t>
  </si>
  <si>
    <t>21-5603(a)(1) - Contributing to a Child's Misconduct; Knowingly cause, encourage child under 18 to remain or become CINC</t>
  </si>
  <si>
    <t>21-5603(a)(4) - Contributing to a Child's Misconduct; Sheltering or concealing a runaway child</t>
  </si>
  <si>
    <t>17-1913 - Corporations; Fail or neglect to keep station open or deliver messages as required</t>
  </si>
  <si>
    <t>17-1907 - Corporations; Intentional / willful injury to telegraph, telephone or power line property</t>
  </si>
  <si>
    <t>17-1908 - Corporations; Intentional / willful interference with lines</t>
  </si>
  <si>
    <t>17-1918 - Corporations; Unlawful for mover to move or interfere with lines or facilities</t>
  </si>
  <si>
    <t>65-1942(a)(3) - Cosmetology; Alter materially a license with fraudulent intent</t>
  </si>
  <si>
    <t>65-1902(a)(2) - Cosmetology; Conduct a school for teaching cosmetology without holding a valid license to conduct the school</t>
  </si>
  <si>
    <t>65-1902(a)(6) - Cosmetology; Conduct a school for teaching electrology without holding a valid license to conduct the school</t>
  </si>
  <si>
    <t>65-1902(a)(8) - Cosmetology; Conduct a school for teaching esthetics without holding a valid license to conduct the school</t>
  </si>
  <si>
    <t>65-1902(a)(4) - Cosmetology; Conduct a school for teaching nail technology without holding a valid license to conduct the school</t>
  </si>
  <si>
    <t>65-1909(a)(1) - Cosmetology; Employing an individual to engage in any activity requiring a license pursuant to K.S.A. 65-1902, without a such individual holding a currently valid license</t>
  </si>
  <si>
    <t>65-1909(a)(3) - Cosmetology; Fail or refuse to comply with rules and regulations prescribed by the board or applicable sanitation standards adopted by the secretary of health and environment pursuant to K.S.A. 65-1,148</t>
  </si>
  <si>
    <t>65-1902(a)(10) - Cosmetology; Own or operate a school, salon or clinic where cosmetology, esthetics, nail technology or electrology is taught or practiced without holding a valid license</t>
  </si>
  <si>
    <t>65-1902(a)(1) - Cosmetology; Practice cosmetology, esthetics, nail technology or electrology without a valid license for such practice</t>
  </si>
  <si>
    <t>65-1942(c) - Cosmetology; Produce indelible mark using scalpel, hot iron, or any instrument other than a needle</t>
  </si>
  <si>
    <t>65-1942(a)(2) - Cosmetology; Purchase or procure by barter a license with intent to use it as evidence of the person's qualification to practice tattooing or body piercing</t>
  </si>
  <si>
    <t>65-1942(a)(1) - Cosmetology; Sell, barter, offer to sell or barter a license</t>
  </si>
  <si>
    <t>65-1926(a) - Cosmetology; Tanning facility license required</t>
  </si>
  <si>
    <t>65-1953 - Cosmetology; Tattooing or body piercing of persons under 18 without parental consent</t>
  </si>
  <si>
    <t>65-1941(a) - Cosmetology; Tattooing or body piercing without license; purporting to be a technician without a license</t>
  </si>
  <si>
    <t>65-1902(a)(3) - Cosmetology; Teach cosmetology in a licensed school without holding a valid cosmetology instructor's license</t>
  </si>
  <si>
    <t>65-1902(a)(7) - Cosmetology; Teach electrology in a licensed school or clinic without holding a valid electrology instructor's license</t>
  </si>
  <si>
    <t>65-1902(a)(9) - Cosmetology; Teach esthetics in a licensed school without holding a valid cosmetology or esthetics instructor's license</t>
  </si>
  <si>
    <t>65-1902(a)(5) - Cosmetology; Teach nail technology in a licensed school without holding a valid cosmetology or manicuring instructor's license</t>
  </si>
  <si>
    <t>65-1902(a)(11) - Cosmetology; Teaching or practicing cosmetology, esthetics, nail technology or electrology in a school, salon or clinic where the owner or operator of the school, salon or clinic does not hold a valid school, salon or clinic license</t>
  </si>
  <si>
    <t>65-1942(a)(4) - Cosmetology; Use or attempt to use as a valid license a license which has been purchased, fraudulently obtained, counterfeited or materially altered</t>
  </si>
  <si>
    <t>65-1909(a)(4) - Cosmetology; Violate any of the provisions of article 19 of chapter 65 of Kansas Statutes Annotated</t>
  </si>
  <si>
    <t>65-1909(a)(2) - Cosmetology; Violation of any order or ruling of the state board of cosmetology</t>
  </si>
  <si>
    <t>65-1942(a)(5) - Cosmetology; Willfully make a false, material statement in an application for licensure or for renewal of a license</t>
  </si>
  <si>
    <t>21-5825(a) - Counterfeiting; Retail value $25,000 or more; 1,000 or more items bearing marks; or 3rd or subs. violation</t>
  </si>
  <si>
    <t>21-5825(a) - Counterfeiting; Retail value at least $1000 but less than $25,000; more than 100 but less than 1,000 items bearing marks; or 2nd violation</t>
  </si>
  <si>
    <t>21-5825(a) - Counterfeiting; Retail value less than $1000</t>
  </si>
  <si>
    <t>19-3519(b)(2) - Counties &amp; County Officers; Water Supply &amp; Distribution Districts; fraudulent claims $1000 but &lt; $25,000</t>
  </si>
  <si>
    <t>19-3519(b)(3) - Counties &amp; County Officers; Water Supply &amp; Distribution Districts; fraudulent claims $25,000 or more</t>
  </si>
  <si>
    <t>19-323 - Counties/County Clerks; Failure or refusal to file Biennial list of county officers, their signatures and imprint of seals with secretary of state</t>
  </si>
  <si>
    <t>19-241 - Counties/County Commissioners; County charges and expenses; tax levy, use of proceeds</t>
  </si>
  <si>
    <t>19-242 - Counties/County Commissioners; Issuance of warrants or warrant checks for more than allowed</t>
  </si>
  <si>
    <t>19-233 - Counties/County Commissioners; Violation of law by commissioner</t>
  </si>
  <si>
    <t>19-1907 - Counties/County Officers; Jails; sheriff, jailer or keeper; intoxicating liquors</t>
  </si>
  <si>
    <t>19-2202 - Counties/County Officers; Licenses; unlicensed itinerant vendors of drugs or appliances; failure to supply license on demand</t>
  </si>
  <si>
    <t>19-2207 - Counties/County Officers; Licenses; unlicensed peddler or failure of peddler to pay required tax</t>
  </si>
  <si>
    <t>19-1215 - Counties/County Officers; Register of Deeds; penalty for any violation of act</t>
  </si>
  <si>
    <t>19-2240 - Counties/County Officers; Transient Merchant licensing act; penalty for any violation of act</t>
  </si>
  <si>
    <t>19-2620 - Counties/County Officers; Unauthorized change or altering of water mains</t>
  </si>
  <si>
    <t>19-2621 - Counties/County Officers; Unauthorized interference with water mains</t>
  </si>
  <si>
    <t>19-537 - Counties/County Treasurers; Penalty for willful violation of K.S.A. 19-531 to 19-537</t>
  </si>
  <si>
    <t>20-911 - Court Reporters; District Courts; false certificate or omission of portion of notes</t>
  </si>
  <si>
    <t>21-6318(a)(3) - Creating a Hazard; Recklessly exposing, abandoning or otherwise leaving any explosive or dangerous substance in a place accessible to children</t>
  </si>
  <si>
    <t>21-6318(a)(2) - Creating a Hazard; Recklessly owning or possessing property upon which a cistern, well or cesspool is located and failing to cover the same with protective covering of sufficient strength and quality to exclude human beings and domestic animals therefrom</t>
  </si>
  <si>
    <t>21-6318(a)(1) - Creating a Hazard; Recklessly storing or abandoning, in a place accessible to children, a container with a compartment of more than 1.5 cubic feet capacity and a door/lid which locks or fastens automatically when closed and cannot be easily opened from the inside, and failing to remove the door, lock, lid or fastening device on such container</t>
  </si>
  <si>
    <t>16-843 - Credit Cards; Using a forged, lost, stolen,or fraudulently obtained credit card in a transaction affecting intrastate commerce to obtain goods or services over $5,000</t>
  </si>
  <si>
    <t>50-1131 - Credit Services Organization Act; Violation act or any rule and regulation promulgated thereunder</t>
  </si>
  <si>
    <t>17-2261 - Credit Unions; Penalty for any violation of K.S.A. 17-2252 through 17-2257</t>
  </si>
  <si>
    <t>17-2203(a) - Credit Unions; Unauthorized use of the words "credit union" in any name or title</t>
  </si>
  <si>
    <t>21-6302(a)(5) - Criminal Carrying of a Weapon; Knowingly carrying a shotgun with a barrel less than 18 inches in length or any automatic weapons</t>
  </si>
  <si>
    <t>21-6302(a)(1) - Criminal Carrying of a Weapon; Knowingly carrying bludgeon, sand club, switch-blade, throwing stars, metal knuckles</t>
  </si>
  <si>
    <t>21-6302(a)(2) - Criminal Carrying of a Weapon; Knowingly carrying concealed on one's person, a dagger, dirk, billy, blackjack, slingshot, dangerous knife, straight-edge razor, stiletto, or other dangerous or deadly weapon; except ordinary pocket knife</t>
  </si>
  <si>
    <t>21-6302(a)(4) - Criminal Carrying of a Weapon; Knowingly carrying firearm concealed on one's person if under 21, except when on one's land or in one's abode or fixed place of business</t>
  </si>
  <si>
    <t>21-6302(a)(3) - Criminal Carrying of a Weapon; Knowingly carrying on one's person or in any land, water or air vehicle, with intent to unlawfully use, tear gas or smoke bomb or projector or any object containing a noxious liquid, gas or substance</t>
  </si>
  <si>
    <t>21-5813(a)(2) - Criminal Damage to Property; By means other than fire or explosive; Damage, deface, destroy, or substantially impair the use of any property with intent to injure or defraud an insurer or lien holder; damage $25,000 or more</t>
  </si>
  <si>
    <t>21-5813(a)(2) - Criminal Damage to Property; By means other than fire or explosive; Damage, deface, destroy, or substantially impair the use of any property with intent to injure or defraud an insurer or lien holder; damage at least $1,000 but less than $25,000</t>
  </si>
  <si>
    <t>21-5813(a)(2) - Criminal Damage to Property; By means other than fire or explosive; Damage, deface, destroy, or substantially impair the use of any property with intent to injure or defraud; value less than $1,000 or damaged less than $1,000</t>
  </si>
  <si>
    <t>21-5813(a)(1) - Criminal Damage to Property; By means other than fire or explosive; Knowingly damage, deface, destroy, or substantially impair the use of any property without consent; value less than $1,000 or damaged less than $1,000</t>
  </si>
  <si>
    <t>21-5813(a)(1) - Criminal Damage to Property; By means other than fire or explosive; Knowingly injure, damage, deface, destroy, or substantially impair the use of property without consent; damage $25,000 or more</t>
  </si>
  <si>
    <t>21-5813(a)(1) - Criminal Damage to Property; By means other than fire or explosive; Knowingly injure, damage, deface, destroy, or substantially impair the use of property without consent; damage at least $1,000 but less than $25,000</t>
  </si>
  <si>
    <t>21-5803(a) - Criminal Deprivation of Property; Motor vehicle; 1st or 2nd conviction</t>
  </si>
  <si>
    <t>21-5803(a) - Criminal Deprivation of Property; Motor vehicle; 3rd or subs. conviction</t>
  </si>
  <si>
    <t>21-5803(a) - Criminal Deprivation of Property; Property other than a motor vehicle</t>
  </si>
  <si>
    <t>21-6205(a)(1) - Criminal Desecration; Knowingly obtain or attempt to obtain remains of dead body, urn, etc. without authorization</t>
  </si>
  <si>
    <t>21-6205(a)(2)(D) - Criminal Desecration; Recklessly, by means other than by fire or explosive; damage, deface or destroy any place of worship; damage $25,000 or more</t>
  </si>
  <si>
    <t>21-6205(a)(2)(D) - Criminal Desecration; Recklessly, by means other than by fire or explosive; damage, deface or destroy any place of worship; damage at least $1,000 but less than $25,000</t>
  </si>
  <si>
    <t>21-6205(a)(2)(D) - Criminal Desecration; Recklessly, by means other than by fire or explosive; damage, deface or destroy any place of worship; property damaged less than $1,000</t>
  </si>
  <si>
    <t>21-6205(a)(2)(B) - Criminal Desecration; Recklessly, by means other than by fire or explosive; damage, deface or destroy any public monument or structure; damage $25,000 or more</t>
  </si>
  <si>
    <t>21-6205(a)(2)(B) - Criminal Desecration; Recklessly, by means other than by fire or explosive; damage, deface or destroy any public monument or structure; damage at least $1,000 but less than $25,000</t>
  </si>
  <si>
    <t>21-6205(a)(2)(B) - Criminal Desecration; Recklessly, by means other than by fire or explosive; damage, deface or destroy any public monument or structure; property damaged less than $1,000</t>
  </si>
  <si>
    <t>21-6205(a)(2)(C) - Criminal Desecration; Recklessly, by means other than by fire or explosive; damage, deface or destroy any tomb, monument, memorial, marker, grave, vault, crypt gate, tree, shrub, plant or any other property in a cemetery; damage $25,000 or more</t>
  </si>
  <si>
    <t>21-6205(a)(2)(C) - Criminal Desecration; Recklessly, by means other than by fire or explosive; damage, deface or destroy any tomb, monument, memorial, marker, grave, vault, crypt gate, tree, shrub, plant or any other property in a cemetery; damage at least $1,000 but less than $25,000</t>
  </si>
  <si>
    <t>21-6205(a)(2)(C) - Criminal Desecration; Recklessly, by means other than by fire or explosive; damage, deface or destroy any tomb, monument, memorial, marker, grave, vault, crypt gate, tree, shrub, plant or any other property in a cemetery; property damaged less than $1,000</t>
  </si>
  <si>
    <t>21-6205(a)(2)(A) - Criminal Desecration; Recklessly, by means other than by fire or explosive; damage, destroy or deface US or state flag or insignia</t>
  </si>
  <si>
    <t>21-6308(a)(1)(A) - Criminal Discharge of Firearm; Reckless and unauthorized discharge at an occupied building resulting in bodily harm</t>
  </si>
  <si>
    <t>21-6308(a)(1)(A) - Criminal Discharge of Firearm; Reckless and unauthorized discharge at an occupied building resulting in great bodily harm</t>
  </si>
  <si>
    <t>21-6308(a)(1)(A) - Criminal Discharge of Firearm; Reckless and unauthorized discharge at an occupied building, dwelling, or structure</t>
  </si>
  <si>
    <t>21-6308(a)(1)(B) - Criminal Discharge of Firearm; Reckless and unauthorized discharge at an occupied motor vehicle or other conveyance</t>
  </si>
  <si>
    <t>21-6308(a)(1)(B) - Criminal Discharge of Firearm; Reckless and unauthorized discharge at an occupied motor vehicle resulting in bodily harm</t>
  </si>
  <si>
    <t>21-6308(a)(1)(B) - Criminal Discharge of Firearm; Reckless and unauthorized discharge at an occupied motor vehicle resulting in great bodily harm</t>
  </si>
  <si>
    <t>21-6308(a)(2) - Criminal Discharge of Firearm; Reckless and unauthorized discharge at unoccupied dwelling</t>
  </si>
  <si>
    <t>21-6308(a)(3)(A) - Criminal Discharge of Firearm; Upon land or non-navigable body of water without permission of the owner or possessor</t>
  </si>
  <si>
    <t>21-6308(a)(3)(B) - Criminal Discharge of Firearm; Upon or from any public road, public road right-of-way or railroad right-of-way</t>
  </si>
  <si>
    <t>21-5906(a)(1) - Criminal Disclosure of a Warrant; Recklessly make public the application or issuance of a warrant</t>
  </si>
  <si>
    <t>21-5906(a)(2) - Criminal Disclosure of a Warrant; Recklessly make public the contents of affidavit or testimony supporting a warrant</t>
  </si>
  <si>
    <t>21-6312(b)(1) - Criminal Disposal of Explosives; Knowingly and without lawful authority distribute to a person under 21 regardless of knowledge of the buyer, donee, or transferee's age</t>
  </si>
  <si>
    <t>21-6312(b)(2) - Criminal Disposal of Explosives; Knowingly and without lawful authority distribute to a person who is both addicted to and an unlawful user of a controlled substance</t>
  </si>
  <si>
    <t>21-6312(b)(3) - Criminal Disposal of Explosives; Knowingly and without lawful authority distribute to a person who, within preceding 5 yrs, has been convicted of a felony or has been released from imprisonment for a felony</t>
  </si>
  <si>
    <t>21-6303(a)(3) - Criminal Distribution of Firearms to a Felon; Knowingly transferring any firearm to any person who has been convicted of a felony and who was found to have been in possession of a firearm at the time of the commission of the felony</t>
  </si>
  <si>
    <t>21-6303(a)(2) - Criminal Distribution of Firearms to a Felon; Knowingly transferring any firearm to any person who, within the preceding 10 yrs, has been convicted of a felony to which this subsection applies but was NOT found to have been in possession of a firearm at the commission of the felony or has been released from imprisonment for such a crime, and has not had the conviction of such crime expunged or been pardoned</t>
  </si>
  <si>
    <t>21-6303(a)(1) - Criminal Distribution of Firearms to a Felon; Knowingly transferring any firearm to any person who, within the preceding 5 yrs, has been convicted of a felony other than those in subsection (c) or has been released from imprisonment for a felony and was NOT found to have been in possession of a firearm at the commission of the felony</t>
  </si>
  <si>
    <t>21-6103(a)(1)(C) - Criminal False Communication; Knowingly communicating to another, false information that will tend to degrade and vilify the memory of one who is dead and to scandalize or provoke surviving relatives and friends</t>
  </si>
  <si>
    <t>21-6103(a)(1)(B) - Criminal False Communication; Knowingly communicating to another, false information that will tend to deprive such person of the benefits of public confidence and social acceptance</t>
  </si>
  <si>
    <t>21-6103(a)(1)(A) - Criminal False Communication; Knowingly communicating to another, false information that will tend to expose another living person to public hatred, contempt or ridicule</t>
  </si>
  <si>
    <t>21-6103(a)(2) - Criminal False Communication; Recklessly circulating false information or rumors with intent to injure financial standing or reputation of business or individual</t>
  </si>
  <si>
    <t>21-5810(a)(3)(A) - Criminal Hunting; Knowing and unauthorized hunting, shooting, fur harvesting, pursuing any bird or animal, or fishing upon any land or non-navigable body of water of another and in defiance of an order not to enter or to leave</t>
  </si>
  <si>
    <t>21-5810(a)(3)(B) - Criminal Hunting; Knowing and unauthorized hunting, shooting, fur harvesting, pursuing any bird or animal, or fishing upon any land or non-navigable body of water of another where such premises or property are posted in a manner consistent with K.S.A. 32-1013</t>
  </si>
  <si>
    <t>21-5810(a)(1) - Criminal Hunting; Knowingly hunting, shooting, fur harvesting, pursuing any bird or animal, or fishing upon any land or non-navigable body of water of another without consent</t>
  </si>
  <si>
    <t>21-5810(a)(2) - Criminal Hunting; Knowingly hunting, shooting, fur harvesting, pursuing any bird or animal, or fishing upon or from any public road, public road right-of-way or railroad right-of-way that adjoins occupied or improved premises without consent</t>
  </si>
  <si>
    <t>21-5815(a)(2) - Criminal Littering; Recklessly deposit or cause to be deposited any object or substance into, upon or about: Any private property without consent</t>
  </si>
  <si>
    <t>21-5815(a)(1) - Criminal Littering; Recklessly deposit or cause to be deposited any object or substance into, upon or about: Any public street, highway, alley, road, right-of-way, park or other public place, or any lake, stream, watercourse, or other body of water</t>
  </si>
  <si>
    <t>21-6312(a) - Criminal Possession of Explosives; Possession of explosive or detonating substance by one who, within 5 yrs preceding such possession, has been convicted of a felony or has been released from imprisonment for a felony</t>
  </si>
  <si>
    <t>21-6309(a)(3) - Criminal Possession of Firearm; Possession on the grounds of or in any building on the grounds of the governor's residence</t>
  </si>
  <si>
    <t>21-6309(a)(5) - Criminal Possession of Firearm; Possession within any county courthouse, unless authorized by county resolution</t>
  </si>
  <si>
    <t>21-6309(a)(4) - Criminal Possession of Firearm; Possession within any other state-owned or leased building if so designated and signs conspicuously posted</t>
  </si>
  <si>
    <t>21-6309(a)(2) - Criminal Possession of Firearm; Possession within the governor's residence</t>
  </si>
  <si>
    <t>21-6304(a)(1) - Criminal Possession of Weapon by a Convicted Felon; By a person who has been convicted of a person felony or violation of the uniform controlled substances act or adjudicated as a juvenile offender and found to have possession of firearm at the time of the commission of the offense</t>
  </si>
  <si>
    <t>21-6304(a)(3)(A) - Criminal Possession of Weapon by a Convicted Felon; By a person who has been convicted, within the preceding 10 yrs, of a felony listed in this statute or an attempt, conspiracy or solicitation of such, or has been released from imprisonment for such, or was adjudicated as a juvenile offender, and was found not to have been in possession of a firearm at the time of the commission of the offense</t>
  </si>
  <si>
    <t>21-6304(a)(3)(B) - Criminal Possession of Weapon by a Convicted Felon; By a person who has been convicted, within the preceding 10 yrs, of a nonperson felony, has been released from imprisonment for such or was adjudicated as a juvenile offender, and was found to have been in possession of a firearm at the time of the commission of the offense</t>
  </si>
  <si>
    <t>21-6304(a)(2) - Criminal Possession of Weapon by a Convicted Felon; By a person who has been convicted, within the preceding 5 yrs, of a felony other than (a)(3)(A) or violation of the uniform controlled substances act or adjudicated as a juvenile offender and found not to have been in possession of a firearm at the time of commission of offense</t>
  </si>
  <si>
    <t>22-4405 - Criminal Procedure; Agreement on Detainers; escape from custody while in state on detainer</t>
  </si>
  <si>
    <t>22-2809a(b) - Criminal Procedure; Conditions of Release; surety or agent thereof; 1st conviction</t>
  </si>
  <si>
    <t>22-2809a(b),(c) - Criminal Procedure; Conditions of Release; surety or agent thereof; 2nd or subs. offense</t>
  </si>
  <si>
    <t>22-2525(1) - Criminal Procedure; Unauthorized installation or use of pen register or a trap and trace device</t>
  </si>
  <si>
    <t>22-2710 - Criminal Procedure; Uniform Criminal Extradition Act; rights of accused person; application for writ of habeas corpus; notice; failure of officer to comply</t>
  </si>
  <si>
    <t>22-4710(a) - Criminal Procedure; Unlawful for employers to require inspection of or challenge to any criminal history record information for the purpose of obtaining criminal history record to qualify for employment</t>
  </si>
  <si>
    <t>22-4707(a) - Criminal Procedure; Violation of restrictions on dissemination of criminal history record information</t>
  </si>
  <si>
    <t>21-5411(a) - Criminal Restraint; Except by parent and only when victim is less than 18</t>
  </si>
  <si>
    <t>21-6314(a) - Criminal Street Gangs; Intentionally recruiting criminal street gang membership</t>
  </si>
  <si>
    <t>21-6315(a)(1) - Criminal Street Gangs; Intimidation; threaten injury to or actual injury of, or threaten damage or actual damage to property of, another to deter them from assisting a gang member in withdrawing from the gang</t>
  </si>
  <si>
    <t>21-6315(a)(2) - Criminal Street Gangs; Intimidation; threaten injury to or actual injury of, or threaten damage or actual damage to property of, another to punish or retaliate against such person having withdrawn from a gang</t>
  </si>
  <si>
    <t>21-5415(a)(2) - Criminal Threat; Threaten to adulterate or contaminate any food, raw agricultural commodity, beverage, drug, animal feed, plant or public water supply</t>
  </si>
  <si>
    <t>21-5415(a)(1) - Criminal Threat; Threaten to commit violence with intent to place another in fear, to cause the evacuation, lock down or disruption in regular, ongoing activities of any building, place of assembly or facility of transportation, or in reckless disregard of the risk of causing such  fear or evacuation, lock down or disruption in regular, ongoing activities</t>
  </si>
  <si>
    <t>21-5415(a)(3) - Criminal Threat; Threaten to expose any animal in this state to any contagious or infectious disease</t>
  </si>
  <si>
    <t>66-2303(a)(1) - Criminal Trespass on a Nuclear Generating Facility; Entering/remaining unlawfully in or on facility</t>
  </si>
  <si>
    <t>66-2303(a)(2) - Criminal Trespass on a Nuclear Generating Facility; Entering/remaining unlawfully within a structure or fenced yard of a facility</t>
  </si>
  <si>
    <t>21-5808a(a)(1)(C) - Criminal Trespass; Enter or remain upon or in any land, non-navigable body of water, structure, vehicle, aircraft or watercraft; In defiance of a restraining order</t>
  </si>
  <si>
    <t>21-5808a(a)(1)(A) - Criminal Trespass; Enter or remain upon or in any land, non-navigable body of water, structure, vehicle, aircraft or watercraft; In defiance of an order not to enter or to leave</t>
  </si>
  <si>
    <t>21-5808a(a)(1)(B) - Criminal Trespass; Enter or remain upon or in any land, non-navigable body of water, structure, vehicle, aircraft or watercraft; Premises or property posted as provided in K.S.A. 32-1013 or any other manner reasonably likely to come to the attention of intruders, locked, fenced or otherwise secured against passage or entry</t>
  </si>
  <si>
    <t>21-5808(a)(2) - Criminal Trespass; Enter or remain upon or in public or private land or structure so as to interfere with access to or from any health care facility in defiance of an order not to enter or to leave</t>
  </si>
  <si>
    <t>21-5828(a)(2) - Criminal Use of  Financial Card; Use a revoked or canceled financial card, or the number or description thereof; $25,000 or more within 7 days</t>
  </si>
  <si>
    <t>21-5828(a)(3) - Criminal Use of a Financial Card; Using a falsified, mutilated, altered or nonexistent financial card or a number or description; value at less than $1,000 within 7 days</t>
  </si>
  <si>
    <t>21-5828(a)(1) - Criminal Use of a Financial Card; Using a financial card without the consent of the cardholder; value at less than $1,000 within 7 days</t>
  </si>
  <si>
    <t>21-5828(a)(2) - Criminal Use of a Financial Card; Using a financial card, or the number or description, which has been revoked or canceled; value at less than $1,000 within 7 days</t>
  </si>
  <si>
    <t>21-5814(a)(2) - Criminal Use of Explosives; Unauthorized possession, creation or construction of a simulated explosive device with the intent to intimidate or cause alarm to another person</t>
  </si>
  <si>
    <t>21-5814(a)(1) - Criminal Use of Explosives; Unauthorized possession, manufacture or transportation of commercial explosives</t>
  </si>
  <si>
    <t>21-5814(a)(1) - Criminal Use of Explosives; Unauthorized possession, manufacture or transportation of commercial explosives intended to be used to commit a crime or delivered to another knowing such other intends to use such substance to commit a crime</t>
  </si>
  <si>
    <t>21-5814(a)(1) - Criminal Use of Explosives; Unauthorized possession, manufacture or transportation of commercial explosives when a public safety officer is placed at risk to defuse such explosive</t>
  </si>
  <si>
    <t>21-5814(a)(1) - Criminal Use of Explosives; Unauthorized possession, manufacture or transportation of commercial explosives when introduced into a building in which there is another human being</t>
  </si>
  <si>
    <t>21-5828(a)(3) - Criminal Use of Financial Card; Use a falsified, mutilated, altered or nonexistent financial card or a number or description thereof; $25,000 or more within 7 days</t>
  </si>
  <si>
    <t>21-5828(a)(3) - Criminal Use of Financial Card; Use a falsified, mutilated, altered or nonexistent financial card or a number or description thereof; at least $1,000 but less than $25,000 within 7 days</t>
  </si>
  <si>
    <t>21-5828(a)(1) - Criminal Use of Financial Card; Use a financial card without consent of the cardholder; $25,000 or more within 7 days</t>
  </si>
  <si>
    <t>21-5828(a)(1) - Criminal Use of Financial Card; Use a financial card without consent of the cardholder; at least $1,000 but less than $25,000 within 7 days</t>
  </si>
  <si>
    <t>21-5828(a)(2) - Criminal Use of Financial Card; Use a revoked or canceled financial card, or the number or description thereof; at least $1000 but less than $25,000 within 7 days</t>
  </si>
  <si>
    <t>21-6301(a)(14) - Criminal Use of Weapons; Knowingly possess a firearm with barrel less than 12 inches long by any person less than 18 years of age; 1st conviction</t>
  </si>
  <si>
    <t>21-6301(a)(4) - Criminal Use of Weapons; Knowingly possess any device used to silence firearm</t>
  </si>
  <si>
    <t>21-6301(a)(10) - Criminal Use of Weapons; Knowingly possess any firearm by person addicted to and unlawful user of a controlled substance</t>
  </si>
  <si>
    <t>21-6301(a)(11) - Criminal Use of Weapons; Knowingly possess any firearm by person other than LEO on school property/grounds or at school sponsored activity</t>
  </si>
  <si>
    <t>21-6301(a)(2) - Criminal Use of Weapons; Knowingly possess with intent to unlawfully use against another, a dagger, dirk, billy, blackjack, slingshot, dangerous knife, straight-edge razor, stiletto, or other dangerous or deadly weapon; except ordinary pocket knife</t>
  </si>
  <si>
    <t>21-6301(a)(6) - Criminal Use of Weapons; Knowingly possess, manufacture, sell, offer for sale, lend, purchase or give away any handgun cartridge with a plastic-coated bullet having a core of less than 60% lead by weight</t>
  </si>
  <si>
    <t>21-6301(a)(13) - Criminal Use of Weapons; Knowingly possession by one who is or has been a mentally ill person or, persons with alcohol or substance abuse problems, if subject to involuntary commitment for care and treatment</t>
  </si>
  <si>
    <t>21-6301(a)(14) - Criminal Use of Weapons; Knowingly possession by person under 18 - barrel less than 12 inches long; 2nd and subs. conviction</t>
  </si>
  <si>
    <t>21-6301(a)(12) - Criminal Use of Weapons; Knowingly refuse to surrender or immediately remove any firearm from school property/grounds or school sponsored activity as requested by one with authority</t>
  </si>
  <si>
    <t>21-6301(a)(5) - Criminal Use of Weapons; Knowingly sell, manufacture, purchase, possess or carry a shotgun with a barrel less than 18 inches in length or any automatic weapons</t>
  </si>
  <si>
    <t>21-6301(a)(1) - Criminal Use of Weapons; Knowingly selling, manufacturing, purchasing or possessing bludgeon, sand club, switch-blade, throwing stars, metal knuckles</t>
  </si>
  <si>
    <t>21-6301(a)(3) - Criminal Use of Weapons; Knowingly setting a spring gun</t>
  </si>
  <si>
    <t>21-6301(a)(9) - Criminal Use of Weapons; Knowingly transferring a firearm to a person who is or has been a mentally ill person or, persons with alcohol or substance abuse problems, if subject to involuntary commitment for care and treatment</t>
  </si>
  <si>
    <t>21-6301(a)(8) - Criminal Use of Weapons; Knowingly transferring a firearm to any person who is both addicted to and an unlawful user of a controlled substance</t>
  </si>
  <si>
    <t>21-6301(a)(7) - Criminal Use of Weapons; Knowingly transferring any firearm with a barrel less than 12 inches long to any person under 18 yrs of age</t>
  </si>
  <si>
    <t>55-610 - Crude Oil or Petroleum; Buying or selling of illegally produced crude oil or petroleum unlawful</t>
  </si>
  <si>
    <t>55-607 - Crude Oil or Petroleum; Penalty for violations of 55-601 to 55-609</t>
  </si>
  <si>
    <t>55-601 - Crude Oil or Petroleum; Waste prohibited</t>
  </si>
  <si>
    <t>21-6416(a) - Cruelty to Animals; Inflicting harm, disability or death to a police dog, arson dog, assistance dog, game warden dog, or search and rescue dog</t>
  </si>
  <si>
    <t>21-6412(a)(4) - Cruelty to Animals; Intentionally causing an equine to lose balance or fall for the purpose of sport or entertainment; 1st conviction</t>
  </si>
  <si>
    <t>21-6412(a)(4) - Cruelty to Animals; Intentionally causing an equine to lose balance or fall, for the purpose of sport or entertainment; 2nd or subs. offense</t>
  </si>
  <si>
    <t>21-6412(a)(2) - Cruelty to Animals; Knowingly abandoning an animal without making provisions for proper care; 1st conviction</t>
  </si>
  <si>
    <t>21-6412(a)(2) - Cruelty to Animals; Knowingly abandoning an animal without making provisions for proper care; 2nd or subs. offense</t>
  </si>
  <si>
    <t>21-6412(a)(6) - Cruelty to Animals; Knowingly and maliciously administering of any poison to any domestic animal</t>
  </si>
  <si>
    <t>21-6412(a)(1) - Cruelty to Animals; Knowingly and maliciously killing, injuring, maiming, torturing, burning or mutilating any animal</t>
  </si>
  <si>
    <t>21-6412(a)(5) - Cruelty to Animals; Knowingly but not maliciously killing or injuring any animal; 1st conviction</t>
  </si>
  <si>
    <t>21-6412(a)(5) - Cruelty to Animals; Knowingly but not maliciously killing or injuring any animal; 2nd or subs. offense</t>
  </si>
  <si>
    <t>21-6412(a)(3) - Cruelty to Animals; Knowingly fail to provide food, water, shelter, exercise and other care; 1st conviction</t>
  </si>
  <si>
    <t>21-6412(a)(3) - Cruelty to Animals; Knowingly fail to provide food, water, shelter, exercise and other care; 2nd or subs. offense</t>
  </si>
  <si>
    <t>47-2306 - Dairy Commission; Violation of provisions of article 23 of chapter 47 of the Kansas Statutes Annotated and amendments thereto.</t>
  </si>
  <si>
    <t>21-6418(a) - Dangerous Animals; Permitting a dangerous animal to be at large</t>
  </si>
  <si>
    <t>32-1302(a) - Dangerous Regulated Animals; Unlawful acts</t>
  </si>
  <si>
    <t>21-5918(a) - Dealing in False Identification Documents; Knowingly reproducing, manufacturing, selling or offering for sale any identification document which simulates, purports to be or is designed to cause others to believe it to be an identification document and bears a fictitious name or other false information</t>
  </si>
  <si>
    <t>21-6407(a) - Dealing in Gambling Devices; Manufacture, distribute or possess with intent to distribute any gambling device or sub-assembly or essential part thereof</t>
  </si>
  <si>
    <t>21-6306(a) - Defacing Identification Marks of Firearm; Intentionally change, alter, remove or obliterate</t>
  </si>
  <si>
    <t>21-6102(a)(5) - Denial of Civil Rights; Intentionally denying exercise of the right to vote</t>
  </si>
  <si>
    <t>21-6102(a)(2) - Denial of Civil Rights; Intentionally denying goods, services, facilities, privileges, advantages and accommodations of any establishment providing lodging to transient guests for hire; of any establishment engaged in selling food or beverage to the public; or of any place of recreation, amusement, exhibition or entertainment which is open to members of the public</t>
  </si>
  <si>
    <t>21-6102(a)(4) - Denial of Civil Rights; Intentionally denying services, facilities, privileges and advantages of any establishment which offers personal or professional services to members of the public</t>
  </si>
  <si>
    <t>21-6102(a)(1) - Denial of Civil Rights; Intentionally denying services, facilities, privileges and advantages of any institution, department or agency of the state of Kansas or any political subdivision or municipality thereof</t>
  </si>
  <si>
    <t>21-6102(a)(3) - Denial of Civil Rights; Intentionally denying services, privileges and advantages of any facility for the public transportation of persons or goods</t>
  </si>
  <si>
    <t>65-1427(d) - Dental Practices Act; Dentist representing practice to be limited, or specially qualified in a particular branch of dentistry without having obtained a certificate or qualification therefore</t>
  </si>
  <si>
    <t>65-1438(B)(2) - Dental Practices Act; Failure of dentist to retain duplicate copy of  prescription for 2 yrs</t>
  </si>
  <si>
    <t>65-1438(C)(2) - Dental Practices Act; Failure of out of state dentist to retain the original prescription for 2 yrs</t>
  </si>
  <si>
    <t>65-1421 - Dental Practices Act; License required to practice dentistry or dental hygiene</t>
  </si>
  <si>
    <t>65-1457 - Dental Practices Act; Licensure required to practice dental hygiene</t>
  </si>
  <si>
    <t>65-1438(C)(3) - Dental Practices Act; Out of state dentist's refusing to allow the board, or its agent, to inspect prescription during 2 yrs' retention period</t>
  </si>
  <si>
    <t>65-1455 - Dental Practices Act; Practice dental hygiene in violation of the provisions of this act</t>
  </si>
  <si>
    <t>65-1460 - Dental Practices Act; Practice dentistry or dental hygiene without a license from the board; any other violation of act</t>
  </si>
  <si>
    <t>65-1438(B)(3) - Dental Practices Act; Refuse to allow the board, or its agent, to inspect copy of prescription during 2 yrs' retention period</t>
  </si>
  <si>
    <t>65-1441 - Dental Practices Act; Sale, offer to sell, procurement or alteration of diploma or license; fraud or cheating</t>
  </si>
  <si>
    <t>65-1439(b) - Dental Practices Act; Sell or offer certain services or products to the general public when not licensed to practice dentistry in this state</t>
  </si>
  <si>
    <t>65-1438(B)(1) - Dental Practices Act; Unlawful for dentist to use any service of an out of state licensed [unlicensed] person without having first furnished him a prescription as required</t>
  </si>
  <si>
    <t>65-1438(C)(1) - Dental Practices Act; Unlawful for out of state licensed [unlicensed] person to perform services without having first obtained a written prescription for such services</t>
  </si>
  <si>
    <t>65-1439(a) - Dental Practices Act; Unlawfully advertise that one can or will sell, supply, furnish, construct, reproduce or repair prosthetic dentures, bridges, plates or other appliances to be used or worn as substitutes for natural teeth, or the regulation thereof</t>
  </si>
  <si>
    <t>75-3692(b) - Department of Administration; Disposition of certain state office buildings; state or local officials and affiliated persons; hold an interest, be employed by, represent or appear for any entity in purchase of property</t>
  </si>
  <si>
    <t>75-3692(d) - Department of Administration; Disposition of certain state office buildings; state or local officials and affiliated persons; hold an interest, be employed by, represent or appear for any entity in purchase of property within five years of termination of employment</t>
  </si>
  <si>
    <t>75-3692(c) - Department of Administration; Disposition of certain state office buildings; state or local officials and affiliated persons; represent, appear or negotiate on behalf of any entity in proposal or bid to purchase property</t>
  </si>
  <si>
    <t>75-3692(f) - Department of Administration; Disposition of certain state office buildings; state or local officials; influence or attempt to influence the secretary of administration in selling or conveying property</t>
  </si>
  <si>
    <t>75-3692(e) - Department of Administration; Disposition of certain state office buildings; state or local officials; solicit or accept any complimentary service or discount from an entity submitting a proposal to bid on or purchase property</t>
  </si>
  <si>
    <t>74-538 - Department of Agriculture; Falsely mark any product or container of products to indicate that such has been graded or inspected</t>
  </si>
  <si>
    <t>74-50,184(c) - Department of Commerce; Unauthorized disclosure of confidential information</t>
  </si>
  <si>
    <t>21-5809(a)(2) - Derailment of Train; Recklessly cause derailment of train, railroad car or other rail-mounted work equipment</t>
  </si>
  <si>
    <t>21-5826(a) - Destroying a Written Instrument; Tear, cut, burn, erase, obliterate or destroy a written instrument, in whole or in part, with intent to defraud</t>
  </si>
  <si>
    <t>65-5903(a) - Dietitians Licensing Act; License required to practice dietetics or make certain representations</t>
  </si>
  <si>
    <t>21-6203(a)(2) - Disorderly Conduct; Disturbing a lawful assembly, meeting, or procession</t>
  </si>
  <si>
    <t>21-6203(a)(1) - Disorderly Conduct; Engaging in brawling or fighting</t>
  </si>
  <si>
    <t>21-6203(a)(3) - Disorderly Conduct; Using fighting words or engaging in noisy conduct tending reasonably to arouse alarm, anger or resentment in others</t>
  </si>
  <si>
    <t>21-5430(b) - Distribution of a Controlled Substance Causing Death; Distribution of a controlled substance when death results from the use of such substance</t>
  </si>
  <si>
    <t>21-5430(a) - Distribution of a Controlled Substance Causing Great Bodily Harm; Distribution of a controlled substance when great bodily harm results from the use of such substance</t>
  </si>
  <si>
    <t>22a-215(b) - District Officers &amp; Employers; District Coroner; Unauthorized disposition of body of deceased</t>
  </si>
  <si>
    <t>21-6414(a)(1) - Dog Fighting; Cause dog fighting for amusement or gain</t>
  </si>
  <si>
    <t>21-6414(a)(2) - Dog Fighting; Knowingly permit dog fighting on one's premises</t>
  </si>
  <si>
    <t>21-6414(a)(3) - Dog Fighting; Train, own, keep, transport or sell any dog for the purpose of dog fighting</t>
  </si>
  <si>
    <t>21-6414(c) - Dog Fighting; Unlawful attendance of dog fighting</t>
  </si>
  <si>
    <t>21-6414(b) - Dog Fighting; Unlawful possession of dog fighting paraphernalia</t>
  </si>
  <si>
    <t>21-5414(a)(2) - Domestic Battery; Knowingly causing physical contact in rude, insulting or angry manner; 3rd or subs. within 5 yrs</t>
  </si>
  <si>
    <t>21-5414(a)(2) - Domestic Battery; Knowingly causing physical contact with a family or household member by a family or household member when done in a rude, insulting or angry manner; 1st conviction</t>
  </si>
  <si>
    <t>21-5414(a)(2) - Domestic Battery; Knowingly causing physical contact with a family or household member by a family or household member when done in a rude, insulting or angry manner; 2nd conviction within 5 yrs of 1st conviction</t>
  </si>
  <si>
    <t>21-5414(a)(1) - Domestic Battery; Knowingly or recklessly causing bodily harm by a family or household member against a family or household member; 1st conviction</t>
  </si>
  <si>
    <t>21-5414(a)(1) - Domestic Battery; Knowingly or recklessly causing bodily harm by a family or household member against a family or household member; 2nd conviction within 5 yrs of 1st conviction</t>
  </si>
  <si>
    <t>21-5414(a)(1) - Domestic Battery; Knowingly or recklessly causing bodily harm; 3rd or subs. within 5 yrs</t>
  </si>
  <si>
    <t>24-126(a) - Drainage &amp; Levees; Unlawful to construct fills and levees without prior approval of chief engineer</t>
  </si>
  <si>
    <t>24-455 - Drainage Districts within Counties or Cities; Failure of director to perform duty</t>
  </si>
  <si>
    <t>24-473 - Drainage Districts within Counties or Cities; Interfering with possession of appropriated property; removal from property</t>
  </si>
  <si>
    <t>24-456 - Drainage Districts within Counties or Cities; Wrongfully fill up, cut, injure, destroy or in any manner impair the usefulness of any drain, levee or other work constructed under the provisions of this act</t>
  </si>
  <si>
    <t>24-636 - Drainage in One or More Counties; Willfully obstruct or injure any ditch, drain, or watercourse, or damage or destroy any dike or other work constructed under the provisions of this act</t>
  </si>
  <si>
    <t>24-307 - Drainage of Swamps, Bottoms or Lowlands; Obstructing ditch, drain or stream</t>
  </si>
  <si>
    <t>24-715 - Drainage on Petition to Court; Willfully obstruct or injure or destroy any ditch or drain constructed under the provisions of this act</t>
  </si>
  <si>
    <t>8-260(a)(8) - Drivers' Licenses; Display or possess any duplicated/photographed DL</t>
  </si>
  <si>
    <t>8-260(a)(1) - Drivers' Licenses; Display or possess fictitious or fraudulently altered DL</t>
  </si>
  <si>
    <t>8-260(a)(9) - Drivers' Licenses; Display/ permit display of canceled/revoked/suspended DL</t>
  </si>
  <si>
    <t>8-260(c)(4) - Drivers' Licenses; Display/possess a fictitious/fraudulently altered DL by one &lt; 21 for the purchase of any alcoholic liquor or cereal malt beverage; 1st conviction</t>
  </si>
  <si>
    <t>8-260(c)(4) - Drivers' Licenses; Display/possess a fictitious/fraudulently altered DL by one &lt; 21 for the purchase of any alcoholic liquor or cereal malt beverage; 2nd conviction</t>
  </si>
  <si>
    <t>8-260(a)(3) - Drivers' Licenses; Display/represent as one's own, any DL not issued to same person</t>
  </si>
  <si>
    <t>8-287 - Drivers' Licenses; Driving while a habitual violator; 3rd and subs.</t>
  </si>
  <si>
    <t>8-262(a)(1) - Drivers' Licenses; Driving while suspended - 1st conviction</t>
  </si>
  <si>
    <t>8-262(a)(1) - Drivers' Licenses; Driving while suspended - 2nd or subs. conviction</t>
  </si>
  <si>
    <t>8-262(a)(1) - Drivers' Licenses; Driving while suspended - 3rd or subs. conviction; additional penalties applied</t>
  </si>
  <si>
    <t>8-265 - Drivers' Licenses; Employing person to operate a vehicle such person is not licensed to operate</t>
  </si>
  <si>
    <t>8-260(a)(4) - Drivers' Licenses; Fail / refuse to surrender any suspended, revoked, or cancelled DL upon lawful demand</t>
  </si>
  <si>
    <t>8-287 - Drivers' Licenses; Habitual violators; driving while a habitual violator</t>
  </si>
  <si>
    <t>8-260(a)(2) - Drivers' Licenses; Lend DL to another/knowingly permit use by another</t>
  </si>
  <si>
    <t>8-260(c)(2) - Drivers' Licenses; Lend DL to person &lt; 21 to consume/purchase cereal malt beverage; 1st conviction</t>
  </si>
  <si>
    <t>8-260(c)(2) - Drivers' Licenses; Lend DL to person &lt; 21 to consume/purchase cereal malt beverage; 2nd conviction</t>
  </si>
  <si>
    <t>8-260(c)(1) - Drivers' Licenses; Lend DL to person &lt; 21 to purchase alcohol; 1st conviction</t>
  </si>
  <si>
    <t>8-260(c)(1) - Drivers' Licenses; Lend DL to person &lt; 21 to purchase alcohol; 2nd conviction</t>
  </si>
  <si>
    <t>8-260(c)(3) - Drivers' Licenses; Lend DL, nondriver's ID card or other ID to wrongfully obtain a DL for another; 1st conviction</t>
  </si>
  <si>
    <t>8-260(c)(3) - Drivers' Licenses; Lend DL, nondriver's ID card or other ID to wrongfully obtain a DL for another; 2nd conviction</t>
  </si>
  <si>
    <t>8-261a - Drivers' Licenses; Make a false affidavit; penalty of perjury; made during a felony trial</t>
  </si>
  <si>
    <t>8-261a - Drivers' Licenses; Make a false affidavit; penalty of perjury; made in a cause, matter or proceeding other than a felony trial</t>
  </si>
  <si>
    <t>8-235(a) - Drivers' Licenses; Operating a motor vehicle on highway without driver's license</t>
  </si>
  <si>
    <t>8-235(c) - Drivers' Licenses; Operating a motorcycle without class M driver's license</t>
  </si>
  <si>
    <t>8-235(d) - Drivers' Licenses; Operating a motorized bicycle on highway without meeting requirements</t>
  </si>
  <si>
    <t>8-274 - Drivers' Licenses; Operation of a driver training school or giving driving instruction for hire without driver training school or instructor license</t>
  </si>
  <si>
    <t>8-291(a) - Drivers' Licenses; Operation of a motor vehicle in violation of the restrictions on any driver's license or permit imposed pursuant to any statute</t>
  </si>
  <si>
    <t>8-292(a) - Drivers' Licenses; Operation of motor vehicle in violation of Court imposed restrictions; penalized according to 8-291</t>
  </si>
  <si>
    <t>8-245(a) - Drivers' Licenses; Operation of motor vehicle in violation of restrictions imposed in a restricted driver's license</t>
  </si>
  <si>
    <t>8-260(a)(6) - Drivers' Licenses; Permit any unlawful use of DL issued to any person</t>
  </si>
  <si>
    <t>8-263 - Drivers' Licenses; Permitting unauthorized minor to drive</t>
  </si>
  <si>
    <t>8-264 - Drivers' Licenses; Permitting unauthorized person to drive</t>
  </si>
  <si>
    <t>8-266(a) - Drivers' Licenses; Renting motor vehicle to person not licensed to operate it</t>
  </si>
  <si>
    <t>8-266(b) - Drivers' Licenses; Renting motor vehicle to person without inspecting such person's license and verifying signature</t>
  </si>
  <si>
    <t>8-266(c) - Drivers' Licenses; Renting motor vehicle without keeping proper records</t>
  </si>
  <si>
    <t>8-260(a)(7) - Drivers' Licenses; Reproduce any DL so that it could be mistaken for a valid DL; display or possess any such reproduction</t>
  </si>
  <si>
    <t>8-260(a)(5) - Drivers' Licenses; Use of false or fictitious name in any application for a DL</t>
  </si>
  <si>
    <t>21-5710(a)(2) - Drugs; Advertise, market, label, distribute or possess with intent to distribute any product containing ephedrine, pseudoephedrine or phenylpropanolamine for indication of stimulation, mental alertness, weight loss, appetite control, energy or other indications not approved</t>
  </si>
  <si>
    <t>21-5710(a)(1) - Drugs; Advertise, market, label, distribute or possess with intent to distribute any product containing ephedrine, pseudoephedrine, red phosphorus, lithium metal, sodium metal, iodine, anhydrous ammonia, pressurized ammonia or phenylpropanolamine or if the person knows or reasonably should know that the purchaser will use the product to manufacture a controlled substance or controlled substance analog</t>
  </si>
  <si>
    <t>21-5716(d) - Drugs; Conduct financial transaction involving proceeds derived from the commission of any crime in K.S.A. 2011 Supp. 21-5701 through 21-5717, when the transaction is designed in whole or in part to conceal or disguise the nature, location, source, ownership or control of proceeds known to be derived from the commission of any crime in K.S.A. 2011 Supp. 21-5701 through 21-5717, or to avoid a transaction reporting requirement under state or federal law; $500,000 or more</t>
  </si>
  <si>
    <t>21-5716(d) - Drugs; Conduct financial transaction involving proceeds derived from the commission of any crime in K.S.A. 21-5701 through 21-5717, when the transaction is designed in whole or in part to conceal or disguise the nature, location, source, ownership or control of proceeds known to be derived from the commission of any crime in K.S.A. 21-5701 through 21-5717, or to avoid a transaction reporting requirement under state or federal law; less than $5,000</t>
  </si>
  <si>
    <t>21-5716(d) - Drugs; Conduct financial transaction involving proceeds derived from the commission of any crime in K.S.A. 21-5701 through 21-5717, when the transaction is designed in whole or in part to conceal or disguise the nature, location, source, ownership or control of proceeds known to be derived from the commission of any crime in K.S.A. 21-5701 through 21-5717, or to avoid a transaction reporting requirement under state or federal law; at least $5,000 but less than $100,000</t>
  </si>
  <si>
    <t>21-5716(d) - Drugs; Conduct financial transaction involving proceeds derived from the commission of any crime in K.S.A. 21-5701 through 21-5717, when the transaction is designed in whole or in part to conceal or disguise the nature, location, source, ownership or control of proceeds known to be derived from the commission of any crime in K.S.A. 21-5701 through 21-5717, or to avoid a transaction reporting requirement under state or federal law; at least $100,000 but less than $250,000</t>
  </si>
  <si>
    <t>21-5716(d) - Drugs; Conduct financial transaction involving proceeds derived from the commission of any crime in K.S.A. 21-5701 through 21-5717, when the transaction is designed in whole or in part to conceal or disguise the nature, location, source, ownership or control of proceeds known to be derived from the commission of any crime in K.S.A. 21-5701 through 21-5717, or to avoid a transaction reporting requirement under state or federal law; at least $250,000 but less than $500,000</t>
  </si>
  <si>
    <t>21-5705(c) - Drugs; Cultivation of any substance listed in (a); Quantity of 100 plants or more</t>
  </si>
  <si>
    <t>21-5705(c) - Drugs; Cultivation of any substance listed in (a); Quantity of 50 but fewer than 100 plants</t>
  </si>
  <si>
    <t>21-5705(c) - Drugs; Cultivation of any substance listed in (a); Quantity of more than 4 but fewer than 50 plants</t>
  </si>
  <si>
    <t>21-5716(c) - Drugs; Direct/plan/organize/initiate/finance/manage/supervise or facilitate the transportation or transfer of proceeds known to be derived from any violation of K.S.A. 21-5701 through 21-5717;  $500,000 or more</t>
  </si>
  <si>
    <t>21-5716(c) - Drugs; Direct/plan/organize/initiate/finance/manage/supervise or facilitate the transportation or transfer of proceeds known to be derived from any violation of K.S.A. 21-5701 through 21-5717;  at least $250,000 but less than $500,000</t>
  </si>
  <si>
    <t>21-5716(c) - Drugs; Direct/plan/organize/initiate/finance/manage/supervise or facilitate the transportation or transfer of proceeds known to be derived from any violation of K.S.A. 21-5701 through 21-5717;  at least $5,000 but less than $100,000</t>
  </si>
  <si>
    <t>21-5716(c) - Drugs; Direct/plan/organize/initiate/finance/manage/supervise or facilitate the transportation or transfer of proceeds known to be derived from any violation of K.S.A. 21-5701 through 21-5717; at least $100,000 but less than $250,000</t>
  </si>
  <si>
    <t>21-5716(c) - Drugs; Direct/plan/organize/initiate/finance/manage/supervise or facilitate the transportation or transfer of proceeds known to be derived from any violation of K.S.A. 21-5701 through 21-5717; less than $5,000</t>
  </si>
  <si>
    <t>21-5705(a)(1) - Drugs; Distribute or possess with intent to distribute; Any substance listed in subsection (a)(1) other than marijuana, heroin, methamphetamine or a drug distributed by dosage units; Quantity of 1 kilogram or more</t>
  </si>
  <si>
    <t>21-5705(a)(1) - Drugs; Distribute or possess with intent to distribute; Any substance listed in subsection (a)(1) other than marijuana, heroin, methamphetamine or a drug distributed by dosage units; Quantity of 1 kilogram or more within 1000 feet of school property</t>
  </si>
  <si>
    <t>21-5705(a)(1) - Drugs; Distribute or possess with intent to distribute; Any substance listed in subsection (a)(1) other than marijuana, heroin, methamphetamine or a drug distributed by dosage units; Quantity of 100 grams but less than 1 kilogram</t>
  </si>
  <si>
    <t>21-5705(a)(1) - Drugs; Distribute or possess with intent to distribute; Any substance listed in subsection (a)(1) other than marijuana, heroin, methamphetamine or a drug distributed by dosage units; Quantity of 100 grams but less than 1 kilogram; within 1000 feet of school property</t>
  </si>
  <si>
    <t>21-5705(a)(1) - Drugs; Distribute or possess with intent to distribute; Any substance listed in subsection (a)(1) other than marijuana, heroin, methamphetamine or a drug distributed by dosage units; Quantity of 3.5 grams but less than 100 grams</t>
  </si>
  <si>
    <t>21-5705(a)(1) - Drugs; Distribute or possess with intent to distribute; Any substance listed in subsection (a)(1) other than marijuana, heroin, methamphetamine or a drug distributed by dosage units; Quantity of 3.5 grams but less than 100 grams; within 1000 feet of school property</t>
  </si>
  <si>
    <t>21-5705(a)(1) - Drugs; Distribute or possess with intent to distribute; Any substance listed in subsection (a)(1) other than marijuana, heroin, methamphetamine or a drug distributed by dosage units; Quantity of less than 3.5 grams</t>
  </si>
  <si>
    <t>21-5705(a)(1) - Drugs; Distribute or possess with intent to distribute; Any substance listed in subsection (a)(1) other than marijuana, heroin, methamphetamine or a drug distributed by dosage units; Quantity of less than 3.5 grams; within 1000 feet of school property</t>
  </si>
  <si>
    <t>21-5705(a)(2)-(7) - Drugs; Distribute or possess with intent to distribute; Any substance listed in subsections (a)(2) through (a)(7) other than marijuana, heroin, methamphetamine or a drug distributed by dosage units; Quantity of 1 kilogram or more</t>
  </si>
  <si>
    <t>21-5705(a)(2)-(7) - Drugs; Distribute or possess with intent to distribute; Any substance listed in subsections (a)(2) through (a)(7) other than marijuana, heroin, methamphetamine or a drug distributed by dosage units; Quantity of 1 kilogram or more within 1000 feet of school property</t>
  </si>
  <si>
    <t>21-5705(a)(2)-(7) - Drugs; Distribute or possess with intent to distribute; Any substance listed in subsections (a)(2) through (a)(7) other than marijuana, heroin, methamphetamine or a drug distributed by dosage units; Quantity of 100 grams but less than 1 kilogram</t>
  </si>
  <si>
    <t>21-5705(a)(2)-(7) - Drugs; Distribute or possess with intent to distribute; Any substance listed in subsections (a)(2) through (a)(7) other than marijuana, heroin, methamphetamine or a drug distributed by dosage units; Quantity of 100 grams but less than 1 kilogram; within 1000 feet of school property</t>
  </si>
  <si>
    <t>21-5705(a)(2)-(7) - Drugs; Distribute or possess with intent to distribute; Any substance listed in subsections (a)(2) through (a)(7) other than marijuana, heroin, methamphetamine or a drug distributed by dosage units; Quantity of 3.5 grams but less than 100 grams</t>
  </si>
  <si>
    <t>21-5705(a)(2)-(7) - Drugs; Distribute or possess with intent to distribute; Any substance listed in subsections (a)(2) through (a)(7) other than marijuana, heroin, methamphetamine or a drug distributed by dosage units; Quantity of 3.5 grams but less than 100 grams; within 1000 feet of school property</t>
  </si>
  <si>
    <t>21-5705(a)(2)-(7) - Drugs; Distribute or possess with intent to distribute; Any substance listed in subsections (a)(2) through (a)(7) other than marijuana, heroin, methamphetamine or a drug distributed by dosage units; Quantity of less than 3.5 grams</t>
  </si>
  <si>
    <t>21-5705(a)(2)-(7) - Drugs; Distribute or possess with intent to distribute; Any substance listed in subsections (a)(2) through (a)(7) other than marijuana, heroin, methamphetamine or a drug distributed by dosage units; Quantity of less than 3.5 grams; within 1000 feet of school property</t>
  </si>
  <si>
    <t>21-5705(b) - Drugs; Distribute or possess with intent to distribute; Drugs designated in K.S.A. 65-4113</t>
  </si>
  <si>
    <t>21-5705(b) - Drugs; Distribute or possess with intent to distribute; Drugs designated in K.S.A. 65-4113; If distributed or possessed with intent to distribute to a minor</t>
  </si>
  <si>
    <t>21-5705(a)(1) - Drugs; Distribute or possess with intent to distribute; Drugs listed in subsection (a)(1) which are distributed by dosage unit; Quantity of 10 but less than 100</t>
  </si>
  <si>
    <t>21-5705(a)(1) - Drugs; Distribute or possess with intent to distribute; Drugs listed in subsection (a)(1) which are distributed by dosage unit; Quantity of 10 but less than 100; Within 1000 feet of school property</t>
  </si>
  <si>
    <t>21-5705(a)(1) - Drugs; Distribute or possess with intent to distribute; Drugs listed in subsection (a)(1) which are distributed by dosage unit; Quantity of 100 but less than 1000</t>
  </si>
  <si>
    <t>21-5705(a)(1) - Drugs; Distribute or possess with intent to distribute; Drugs listed in subsection (a)(1) which are distributed by dosage unit; Quantity of 100 but less than 1000; Within 1000 feet of school property</t>
  </si>
  <si>
    <t>21-5705(a)(1) - Drugs; Distribute or possess with intent to distribute; Drugs listed in subsection (a)(1) which are distributed by dosage unit; Quantity of 1000 or more; Within 1000 feet of school property</t>
  </si>
  <si>
    <t>21-5705(a)(1) - Drugs; Distribute or possess with intent to distribute; Drugs listed in subsection (a)(1) which are distributed by dosage unit; Quantity of fewer than 10</t>
  </si>
  <si>
    <t>21-5705(a)(1) - Drugs; Distribute or possess with intent to distribute; Drugs listed in subsection (a)(1) which are distributed by dosage unit; Quantity of fewer than 10; Within 1000 feet of school property</t>
  </si>
  <si>
    <t>21-5705(a)(1) - Drugs; Distribute or possess with intent to distribute; Drugs listed in subsection (a)(1)which are distributed by dosage unit; Quantity of 1000 or more</t>
  </si>
  <si>
    <t>21-5705(a)(2)-(7) - Drugs; Distribute or possess with intent to distribute; Drugs listed in subsection (a)(2) through (a)(7) which are distributed by dosage unit; Quantity of 10 but less than 100</t>
  </si>
  <si>
    <t>21-5705(a)(2)-(7) - Drugs; Distribute or possess with intent to distribute; Drugs listed in subsection (a)(2) through (a)(7) which are distributed by dosage unit; Quantity of 10 but less than 100; Within 1000 feet of school property</t>
  </si>
  <si>
    <t>21-5705(a)(2)-(7) - Drugs; Distribute or possess with intent to distribute; Drugs listed in subsection (a)(2) through (a)(7) which are distributed by dosage unit; Quantity of 100 but less than 1000</t>
  </si>
  <si>
    <t>21-5705(a)(2)-(7) - Drugs; Distribute or possess with intent to distribute; Drugs listed in subsection (a)(2) through (a)(7) which are distributed by dosage unit; Quantity of 100 but less than 1000; Within 1000 feet of school property</t>
  </si>
  <si>
    <t>21-5705(a)(2)-(7) - Drugs; Distribute or possess with intent to distribute; Drugs listed in subsection (a)(2) through (a)(7) which are distributed by dosage unit; Quantity of 1000 or more</t>
  </si>
  <si>
    <t>21-5705(a)(2)-(7) - Drugs; Distribute or possess with intent to distribute; Drugs listed in subsection (a)(2) through (a)(7) which are distributed by dosage unit; Quantity of 1000 or more; Within 1000 feet of school property</t>
  </si>
  <si>
    <t>21-5705(a)(2)-(7) - Drugs; Distribute or possess with intent to distribute; Drugs listed in subsection (a)(2) through (a)(7) which are distributed by dosage unit; Quantity of fewer than 10</t>
  </si>
  <si>
    <t>21-5705(a)(2)-(7) - Drugs; Distribute or possess with intent to distribute; Drugs listed in subsection (a)(2) through (a)(7) which are distributed by dosage unit; Quantity of fewer than 10; Within 1000 feet of school property</t>
  </si>
  <si>
    <t>21-5705(a)(1) - Drugs; Distribute or possess with intent to distribute; Heroin or Methamphetamine; Quantity of 1 gram but less than 3.5 grams</t>
  </si>
  <si>
    <t>21-5705(a)(1) - Drugs; Distribute or possess with intent to distribute; Heroin or Methamphetamine; Quantity of 1 gram but less than 3.5 grams; Within 1000 feet of school property</t>
  </si>
  <si>
    <t>21-5705(a)(1) - Drugs; Distribute or possess with intent to distribute; Heroin or Methamphetamine; Quantity of 100 grams or more</t>
  </si>
  <si>
    <t>21-5705(a)(1) - Drugs; Distribute or possess with intent to distribute; Heroin or Methamphetamine; Quantity of 100 grams or more; Within 1000 feet of school property</t>
  </si>
  <si>
    <t>21-5705(a)(1) - Drugs; Distribute or possess with intent to distribute; Heroin or Methamphetamine; Quantity of 3.5 grams but less than 100 grams</t>
  </si>
  <si>
    <t>21-5705(a)(1) - Drugs; Distribute or possess with intent to distribute; Heroin or Methamphetamine; Quantity of 3.5 grams but less than 100 grams; Within 1000 feet of school property</t>
  </si>
  <si>
    <t>21-5705(a)(1) - Drugs; Distribute or possess with intent to distribute; Heroin or Methamphetamine; Quantity of less than 1 gram</t>
  </si>
  <si>
    <t>21-5705(a)(1) - Drugs; Distribute or possess with intent to distribute; Heroin or Methamphetamine; Quantity of less than 1 gram; Within 1000 feet of school property</t>
  </si>
  <si>
    <t>21-5705(a) - Drugs; Distribute or possess with intent to distribute; Marijuana; Quantity of 25 grams but less than 450 grams</t>
  </si>
  <si>
    <t>21-5705(a) - Drugs; Distribute or possess with intent to distribute; Marijuana; Quantity of 25 grams but less than 450 grams; Within 1000 feet of school property</t>
  </si>
  <si>
    <t>21-5705(a) - Drugs; Distribute or possess with intent to distribute; Marijuana; Quantity of 30 kilograms or more</t>
  </si>
  <si>
    <t>21-5705(a) - Drugs; Distribute or possess with intent to distribute; Marijuana; Quantity of 30 kilograms or more; Within 1000 feet of school property</t>
  </si>
  <si>
    <t>21-5705(a) - Drugs; Distribute or possess with intent to distribute; Marijuana; Quantity of 450 grams but less than 30 kilograms</t>
  </si>
  <si>
    <t>21-5705(a) - Drugs; Distribute or possess with intent to distribute; Marijuana; Quantity of 450 grams but less than 30 kilograms; Within 1000 feet of school property</t>
  </si>
  <si>
    <t>21-5705(a) - Drugs; Distribute or possess with intent to distribute; Marijuana; Quantity of less than 25 grams</t>
  </si>
  <si>
    <t>21-5705(a) - Drugs; Distribute or possess with intent to distribute; Marijuana; Quantity of less than 25 grams; Within 1000 feet of school property</t>
  </si>
  <si>
    <t>21-5714(a)(2) - Drugs; Distribute, possess with intent to distribute any substance which is not a controlled substance under circumstances which would give a reasonable person reason to believe that substance is controlled substance</t>
  </si>
  <si>
    <t>21-5714(a)(1) - Drugs; Distribute, possess with intent to distribute any substance which is not a controlled substance upon express representation that noncontrolled substance is controlled substance, or that substance is of such nature/appearance that the recipient will be able to distribute the substance as a controlled substance</t>
  </si>
  <si>
    <t>21-5710(b) - Drugs; Distribute, possess with intent to distribute or manufacture with intent to distribute any drug paraphernalia, knowing or reasonably should know that it will be used to manufacture or distribute a controlled substance or controlled substance analog</t>
  </si>
  <si>
    <t>21-5710(b) - Drugs; Distribute, possess with intent to distribute or manufacture with intent to distribute any drug paraphernalia, knowing or reasonably should know that it will be used to manufacture or distribute a controlled substance or controlled substance analog; finding that offender distributed or caused drug paraphernalia to be distributed on or within 1,000 ft of school property OR to a minor</t>
  </si>
  <si>
    <t>21-5710(c) - Drugs; Distribute, possess with intent to distribute or manufacture with intent to distribute, any drug paraphernalia, knowing or reasonably should know it will be used in violation of K.S.A. 21-5701 through 21-5717 , except K.S.A. 21-5706(b)</t>
  </si>
  <si>
    <t>21-5710(c) - Drugs; Distribute, possess with intent to distribute or manufacture with intent to distribute, any drug paraphernalia, knowing or reasonably should know it will be used in violation of K.S.A. 21-5701 through 21-5717, except K.S.A. 21-5706(b); finding that offender distributed or caused drug paraphernalia to be distributed on or within 1000 ft. of school property OR to a minor</t>
  </si>
  <si>
    <t>21-5710(d) - Drugs; Distribute, possess with intent to distribute or manufacture with intent to distribute, any drug paraphernalia, knowing or reasonably should know it will be used in violation of K.S.A. 21-5706(b)</t>
  </si>
  <si>
    <t>21-5710(d) - Drugs; Distribute, possess with intent to distribute or manufacture with intent to distribute, any drug paraphernalia, knowing or reasonably should know it will be used in violation of K.S.A. 21-5706(b); finding that offender distributed or caused drug paraphernalia to be distributed within 1000 ft. of school property OR to a minor</t>
  </si>
  <si>
    <t>21-5714(a)(2) - Drugs; Distribute, possess with intent to distribute, any substance which is not a controlled substance under circumstances which would give a reasonable person reason to believe that substance is controlled substance; to minor by a person over 18 and at least 3 yrs older than minor</t>
  </si>
  <si>
    <t>21-5714(a)(1) - Drugs; Distribute, possess with intent to distribute, any substance which is not a controlled substance upon express representation that noncontrolled substance is controlled substance, or that substance is of such nature/appearance that the recipient will be able to distribute the substance as a controlled substance; to minor by a person over 18 and at least 3 yrs older than minor</t>
  </si>
  <si>
    <t>21-5713(a) - Drugs; Distribute, possess with intent to distribute, or manufacture with intent to distribute any simulated controlled substance</t>
  </si>
  <si>
    <t>21-5713(b) - Drugs; Distribute, possess with intent to distribute, or manufacture with intent to distribute any simulated controlled substance; finding that offender is 18 or more yrs of age and violation occurred on or within 1000 ft. of school property</t>
  </si>
  <si>
    <t>21-5716(b) - Drugs; Distribute/invest/conceal/transport/maintain an interest in or otherwise make available anything of value which that person knows is intended to be used for the purpose of committing or furthering the commission of any crime in K.S.A. 21-36a01 through 21-36a17; at least $5,000 but less than $100,000</t>
  </si>
  <si>
    <t>21-5716(a) - Drugs; Distribute/invest/conceal/transport/maintain an interest in or otherwise make available anything of value which that person knows is intended to be used for the purpose of committing or furthering the commission of any crime in K.S.A. 21-5701 through 21-5717; at least $100,000 but less than $250,000</t>
  </si>
  <si>
    <t>21-5716(a) - Drugs; Distribute/invest/conceal/transport/maintain an interest in or otherwise make available anything of value which that person knows is intended to be used for the purpose of committing or furthering the commission of any crime in K.S.A. 21-5701 through 21-5717; at least $250,000 but less than $500,000</t>
  </si>
  <si>
    <t>21-5716(a) - Drugs; Distribute/invest/conceal/transport/maintain an interest in or otherwise make available anything of value which that person knows is intended to be used for the purpose of committing or furthering the commission of any crime in K.S.A. 21-5701 through 21-5717; $500,000 or more</t>
  </si>
  <si>
    <t>21-5716(b) - Drugs; Distribute/invest/conceal/transport/maintain an interest in or otherwise make available anything of value which that person knows is intended to be used for the purpose of committing or furthering the commission of any crime in K.S.A. 21-5701 through 21-5717; less than $5,000</t>
  </si>
  <si>
    <t>21-5716(b) - Drugs; Distribute/invest/conceal/transport/maintain an interest in or otherwise make available anything of value which that person knows is intended to be used for the purpose of committing or furthering the commission of any crime in K.S.A. 21-5701 through 21-5717; at least $100,000 but less than $250,000</t>
  </si>
  <si>
    <t>21-5716(b) - Drugs; Distribute/invest/conceal/transport/maintain an interest in or otherwise make available anything of value which that person knows is intended to be used for the purpose of committing or furthering the commission of any crime in K.S.A. 21-5701 through 21-5717; at least $250,000 but less than $500,000</t>
  </si>
  <si>
    <t>21-5716(b) - Drugs; Distribute/invest/conceal/transport/maintain an interest in or otherwise make available anything of value which that person knows is intended to be used for the purpose of committing or furthering the commission of any crime in K.S.A. 21-5701 through 21-5717; $500,000 or more</t>
  </si>
  <si>
    <t>21-5707(a)(2) - Drugs; Knowingly or intentionally use any communication facility in any attempt to commit, any conspiracy to commit or any criminal solicitation of any felony under K.S.A. 21-5703, 21-5705, or 21-5706 each separate use of a communication facility may be charged as a separate offense</t>
  </si>
  <si>
    <t>21-5707(a)(1) - Drugs; Knowingly or intentionally use any communication facility in committing, causing, or facilitating the commission of any felony under K.S.A. 21-5703, 21-5705, or 21-5706 ; each separate use of a communication facility may be charged as a separate offense</t>
  </si>
  <si>
    <t>21-5703(a) - Drugs; Manufacture of a controlled substance or controlled substance analog</t>
  </si>
  <si>
    <t>21-5703(a) - Drugs; Manufacture of a controlled substance or controlled substance analog; methamphetamine or analog; first and subs. offense</t>
  </si>
  <si>
    <t>21-5703(a) - Drugs; Manufacture of a controlled substance or controlled substance analog; second and subs. offense when any prior and current offense are for a controlled substance other than methamphetamine or analog</t>
  </si>
  <si>
    <t>65-4127c - Drugs; Penalty for violation of uniform controlled substances act</t>
  </si>
  <si>
    <t>21-5709(a) - Drugs; Possess ephedrine, pseudoephedrine, red phosphorus, lithium metal, sodium metal, iodine, anhydrous ammonia, pressurized ammonia or phenylpropanolamine, or their salts, isomers or sales of isomers with an intent to use the product to manufacture a controlled substance</t>
  </si>
  <si>
    <t>21-5706(b)(5) - Drugs; Possession of anabolic steroid or analog in subsection (f) of K.S.A. 65-4109; 2nd or subs. offense</t>
  </si>
  <si>
    <t>21-5706(b)(5) - Drugs; Possession of anabolic steroid or analog; 1st offense</t>
  </si>
  <si>
    <t>21-5709(c) - Drugs; Possession of anhydrous ammonia or pressurized ammonia in a container not approved for that chemical by the Kansas Department of Agriculture</t>
  </si>
  <si>
    <t>21-5706(b)(7) - Drugs; Possession of any substance designated in subsection (h) of K.S.A. 65-4105, 2nd or subs. offense</t>
  </si>
  <si>
    <t>21-5706(b)(6) - Drugs; Possession of any substance or analog designated in K.S.A. 65-4113</t>
  </si>
  <si>
    <t>21-5706(b)(7) - Drugs; Possession of any substance or analog designated in subsection (h) of K.S.A. 65-4105; 1st offense</t>
  </si>
  <si>
    <t>21-5706(b)(1) - Drugs; Possession of depressant or analog; 1st offense</t>
  </si>
  <si>
    <t>21-5706(b)(1) - Drugs; Possession of depressant or analog; 2nd or subs. offense</t>
  </si>
  <si>
    <t>21-5706(b)(3) - Drugs; Possession of hallucinogenic or analog; 1st offense</t>
  </si>
  <si>
    <t>21-5706(b)(3) - Drugs; Possession of hallucinogenic or analog; 1st Offense-Marijuana</t>
  </si>
  <si>
    <t>21-5706(b)(3) - Drugs; Possession of hallucinogenic or analog; 2nd Offense-Marijuana</t>
  </si>
  <si>
    <t>21-5706(b)(3) - Drugs; Possession of hallucinogenic or analog; 2nd or subs. offense</t>
  </si>
  <si>
    <t>21-5706(b)(3) - Drugs; Possession of hallucinogenic or analog; 3rd or Subsequent Offense-Marijuana</t>
  </si>
  <si>
    <t>21-5706(a) - Drugs; Possession of opiates, opium or narcotic drugs, or any stimulant designated in subsection (d)(1), (d)(3) or (f)(1) of K.S.A. 65-4107 or controlled substance analog</t>
  </si>
  <si>
    <t>21-5706(b)(2) - Drugs; Possession of stimulant or analog; 1st offense</t>
  </si>
  <si>
    <t>21-5706(b)(2) - Drugs; Possession of stimulant or analog; 2nd or subs. offense</t>
  </si>
  <si>
    <t>21-5706(b)(4) - Drugs; Possession of substance or analog designated in subsection (g) of K.S.A. 65-4105 or subsection (c), (d), (e), (f) or (g) of K.S.A. 65-4111; 1st offense</t>
  </si>
  <si>
    <t>21-5706(b)(4) - Drugs; Possession of substance or analog designated in subsection (g) of K.S.A. 65-4105 or subsection (c), (d), (e), (f) or (g) of K.S.A. 65-4111; 2nd or subs. offense</t>
  </si>
  <si>
    <t>21-5709(d) - Drugs; Purchase, receive or otherwise acquire at retail any compound, mixture or preparation containing &gt;3.6 g. of pseudoephedrine or ephedrine base within single transaction; or any compound, mixture or preparation containing more than 9 g. of pseudoephedrine or ephedrine base within 30-day period</t>
  </si>
  <si>
    <t>21-5716(a) - Drugs; Receive/acquire proceeds or engage in transactions involving proceeds, known to be derived from violation of K.S.A. 21-5701 through 21-5717; at least $5,000 but less than $100,000</t>
  </si>
  <si>
    <t>21-5716(a) - Drugs; Receive/acquire proceeds or engage in transactions involving proceeds, known to be derived from violation of K.S.A. 21-5701 through 21-5717; less than $5,000</t>
  </si>
  <si>
    <t>65-4116(a) - Drugs; Registration required to manufacture, distribute or dispense any controlled substance</t>
  </si>
  <si>
    <t>21-5712(a) - Drugs; Unlawful abuse of toxic vapors</t>
  </si>
  <si>
    <t>21-5708(a)(2) - Drugs; Unlawfully Obtaining a Prescription-only Drug; distribution of a prescription order knowing it to have been made, altered or signed by a person other than a practitioner or a mid-level practitioner; 1st offense</t>
  </si>
  <si>
    <t>21-5708(a)(2) - Drugs; Unlawfully Obtaining a Prescription-only Drug; distribution of a prescription order knowing it to have been made, altered or signed by a person other than a practitioner or a mid-level practitioner; 2nd and subs. offense</t>
  </si>
  <si>
    <t>21-5708(a)(1) - Drugs; Unlawfully Obtaining a Prescription-only Drug; making, altering or signing of a prescription order by a person other than a practitioner or a mid-level practitioner; 1st offense</t>
  </si>
  <si>
    <t>21-5708(a)(1) - Drugs; Unlawfully Obtaining a Prescription-only Drug; making, altering or signing of a prescription order by a person other than a practitioner or a mid-level practitioner; 2nd and subs. offense</t>
  </si>
  <si>
    <t>21-5708(a)(3) - Drugs; Unlawfully Obtaining a Prescription-only Drug; possession of a prescription order with intent to distribute it and knowing it to have been made, altered or signed by a person other than a practitioner or a mid-level practitioner; 1st offense</t>
  </si>
  <si>
    <t>21-5708(a)(3) - Drugs; Unlawfully Obtaining a Prescription-only Drug; possession of a prescription order with intent to distribute it and knowing it to have been made, altered or signed by a person other than a practitioner or a mid-level practitioner; 2nd and subs. offense</t>
  </si>
  <si>
    <t>21-5708(a)(4) - Drugs; Unlawfully Obtaining a Prescription-only Drug; possession of a prescription-only drug knowing it to have been obtained pursuant to a prescription order made, altered or signed by a person other than a practitioner or a mid-level practitioner; 1st offense</t>
  </si>
  <si>
    <t>21-5708(a)(4) - Drugs; Unlawfully Obtaining a Prescription-only Drug; possession of a prescription-only drug knowing it to have been obtained pursuant to a prescription order made, altered or signed by a person other than a practitioner or a mid-level practitioner; 2nd and subs. offense</t>
  </si>
  <si>
    <t>21-5708(a)(5) - Drugs; Unlawfully Obtaining a Prescription-only Drug; providing false information with intent to deceive to a practitioner or mid-level practitioner for the purpose of obtaining a prescription-only drug; 1st offense</t>
  </si>
  <si>
    <t>21-5708(a)(5) - Drugs; Unlawfully Obtaining a Prescription-only Drug; providing false information with intent to deceive to a practitioner or mid-level practitioner for the purpose of obtaining a prescription-only drug; 2nd and subs. offense</t>
  </si>
  <si>
    <t>21-5708(b)(2) - Drugs; Unlawfully Selling a Prescription-only Drug; obtaining and offering for sale the prescription-only drug so obtained</t>
  </si>
  <si>
    <t>21-5708(b)(3) - Drugs; Unlawfully Selling a Prescription-only Drug; obtaining and possessing with intent to sell the prescription-only drug so obtained</t>
  </si>
  <si>
    <t>21-5708(b)(1) - Drugs; Unlawfully Selling a Prescription-only Drug; obtaining and selling the prescription-only drug so obtained</t>
  </si>
  <si>
    <t>21-5713(b) - Drugs; Use or possess with intent to use any simulated controlled substance</t>
  </si>
  <si>
    <t>21-5709(b)(2) - Drugs; Use or possess with intent to use drug paraphernalia to store, contain, conceal, inject, ingest, inhale or otherwise introduce a controlled substance into the human body</t>
  </si>
  <si>
    <t>21-5709(b)(1) - Drugs; Use or possession of paraphernalia with intent to use to manufacture, cultivate, plant, propagate, harvest, test, analyze or distribute a controlled substance; used to cultivate five or more marijuana plants</t>
  </si>
  <si>
    <t>21-5709(b)(1) - Drugs; Use or possession of paraphernalia with intent to use to manufacture, cultivate, plant, propagate, harvest, test, analyze or distribute a controlled substance; used to cultivated fewer than five marijuana plants</t>
  </si>
  <si>
    <t>8-1017(a)(3) - DUI Provisions; Blow into ignition interlock device to allow person required to operate vehicle with device to pass</t>
  </si>
  <si>
    <t>8-1017(a)(4) - DUI Provisions; Operate vehicle with no ignition interlock device during restrictive period</t>
  </si>
  <si>
    <t>8-1022(a) - DUI Provisions; Permitting operation of vehicle by one whose license is suspended pursuant to 8-1014 (refusal / failure of DUI test)</t>
  </si>
  <si>
    <t>8-1017(a)(2) - DUI Provisions; Requesting another to blow into ignition interlock device</t>
  </si>
  <si>
    <t>8-1017(a)(1) - DUI Provisions; Tampering with an ignition interlock device</t>
  </si>
  <si>
    <t>8-1002(b) - DUI Provisions; Test Refusal or Failure; signing a certification submitted to the division knowing it contains a false statement</t>
  </si>
  <si>
    <t>8-2,145(d) - DUI Provisions; Tests for Alcohol or Drugs; signing a certification submitted to the division knowing it contains a false statement</t>
  </si>
  <si>
    <t>2-2503(e) - Egg Law; Advertise eggs in a manner indicating price without also indicating the designation of size and quality</t>
  </si>
  <si>
    <t>2-2503(l) - Egg Law; Engage in the business of purchasing eggs without conspicuously posting in such place of business the prices which are being paid for each of the various grades of eggs</t>
  </si>
  <si>
    <t>2-2503(j) - Egg Law; Fail or neglect to file the quarterly inspection fee report and pay the inspection fee due; file a false quarterly inspection fee report of the quantity of eggs sold during any period</t>
  </si>
  <si>
    <t>2-2503(n) - Egg Law; Fail to mark all containers with official United States or Kansas grade AA, A or B identification with label to indicate that refrigeration is required</t>
  </si>
  <si>
    <t>2-2503(d) - Egg Law; Falsely or deceptively label, advertise or invoice eggs</t>
  </si>
  <si>
    <t>2-2503(i) - Egg Law; Grade eggs for size and quality for subs. resale to food purveyors, retailers or consumers without registering such purveyor's, retailer's or consumer's place of business</t>
  </si>
  <si>
    <t>2-2503(f) - Egg Law; Hold eggs for human consumption at an ambient temperature higher than 45 degrees Fahrenheit after being received at the point of first purchase or assembly</t>
  </si>
  <si>
    <t>2-2503(m) - Egg Law; Offer eggs for sale that have not been candled and graded</t>
  </si>
  <si>
    <t>2-2503(k) - Egg Law; Refuse entry to any authorized inspector or employee of the department for the purpose of making inspections under the provisions of this act</t>
  </si>
  <si>
    <t>2-2503(a) - Egg Law; Sale of eggs below the quality of "Grade B" to food purveyors or consumers</t>
  </si>
  <si>
    <t>2-2503(b) - Egg Law; Sale of eggs to food purveyors/ consumers if not labeled to indicate size/quality</t>
  </si>
  <si>
    <t>2-2503(c) - Egg Law; Sell eggs to food purveyors/ consumers without indicating on the container, the name of either dealer, retailer, food purveyor or agent by or for whom the eggs were graded or labeled</t>
  </si>
  <si>
    <t>2-2503(g) - Egg Law; Sell to food purveyors/consumers eggs in a container not bearing an inspection fee stamp showing that the inspection fee has been paid thereon, unless exempt</t>
  </si>
  <si>
    <t>2-2503(h) - Egg Law; Use an inspection fee stamp more than once; use of a counterfeit inspection fee stamp</t>
  </si>
  <si>
    <t>25-2433 - Elections; Advance voting suppression; knowingly acting in a prohibited manner with intent to impede, obstruct or exert undue influence on the election process</t>
  </si>
  <si>
    <t>25-3005a - Elections; Authorized poll agent; any violation of this section</t>
  </si>
  <si>
    <t>25-2418 - Elections; Bribe acceptance by an election official</t>
  </si>
  <si>
    <t>25-2417 - Elections; Bribery of an election official</t>
  </si>
  <si>
    <t>25-2410(b) - Elections; Bribery to induce signing of nomination papers; knowingly accepting any benefit, property or thing of value, as consideration for signing any nomination paper</t>
  </si>
  <si>
    <t>25-2410(a) - Elections; Bribery to induce signing of nomination papers; knowingly offering any benefit, property or thing of value to any person to induce him to sign any nomination paper</t>
  </si>
  <si>
    <t>25-2409 - Elections; Bribery; confer, offer or agree to confer, or solicit, accept or agree to accept any benefit as consideration to or from any person either to vote or withhold any person's vote, or to vote for or against any candidate or question submitted at any public election</t>
  </si>
  <si>
    <t>25-904 - Elections; Candidate's receiving and expending less than $500, affidavit of intent; candidates exceeding $500 limit, report; report of contributions exceeding $50 and statement of expenditures and obligations incurred</t>
  </si>
  <si>
    <t>25-2407(a)(2) - Elections; Corrupt political advertising; broadcast by radio or TV any paid matter designed to aid, injure or defeat any candidate for nomination or election to public office, without including that it was an advertisement and the name of the chairman of the organization or the person responsible therefor</t>
  </si>
  <si>
    <t>25-2407(a)(4) - Elections; Corrupt political advertising; broadcast by radio or TV any paid matter intended to influence the vote of any person or persons for or against any question submitted for a proposition to amend the constitution or to authorize the issuance of bonds or any other question submitted at an election, without including that it was an advertisement and the name of the chairman of the organization or the person responsible therefor</t>
  </si>
  <si>
    <t>25-2407(a)(3) - Elections; Corrupt political advertising; Publish in a newspaper or other periodical any paid matter intended to influence the vote of any person or persons for or against any question submitted for a proposition to amend the constitution or to authorize the issuance of bonds or any other question submitted at an election, without including "advertisement" or "adv." with the name of the chairman of the organization or the person responsible therefor</t>
  </si>
  <si>
    <t>25-2407(a)(1) - Elections; Corrupt political advertising; publish in a newspaper or other periodical, any paid matter designed to aid, injure or defeat any candidate for nomination or election to public office, without including "advertisement" or "adv." with the name of the chairman of the organization or the person responsible therefor</t>
  </si>
  <si>
    <t>25-2407(a)(5) - Elections; Corrupt political advertising; publishing any brochure, flier or fact sheet intended to influence the vote of any person or persons for or against any question submitted for a proposition to amend the constitution or to authorize the issuance of bonds or any other question submitted at an election, without including that it was an advertisement and the name of the chairman of the organization or the person responsible therefor</t>
  </si>
  <si>
    <t>25-2429 - Elections; Destruction of Election Papers; destroy any certificate of nomination or nomination papers or any letter of withdrawal of a candidate</t>
  </si>
  <si>
    <t>25-2428 - Elections; Destruction of Election Supplies; destroy or deface any list of candidates, card of instruction, sample ballot or any election supplies</t>
  </si>
  <si>
    <t>25-2413(c) - Elections; Disorderly conduct; willfully approach or remain closer than 3 feet to any voting booth, voting machine or table being used by an election board</t>
  </si>
  <si>
    <t>25-2413(e)(2) - Elections; Disorderly conduct; willfully conduct advisory elections other than those specifically authorized by law within 250 feet from the entrance of a polling place during the hours the polls are open on election day</t>
  </si>
  <si>
    <t>25-2413(a) - Elections; Disorderly conduct; willfully disturb the peace in or about any voting place on election day</t>
  </si>
  <si>
    <t>25-2413(d) - Elections; Disorderly conduct; willfully interrupt / hinder / obstruct a person approaching a voting place to vote</t>
  </si>
  <si>
    <t>25-2413(b) - Elections; Disorderly conduct; willfully leave or attempt to leave a voting place in possession of any ballot</t>
  </si>
  <si>
    <t>25-2413(e)(1) - Elections; Disorderly conduct; willfully solicit contributions within 250 feet from the entrance of a polling place during the hours the polls are open on election day</t>
  </si>
  <si>
    <t>25-4147(d) - Elections; Election Campaign Finance; all receipts required to be forwarded to treasurer</t>
  </si>
  <si>
    <t>25-4144 - Elections; Election Campaign Finance; appointment of campaign treasurer or candidate committee</t>
  </si>
  <si>
    <t>25-4156(b)(1)(B) - Elections; Election Campaign Finance; broadcasting or causing to be broadcast by radio or television any paid matter which expressly advocates the nomination, election or defeat of a clearly identified candidate for a state or local office, without "Paid for" or "Sponsored by" the name of the sponsoring organization and the name of the chairperson or treasurer of the political or other organization sponsoring the same or the name of the individual who is responsible therefore</t>
  </si>
  <si>
    <t>25-4157a(c) - Elections; Election Campaign Finance; candidate or candidate committee accepting from another candidate or candidate committee, moneys received by such candidate or candidate committee as a campaign contribution</t>
  </si>
  <si>
    <t>25-4157a(b) - Elections; Election Campaign Finance; candidate or candidate committee of any candidate using moneys received as a contribution to pay interest or any other finance charges upon moneys loaned to the campaign by such candidate or the spouse of such candidate</t>
  </si>
  <si>
    <t>25-4147(e) - Elections; Election Campaign Finance; commingling of campaign and personal funds prohibited</t>
  </si>
  <si>
    <t>25-4165 - Elections; Election Campaign Finance; commission records; confidentiality; release to certain persons</t>
  </si>
  <si>
    <t>25-4147(f) - Elections; Election Campaign Finance; contributions from political committees to be accompanied by name or description of interest group with which affiliated</t>
  </si>
  <si>
    <t>25-4157a(a) - Elections; Election Campaign Finance; contributions; candidate or candidate committee of any candidate using moneys received as a contribution or be making such available for the personal use of the candidate or the candidate committee of such candidate unless authorized herein</t>
  </si>
  <si>
    <t>25-4154(d) - Elections; Election Campaign Finance; copying any name of a contributor from any report or statement filed under the campaign finance act to use for any commercial purpose; use of any name for a commercial purpose knowing that such name was obtained solely by copying information relating to contributions contained in any report or statement filed under the campaign finance act</t>
  </si>
  <si>
    <t>25-4186(f) - Elections; Election Campaign Finance; copying name of a contributor from any report filed under this section and using such name for any commercial purpose; using a name for a commercial purpose with knowledge that such name was obtained solely by copying information relating to contributions contained in any report filed under this section</t>
  </si>
  <si>
    <t>25-4170(b) - Elections; Election Campaign Finance; excessive campaign contributions; intentionally accepting any contribution made in violation of any provision of K.S.A. 25-4153</t>
  </si>
  <si>
    <t>25-4170(a) - Elections; Election Campaign Finance; excessive campaign contributions; intentionally making any contribution in violation of any provision of K.S.A. 25-4153</t>
  </si>
  <si>
    <t>25-4156(a)(1) - Elections; Election Campaign Finance; excessive charges for space in newspapers/periodicals</t>
  </si>
  <si>
    <t>25-4177 - Elections; Election Campaign Finance; fail to file affidavit of intent as required in K.S.A. 25-4173 or 25-4175 or failure to file the reports required after a change in intent as required by K.S.A. 25-4174 or 25-4176</t>
  </si>
  <si>
    <t>25-4167(a) - Elections; Election Campaign Finance; fail to file campaign finance report; intentional failure of any person required to make any report, amended report or statement by the campaign finance act to file the same with the secretary of state or county election officer at the time specified in the campaign finance act</t>
  </si>
  <si>
    <t>25-4180(a) - Elections; Election Campaign Finance; fail to file financial reports of constitutional campaigns</t>
  </si>
  <si>
    <t>25-4147(b) - Elections; Election Campaign Finance; fail to preserve accounts of any treasurer for inspection as required</t>
  </si>
  <si>
    <t>25-4147(a) - Elections; Election Campaign Finance; failure of treasurer to keep detailed accounts of all contributions and other receipts received and all expenditures made</t>
  </si>
  <si>
    <t>25-4157a(d) - Elections; Election Campaign Finance; failure to contribute residual funds not otherwise obligated for the payment of expenses incurred in the campaign or the holding of office to appropriate party at termination of any campaign and prior to filing a termination report in accordance with K.S.A. 25-4157</t>
  </si>
  <si>
    <t>25-4167(b) - Elections; Election Campaign Finance; failure to file campaign finance report; intentional failure of any person required by K.S.A. 25-4172, and amendments thereto, to submit a statement to a treasurer to submit the same</t>
  </si>
  <si>
    <t>25-4168 - Elections; Election Campaign Finance; fraudulent campaign finance reporting</t>
  </si>
  <si>
    <t>25-4154(b) - Elections; Election Campaign Finance; give or accept any contribution in excess of $10 without making the name and address of the contributor known to the individual receiving the contribution</t>
  </si>
  <si>
    <t>25-4154(a) - Elections; Election Campaign Finance; making a contribution in the name of another person; accepting contribution knowing such to have been made by one person in the name of another</t>
  </si>
  <si>
    <t>25-4156(b)(1)(E) - Elections; Election Campaign Finance; making or causing to be made any website, e-mail or other types of internet communication which expressly advocates the nomination, election or defeat of a clearly identified candidate for a state or local office, without the name of the chairperson or treasurer of the political or other organization sponsoring the same or the name of the individual who is responsible therefore; made by candidate, candidate's committee, political committee, or party committee and viewed by or disseminated to at least 25 individuals</t>
  </si>
  <si>
    <t>25-4186(h) - Elections; Election Campaign Finance; moneys received by any inaugural treasurer used or made available for the personal use of the governor-elect or governor;  moneys used by such governor-elect or governor for purposes other than legitimate gubernatorial inauguration expenses</t>
  </si>
  <si>
    <t>25-4156(b)(1)(D) - Elections; Election Campaign Finance; publishing or causing to be published any brochure, flier or other political fact sheet which expressly advocates the nomination, election or defeat of a clearly identified candidate for a state or local office, without the name of the chairperson or treasurer of the political or other organization sponsoring the same or the name of the individual who is responsible therefore</t>
  </si>
  <si>
    <t>25-4156(b)(1)(A) - Elections; Election Campaign Finance; publishing or causing to be published in a newspaper or periodical any paid matter which expressly advocates the nomination, election or defeat of a clearly identified candidate for a state or local office, without the word "advertisement" or "adv." with the name of the chairperson or treasurer of the organization sponsoring the same or the name of the individual who is responsible therefore</t>
  </si>
  <si>
    <t>25-4146 - Elections; Election Campaign Finance; removal of treasurer or chairperson; notification to Secretary of State</t>
  </si>
  <si>
    <t>25-4151 - Elections; Election Campaign Finance; reports; declaration of correctness; late filing</t>
  </si>
  <si>
    <t>25-4145 - Elections; Election Campaign Finance; statements of organization; contents and supplemental statements</t>
  </si>
  <si>
    <t>25-4156(b)(1)(C) - Elections; Election Campaign Finance; telephoning or causing to be contacted by telephonic means any paid matter which expressly advocates the nomination, election or defeat of a clearly identified candidate for a state or local office, without "Paid for" or "Sponsored by" the name of the sponsoring organization and the name of the chairperson or treasurer of the political or other organization sponsoring the same or the name of the individual who is responsible therefore</t>
  </si>
  <si>
    <t>25-4186(e) - Elections; Election Campaign Finance; the aggregate amount contributed, in kind or otherwise, by any person for a gubernatorial inauguration shall not exceed $2,000; make such a contribution in the name of another person; knowingly accept a contribution made by one person in the name of another; give or accept any contribution in excess of $10 without knowing the name and address of the contributor; the aggregate of contributions for which the name and address of the contributor is not known shall not exceed 50% of the amount one person may contribute</t>
  </si>
  <si>
    <t>25-4154(c) - Elections; Election Campaign Finance; the aggregate of contributions for which the name and address of the contributor is not reported under K.S.A. 25-4148 shall not exceed 50% of the amount one individual (other than the candidate or spouse) may contribute to or for a candidate's campaign</t>
  </si>
  <si>
    <t>25-4161(b) - Elections; Election Campaign Finance; unauthorized disclosure of confidential information pertaining to an alleged violation of a provision of the campaign finance act</t>
  </si>
  <si>
    <t>25-4169a(a) - Elections; Election Campaign Finance; use of public funds, vehicles, machinery, equipment and supplies and time of certain officers and employees to influence nomination or election of candidate prohibited</t>
  </si>
  <si>
    <t>25-2423(a) - Elections; Election Tampering; while being charged with no election duty, make or change any election record</t>
  </si>
  <si>
    <t>25-2430(a) - Elections; Electioneering</t>
  </si>
  <si>
    <t>25-4414(b) - Elections; Electronic Voting System Fraud; intentionally tamper with, alter, disarrange, deface, impair or destroy any electronic or electromechanical system or component part thereof, or any ballot used by such systems</t>
  </si>
  <si>
    <t>25-4414(a) - Elections; Electronic Voting System Fraud; unlawful or unauthorized possession of voting equipment, computer programs, operating systems, firmware, software or ballots</t>
  </si>
  <si>
    <t>25-2424 - Elections; False impersonation as a party official</t>
  </si>
  <si>
    <t>25-2431(a) - Elections; False Impersonation of a Voter; representing oneself as another and then voting or attempting such</t>
  </si>
  <si>
    <t>25-1122d - Elections; False statement on an advanced voting application for ballot</t>
  </si>
  <si>
    <t>25-2412(a) - Elections; Forgery; knowingly, with intent to induce official action, sign or affix any name other than one's own to a certificate of nomination, nomination paper or any petition under the election laws of this state</t>
  </si>
  <si>
    <t>25-2412(c) - Elections; Forgery; mark any other person's ballot contrary to the directions of such person</t>
  </si>
  <si>
    <t>25-2412(b) - Elections; Forgery; mark any other person's ballot without such person's consent</t>
  </si>
  <si>
    <t>25-2420(g) - Elections; Fraud by election officer; declare or otherwise proclaim election result based upon fraudulent, fictitious or illegal votes</t>
  </si>
  <si>
    <t>25-2420(f) - Elections; Fraud by election officer; declare or otherwise proclaim false election result</t>
  </si>
  <si>
    <t>25-2420(h) - Elections; Fraud by election officer; enter in poll book, registration book or party affiliation list the name of a person not qualified to vote</t>
  </si>
  <si>
    <t>25-2420(i) - Elections; Fraud by election officer; enter in poll book, registration book or party affiliation list the name of a person who has not voted when in fact such person has not voted</t>
  </si>
  <si>
    <t>25-2420(e) - Elections; Fraud by election officer; issue, grant, mail or deliver any false, fraudulent or illegal certificate of nomination or certificate of election</t>
  </si>
  <si>
    <t>25-2420(c) - Elections; Fraud by election officer; possess falsely made, altered, forged or counterfeit poll books, registration books, party affiliation lists, election abstracts or returns or any other election papers</t>
  </si>
  <si>
    <t>25-2420(a) - Elections; Fraud by election officer; receive vote by a person not registered otherwise not qualified to vote</t>
  </si>
  <si>
    <t>25-2420(b) - Elections; Fraud by election officer; receive vote offered by a person who voted previously in same election</t>
  </si>
  <si>
    <t>25-2420(d) - Elections; Fraud by election officer; receive, canvass, count or tally any ballots, votes or election returns which are fraudulent, forged, counterfeited or illegal</t>
  </si>
  <si>
    <t>25-2434(a)(4) - Elections; Intentionally inducing or aiding any person to vote in more than one jurisdiction in United States in election held on  particular date</t>
  </si>
  <si>
    <t>25-2434(a)(3) - Elections; Intentionally inducing or aiding any person to vote more than once in same jurisdiction in election held on particular date</t>
  </si>
  <si>
    <t>25-418 - Elections; Intentionally obstructing an employee in his or her exercise of voting privilege or imposing a penalty upon an employee exercising his or her voting privilege</t>
  </si>
  <si>
    <t>25-2434(a)(2) - Elections; Intentionally voting or attempting to vote in more than one jurisdiction in United States in election held on particular date</t>
  </si>
  <si>
    <t>25-2434(a)(1) - Elections; Intentionally voting or attempting to vote more than once in same jurisdiction in election held on particular date</t>
  </si>
  <si>
    <t>25-1128(d) - Elections; Intercepting, interfering with, or delaying the transmission of advance voting ballots from the county election officer to the voter</t>
  </si>
  <si>
    <t>25-1128(b) - Elections; Interfering with/delaying the transmission of any advance voting ballot application to the county election officer, or mailing, faxing or sending the application to a place other than the county election office</t>
  </si>
  <si>
    <t>25-2415(a)(1) - Elections; Intimidation of voters</t>
  </si>
  <si>
    <t>25-2415(a)(2) - Elections; Intimidation of voters using media for false information</t>
  </si>
  <si>
    <t>25-1128(f) - Elections; Knowingly and falsely affirm, declare or subscribe to material fact in affirmation form for advance voting ballot</t>
  </si>
  <si>
    <t>25-2427 - Elections; Marking ballots to identify</t>
  </si>
  <si>
    <t>25-1128(a) - Elections; Marking or transmitting to the county election officer more than one advance voting ballot</t>
  </si>
  <si>
    <t>25-2419(a) - Elections; Misconduct of an election officer; being grossly neglectful in election duties</t>
  </si>
  <si>
    <t>25-2419(c) - Elections; Misconduct of an election officer; changing the ballot of a voter</t>
  </si>
  <si>
    <t>25-2419(b) - Elections; Misconduct of an election officer; furnish a voter with a ballot/informing such voter that any of its contents are different from that which appear thereon with intent to induce such voter to vote contrary to such voter's inclinations</t>
  </si>
  <si>
    <t>25-2419(e) - Elections; Misconduct of an election officer; preventing a qualified elector from voting</t>
  </si>
  <si>
    <t>25-2419(f) - Elections; Misconduct of an election officer; refusing to receive vote of a qualified elector when duly offered</t>
  </si>
  <si>
    <t>25-2419(d) - Elections; Misconduct of an election officer; willfully permit any person to testify as a witness or make an affidavit contrary to law</t>
  </si>
  <si>
    <t>25-4612(b) - Elections; Optical Scanning Equipment Fraud; intentionally tamper with, alter, disarrange, deface, impair or destroy any optical scanning equipment or component part thereof, or any ballot, operating system, firmware or software used by such system</t>
  </si>
  <si>
    <t>25-4612(a) - Elections; Optical Scanning Equipment Fraud; unlawful or unauthorized possession of ballots, optical scanning equipment, computer programs, operating systems, firmware or software</t>
  </si>
  <si>
    <t>25-901 - Elections; Organizations promoting or opposing candidates or propositions required to have treasurer and keep accounts of receipts and expenditures and file annual statements</t>
  </si>
  <si>
    <t>25-2411(c) - Elections; Perjury; falsely swearing, affirming, declaring or subscribing; statements in an affidavit prescribed by chapter 25 of the K.S.A. or other election law of the state, or by the secretary of state or county election officer under election laws of this state</t>
  </si>
  <si>
    <t>25-2411(d) - Elections; Perjury; falsely swearing, affirming, declaring or subscribing; statements in answer to questions by a county election officer or deputy county election officer relating to application for voter registration of a person</t>
  </si>
  <si>
    <t>25-2411(e) - Elections; Perjury; falsely swearing, affirming, declaring or subscribing; statements in answer to questions by an election board member to a person asking for voter assistance</t>
  </si>
  <si>
    <t>25-2411(a) - Elections; Perjury; falsely swearing, affirming, declaring or subscribing; statements in answer to questions of a person challenged as unqualified to vote</t>
  </si>
  <si>
    <t>25-2411(b) - Elections; Perjury; falsely swearing, affirming, declaring or subscribing; statements in answer to questions of a witness concerning the qualifications of a person to vote</t>
  </si>
  <si>
    <t>25-2411(f) - Elections; Perjury; falsely swearing, affirming, declaring or subscribing; statements of any witness at an election contest</t>
  </si>
  <si>
    <t>25-1124 - Elections; Person assisting a sick, physically disabled or illiterate voter in applying for or marking an advance voting ballot; knowingly and willfully fail to sign and submit the statement required by this section or who exercises undue influence on the voting decision of such voter</t>
  </si>
  <si>
    <t>25-1128(c) - Elections; Person other than the voter, marking, signing or transmitting any advance voting ballot or advance voting ballot envelope to the county election officer</t>
  </si>
  <si>
    <t>25-2414 - Elections; Possess false or forged election supplies</t>
  </si>
  <si>
    <t>25-2426 - Elections; Printing and circulating sample or imitation ballots</t>
  </si>
  <si>
    <t>25-2316a - Elections; Registration of Voters; false swearing to an affidavit given pursuant to K.S.A. 25-2316c</t>
  </si>
  <si>
    <t>25-2320a - Elections; Registration of Voters; use of voter registration lists for commercial purposes</t>
  </si>
  <si>
    <t>25-4321 - Elections; Signing a name other than ones own name to a petition for recall of a local officer, or who knowingly signs more than once for the same proposition at one election, or who signs the petition knowing he or she is not a registered elector</t>
  </si>
  <si>
    <t>25-4309(b) - Elections; Signing a name other than ones own name to a petition for recall of a state officer, or who knowingly signs more than once for the same proposition at one election, or who signs the petition knowing he or she is not a registered elector</t>
  </si>
  <si>
    <t>25-2421(b) - Elections; Suppression; possess of a certificate of nomination, nomination papers or petition for candidacy entitled to be filed under any of the election laws of this state and suppressing, neglecting or failing to file the same at the proper time in the proper office</t>
  </si>
  <si>
    <t>25-2421(a) - Elections; Suppression; suppress a certificate of nomination, nomination papers, petition for nomination or any part thereof which has been duly filed</t>
  </si>
  <si>
    <t>25-2422(a)(1) - Elections; Unauthorized Voting Disclosure; disclose or expose contents of a ballot or manner in which the ballot has been voted</t>
  </si>
  <si>
    <t>25-2422(b)(2) - Elections; Unauthorized Voting Disclosure; endeavor to induce a voter to show how the voter marks or has marked the voter's ballot</t>
  </si>
  <si>
    <t>25-2421a(a)(1) - Elections; Voter Registration Suppression; destroy any application for voter registration</t>
  </si>
  <si>
    <t>25-2421a(a)(3) - Elections; Voter Registration Suppression; fail to deliver a signed application for voter registration</t>
  </si>
  <si>
    <t>25-2421a(a)(2) - Elections; Voter Registration Suppression; obstruct delivery of a signed application for voter registration</t>
  </si>
  <si>
    <t>25-1806a - Elections; Voting by new and former residents in presidential elections; knowingly and willfully falsely declaring any material fact in a declaration form provided in K.S.A. 25-1806</t>
  </si>
  <si>
    <t>25-2425(a) - Elections; Voting Machine Fraud; being in unlawful or unauthorized possession of a voting machine key</t>
  </si>
  <si>
    <t>25-2425(b) - Elections; Voting Machine Fraud; intentionally tamper with, alter, disarrange, deface, impair or destroy any voting machine, automatic ballot, voting machine label or register or record made by a voting machine</t>
  </si>
  <si>
    <t>25-2416(a)(2) - Elections; Voting without being qualified; knowingly voting or attempting to vote at any election by a person not a U.S. citizen</t>
  </si>
  <si>
    <t>25-2416(a)(1) - Elections; Voting without being qualified; knowingly voting or attempting to vote at any election district when not a lawfully registered voter in such election district</t>
  </si>
  <si>
    <t>25-1128(e) - Elections; Willfully and falsely affirm, declare or subscribe to any material fact in an affirmation form for an advance voting ballot or in a declaration form on an advance voting ballot envelope</t>
  </si>
  <si>
    <t>21-5509(a) - Electronic Solicitation; Of child believed to be 14 or more yrs of age but less than 16 yrs of age</t>
  </si>
  <si>
    <t>21-5509(a) - Electronic Solicitation; Of child believed to be less than 14</t>
  </si>
  <si>
    <t>65-1705 - Embalmers &amp; Funeral Directors; Advertise, practice or hold oneself out as practicing the science of embalming without having complied with the provisions of this act</t>
  </si>
  <si>
    <t>65-1768(a) - Embalmers &amp; Funeral Directors; Crematory license required</t>
  </si>
  <si>
    <t>65-1766 - Embalmers &amp; Funeral Directors; Crematory violations</t>
  </si>
  <si>
    <t>65-1707 - Embalmers &amp; Funeral Directors; Embalming without permission of coroner when suspicion of crime in connection with the cause of death</t>
  </si>
  <si>
    <t>65-1731 - Embalmers &amp; Funeral Directors; Fail, neglect or refuse to pay establishment fee</t>
  </si>
  <si>
    <t>65-1714(a) - Embalmers &amp; Funeral Directors; Funeral director's license required</t>
  </si>
  <si>
    <t>65-1768(f) - Embalmers &amp; Funeral Directors; Holding oneself out as an operator in charge of a crematory when not so</t>
  </si>
  <si>
    <t>65-1703 - Embalmers &amp; Funeral Directors; License required to perform embalming</t>
  </si>
  <si>
    <t>65-1761(a) - Embalmers &amp; Funeral Directors; Licensure of crematory required</t>
  </si>
  <si>
    <t>65-1729(e) - Embalmers &amp; Funeral Directors; Operate, offer to operate, advertise or represent oneself as operating a funeral or branch establishment without license to do so</t>
  </si>
  <si>
    <t>65-1712 - Embalmers &amp; Funeral Directors; Violate or refuse or neglect to obey rules and regulations pertaining to the practice of embalming and transportation of dead bodies</t>
  </si>
  <si>
    <t>48-939 - Emergency Management Act; Violation of act, rules, regulations, orders or proclamations under act</t>
  </si>
  <si>
    <t>65-5707 - Emergency Planning &amp; Community Right-To-Know; Fail to submit lists of chemicals and M.S.D.S sheets</t>
  </si>
  <si>
    <t>44-719(a) - Employment Security Law; Knowingly make a false statement or representation or knowingly fail to disclose a material fact, to obtain or increase any benefit or other payment under this act; punished in accordance with K.S.A. 21-3701-Theft; less than $1,000</t>
  </si>
  <si>
    <t>44-719(f) - Employment Security Law; Knowingly obtain or attempt to obtain a reduced liability for contributions</t>
  </si>
  <si>
    <t>44-719(a) - Employment Security Law; Make a false statement or representation/fail to disclose a material fact, to obtain or increase any benefit or other payment under this act; $100,000 or more</t>
  </si>
  <si>
    <t>44-719(a) - Employment Security Law; Make a false statement or representation/fail to disclose a material fact, to obtain or increase any benefit or other payment under this act; at least $1,000 but less than $25,000</t>
  </si>
  <si>
    <t>44-719(a) - Employment Security Law; Make a false statement or representation/fail to disclose a material fact, to obtain or increase any benefit or other payment under this act; at least $25,000 but less than $100,000</t>
  </si>
  <si>
    <t>44-719(a) - Employment Security Law; Make a false statement or representation/fail to disclose a material fact, to obtain or increase any benefit or other payment under this act; value less than $1,000 by a person with 2 or more prior theft convictions</t>
  </si>
  <si>
    <t>19-4331 - Employment Systems; Penalty for any violation of act</t>
  </si>
  <si>
    <t>19-4330 - Employment Systems; Use of one's authority/official influence to compel any officer/employee covered by the this act to apply for membership in or become a member of any organization</t>
  </si>
  <si>
    <t>65-6150(a) - EMS; Represent oneself as an attendant or instructor-coordinator without holding a valid certificate</t>
  </si>
  <si>
    <t>65-6125 - EMS; Unlawful to operate ambulance service without a permit</t>
  </si>
  <si>
    <t>65-6137 - EMS; Violation of act, rule or regulation</t>
  </si>
  <si>
    <t>21-6317(a)(1) - Endangering the Food Supply; Knowingly bring into this state any domestic animal which is affected with or exposed to any contagious or infectious disease</t>
  </si>
  <si>
    <t>21-6317(a)(1) - Endangering the Food Supply; Knowingly bring into this state any domestic animal which is infected with or exposed to foot-and-mouth disease</t>
  </si>
  <si>
    <t>21-6317(a)(3) - Endangering the Food Supply; Knowingly bring or release into this state any plant pest or expose any plant to a plant pest</t>
  </si>
  <si>
    <t>21-6317(a)(2) - Endangering the Food Supply; Knowingly expose any animal in this state to any contagious or infectious disease</t>
  </si>
  <si>
    <t>21-6317(a)(2) - Endangering the Food Supply; Knowingly expose any animal in this state to foot-and-mouth disease</t>
  </si>
  <si>
    <t>21-6317(a)(4) - Endangering the Food Supply; Knowingly expose any raw agricultural commodity, animal feed or processed food to any contaminant or contagious or infectious disease</t>
  </si>
  <si>
    <t>21-6317(a)(4) - Endangering the Food Supply; Knowingly expose any raw agricultural commodity, animal feed or processed food to foot-and-mouth disease</t>
  </si>
  <si>
    <t>21-5429 - Endangerment; Recklessly exposing another person to a danger of great bodily harm or death</t>
  </si>
  <si>
    <t>21-5911(a)(2) - Escape From Custody; While held in custody on a charge or adjudication or arrest as a juvenile offender where the act, if committed by an adult, would constitute a misdemeanor</t>
  </si>
  <si>
    <t>21-5911(a)(1) - Escape From Custody; While held in custody on a charge, conviction of or arrest for a misdemeanor</t>
  </si>
  <si>
    <t>21-5911(a)(3) - Escape From Custody; While held in custody on a commitment to the state security hospital as provided in K.S.A. 22-3428, based on a finding that the person committed an act constituting a misdemeanor or by a person 18 years of age or over who is being held in custody on an adjudication of a misdemeanor</t>
  </si>
  <si>
    <t>58-2810 - Examination/Registration/Licensing &amp; Bonding of Abstracters; Unlawful for county officers to prevent use of records</t>
  </si>
  <si>
    <t>58-2809 - Examination/Registration/Licensing &amp; Bonding of Abstracters; Violation by licensee</t>
  </si>
  <si>
    <t>74-8760(c) - Expanded Lottery Act; Knowingly cheating including possession of or use of cheating device</t>
  </si>
  <si>
    <t>74-8759 - Expanded Lottery Act; Manipulation of an electronic gaming machine or lottery facility game with intent to change the outcome, pay out or operation thereof</t>
  </si>
  <si>
    <t>74-8761 - Expanded Lottery Act; Place in operation, continue to operate any gray machine for use by the public</t>
  </si>
  <si>
    <t>74-8758(b) - Expanded Lottery Act; Unauthorized playing of an electronic gaming machine at lottery gaming facility; 1st offense</t>
  </si>
  <si>
    <t>74-8758(b) - Expanded Lottery Act; Unauthorized playing of an electronic gaming machine at lottery gaming facility; 2nd or subs. offense</t>
  </si>
  <si>
    <t>74-8758(a) - Expanded Lottery Act; Unauthorized playing of an electronic gaming machine at racetrack gaming facility; 1st offense</t>
  </si>
  <si>
    <t>74-8758(a) - Expanded Lottery Act; Unauthorized playing of an electronic gaming machine at racetrack gaming facility; 2nd or subs. offense</t>
  </si>
  <si>
    <t>74-8760(b) - Expanded Lottery Act; Unauthorized wagering or playing electronic gaming machine by select persons at racetrack gaming facility</t>
  </si>
  <si>
    <t>74-8760(a) - Expanded Lottery Act; Unauthorized wagering or playing electronic gaming machine or lottery facility game by select persons at lottery gaming facility</t>
  </si>
  <si>
    <t>74-8756 - Expanded Lottery Act; Wager and loan violations; 1st offense</t>
  </si>
  <si>
    <t>74-8756 - Expanded Lottery Act; Wager and loan violations; 2nd or subs. offense</t>
  </si>
  <si>
    <t>74-8762 - Expanded Lottery Act; Willful violations of restrictions on officials and affiliated persons</t>
  </si>
  <si>
    <t>21-5424(a)(1) - Exposing Another to a Life Threatening Communicable Disease; Intentionally and knowingly engage in sexual intercourse or sodomy with another individual</t>
  </si>
  <si>
    <t>21-5424(a)(2) - Exposing Another to a Life Threatening Communicable Disease; Intentionally and knowingly sell or donate one's own blood, blood products, semen, tissue, organs or other body fluids</t>
  </si>
  <si>
    <t>21-5424(a)(3) - Exposing Another to a Life Threatening Communicable Disease; Intentionally and knowingly share a hypodermic needle, syringe, or both, with another</t>
  </si>
  <si>
    <t>21-6501(a)(2)(A) - Extortion; Threat or promise to diminish or eliminate competition</t>
  </si>
  <si>
    <t>21-6501(a)(2)(B) - Extortion; Threat or promise to increase, decrease or maintain the price of goods or services purchased or sold</t>
  </si>
  <si>
    <t>21-6501(a)(2)(C) - Extortion; Threat or promise to protect the business, person or family of the owner, proprietor or interested person by violence or other unlawful means</t>
  </si>
  <si>
    <t>21-5915(a) - Failure to Appear; Knowingly incurring a forfeiture of an appearance bond and failing to surrender oneself within 30 days of forfeiture by one charged with or convicted of a misdemeanor</t>
  </si>
  <si>
    <t>21-5930(a)(2) - Failure to Maintain Adequate Records; Negligently fail to maintain records necessary to fully disclose all income and expenditures upon which rates of medical payments were based</t>
  </si>
  <si>
    <t>21-5930(a)(1) - Failure to Maintain Adequate Records; Negligently fail to maintain records necessary to fully disclose the nature of goods, services, items, facilities or accommodations for which a medicaid claim was submitted or payment received</t>
  </si>
  <si>
    <t>21-5935(a) - Failure to register an aircraft</t>
  </si>
  <si>
    <t>21-6311(a)(2) - Failure to Register Explosives; Receipt of explosives or detonating substance</t>
  </si>
  <si>
    <t>21-6311(a)(1) - Failure to Register Explosives; Sale of explosives or detonating substance</t>
  </si>
  <si>
    <t>8-1602(a) - Failure to Remain; At scene of accident resulting in death of any person</t>
  </si>
  <si>
    <t>8-1602(a) - Failure to Remain; At scene of accident resulting in death of any person, if the person knew or reasonably should have known that such accident resulted in injury or death</t>
  </si>
  <si>
    <t>8-1602(a) - Failure to Remain; At scene of accident resulting in great bodily harm to any person</t>
  </si>
  <si>
    <t>8-1602(a) - Failure to Remain; At scene of accident resulting in injury to any person or total property damages in excess of $1,000 or more</t>
  </si>
  <si>
    <t>8-1602(a) - Failure to Remain; At scene of accident resulting in total property damages or less than $1,000; 1st offense</t>
  </si>
  <si>
    <t>8-1602(a) - Failure to Remain; At scene of accident resulting in total property damages or less than $1,000; 2nd offense within 1 yr of the 1st offense</t>
  </si>
  <si>
    <t>8-1602(a) - Failure to Remain; At scene of accident resulting in total property damages or less than $1,000; 3rd or subs. offense within 1 yr of the 1st</t>
  </si>
  <si>
    <t>21-6319(a)(1) - Failure to Report a Wound; Any bullet wound, gunshot wound, powder burn or other injury arising from or caused by a firearm</t>
  </si>
  <si>
    <t>21-6319(a)(2) - Failure to Report a Wound; Any wound potentially resulting in death and apparently inflicted by a knife, ice pick, or other sharp or pointed instrument</t>
  </si>
  <si>
    <t>-106071 - Failure to Report Accident; Fail to file written report as required; 1st violation</t>
  </si>
  <si>
    <t>-106071 - Failure to Report Accident; Fail to file written report as required; 2nd violation within 1 yr of 1st offense</t>
  </si>
  <si>
    <t>-106071 - Failure to Report Accident; Fail to file written report as required; 3rd violation within 1 yr of 1st offense</t>
  </si>
  <si>
    <t>8-1605(a) - Failure to Report Accident; Resulting in damage to unattended vehicle or property; 1st offense</t>
  </si>
  <si>
    <t>8-1605(a) - Failure to Report Accident; Resulting in damage to unattended vehicle or property; 2nd offense within 1 yr of the 1st offense</t>
  </si>
  <si>
    <t>8-1605(a) - Failure to Report Accident; Resulting in damage to unattended vehicle or property; 3rd or subs. offense within 1 yr of the 1st offense</t>
  </si>
  <si>
    <t>21-5938(b)(1)(B) - Failure to Report the Death of a Child; Knowingly failing to report the death to law enforcement officer or agencies with intent to conceal a crime by certain person required to report abuse or neglect in K.S.A. 38-2223</t>
  </si>
  <si>
    <t>21-5938(b)(1)(A) - Failure to Report the Death of a Child; Knowingly failing to report the death to law enforcement officer or agencies with intent to conceal a crime by parent, legal guardian or caretaker</t>
  </si>
  <si>
    <t>21-5938(a)(1) - Failure to Report the Disappearance of a Child under 13; Knowingly failing to report the disappearance to law enforcement officer or agencies by parent, legal guardian or caretaker when person knows or reasonably should know child has been missing, with intent to conceal commission of a crime</t>
  </si>
  <si>
    <t>21-5938(a)(2) - Failure to Report the Disappearance of a Child under 13; Knowingly failing to report the disappearance to law enforcement officer or agencies by parent, legal guardian or caretaker when person knows that child is missing and has reason to believe that child is in imminent danger of death or great bodily harm</t>
  </si>
  <si>
    <t>50-720 - Fair Credit Reporting Act; Any violation of K.S.A. 50-701 to 50-719, inclusive, unless otherwise provided</t>
  </si>
  <si>
    <t>50-718 - Fair Credit Reporting Act; Obtaining information under false pretenses</t>
  </si>
  <si>
    <t>50-719 - Fair Credit Reporting Act; Unauthorized disclosures by officers or employees</t>
  </si>
  <si>
    <t>21-6207(a)(2) - False Alarm; Knowingly making an emergency assistance call</t>
  </si>
  <si>
    <t>21-6207(a)(2) - False Alarm; Knowingly making an emergency assistance call; including false information that violent criminal activity or immediate threat to a person's life or safety is taking place</t>
  </si>
  <si>
    <t>21-6207(a)(2) - False Alarm; Knowingly making an emergency assistance call; using electronic device or software to alter, conceal or disguise identity</t>
  </si>
  <si>
    <t>21-6207(a)(1) - False Alarm; Knowingly transmitting a false fire alarm</t>
  </si>
  <si>
    <t>21-6207(a)(1) - False Alarm; Knowingly transmitting a false fire alarm; including false information that violent criminal activity or immediate threat to a person's life or safety is taking place</t>
  </si>
  <si>
    <t>21-6207(a)(1) - False Alarm; Knowingly transmitting a false fire alarm; using electronic device or software to alter, conceal or disguise identity</t>
  </si>
  <si>
    <t>21-5917(a) - False Impersonation</t>
  </si>
  <si>
    <t>-106436 - False Information or Report; Knowingly give false information or report concerning accident</t>
  </si>
  <si>
    <t>21-6410(a) - False Membership Claim; Knowingly and falsely represent oneself to be a member of a fraternal or veteran's organization</t>
  </si>
  <si>
    <t>21-5916(a) - False Signing of a Petition; Knowingly affixing any fictitious or unauthorized signature to document intended to presented to the legislature or any agency or officer of the state</t>
  </si>
  <si>
    <t>21-5824(a) - False Writing; Make, generate, distribute or draw, any written instrument, electronic data or entry in a book of account knowing that such information falsely states or represents some material matter or is not what it purports to be, and with intent to defraud, obstruct the detection of a theft or felony offense or induce official action</t>
  </si>
  <si>
    <t>-287413 - Farm Produce; Dressed poultry; increasing weight prohibited</t>
  </si>
  <si>
    <t>-288509 - Farm Produce; Failure to maintain purchase memorandum manifesting the name and address of the seller, the number and kinds or colors of poultry purchased as required</t>
  </si>
  <si>
    <t>-287779 - Farm Produce; Fraudulent examination of records; penalty for violation</t>
  </si>
  <si>
    <t>-287048 - Farm Produce; Unlawful sale of dressed poultry</t>
  </si>
  <si>
    <t>-285952 - Farm Produce; Unlawful use of end intake air probes; penalty</t>
  </si>
  <si>
    <t>28-318 - Fees &amp; Salaries; Certain Counties over 140,000;  penalties for violation of 1911 act ; officer, deputy, assistant or clerk, who fails to perform any of the duties prescribed by this act</t>
  </si>
  <si>
    <t>28-226 - Fees &amp; Salaries; Counties between 130,000 and 185,000; officer, deputy, assistant or clerk, who fails to perform any of the duties prescribed by this act</t>
  </si>
  <si>
    <t>28-1008 - Fees &amp; Salaries; Counties Designated Urban Areas; officer, deputy, assistant or clerk, who fails to perform any of the duties prescribed by this act</t>
  </si>
  <si>
    <t>28-619 - Fees &amp; Salaries; Counties over 300,000; officer, deputy, assistant or clerk, who fails to perform any of the duties prescribed by this act</t>
  </si>
  <si>
    <t>21-5431(a)(3) - Female Genital Mutilation; Causing or permitting another to perform the acts described in (a)(1) or (a)(2) by a parent, caretaker or guardian</t>
  </si>
  <si>
    <t>21-5431(a)(1) - Female Genital Mutilation; Knowingly circumcising, excising or infibulating the whole or part of the labia majora, labia minora or clitoris of a female under 18</t>
  </si>
  <si>
    <t>21-5431(a)(2) - Female Genital Mutilation; Removing a female under 18 from the state for the purpose of circumcising, excising or infibulating the whole or part of the labia majora, labia minora or clitoris of such female</t>
  </si>
  <si>
    <t>29-107 - Fences; Legal Enclosures; interfering with fence described in K.S.A. 29-106 or leaving gates open</t>
  </si>
  <si>
    <t>2-1208(2)(b) - Fertilizers; Fail or neglect to file the tonnage reports or affidavit or pay the inspection fee</t>
  </si>
  <si>
    <t>2-1218(c) - Fertilizers; Failure to provide, or have available for use, safety material and effective safety equipment, as required by regulation</t>
  </si>
  <si>
    <t>2-1230(f) - Fertilizers; Handling/Storage/Disposal; failure to comply with a stop sale order or stop use order issued pursuant to K.S.A. 2-1232</t>
  </si>
  <si>
    <t>2-1230(c) - Fertilizers; Handling/Storage/Disposal; failure to provide, or have available for use, safety material and effective safety equipment, as required by regulation</t>
  </si>
  <si>
    <t>2-1230(e) - Fertilizers; Handling/Storage/Disposal; impede, obstruct or hinder, prevent or to attempt to prevent, authorized personnel/employee in performance of duties in connection with administration of this act</t>
  </si>
  <si>
    <t>2-1230(d) - Fertilizers; Handling/Storage/Disposal; penalty for violation of any rule and regulation adopted under K.S.A. 2-1227</t>
  </si>
  <si>
    <t>2-1230(a) - Fertilizers; Handling/Storage/Disposal; unlawful operation of facilities or equipment</t>
  </si>
  <si>
    <t>2-1230(b) - Fertilizers; Handling/Storage/Disposal; use of defective/unsafe product container, piping, valve, hose, appurtenances or other equipment for handling/storage of commercial fertilizer and fertilizer materials</t>
  </si>
  <si>
    <t>2-1218(d) - Fertilizers; Impede, obstruct or hinder, or to otherwise prevent or to attempt to prevent, authorized personnel/employee in performance of duties in connection with administration of this act</t>
  </si>
  <si>
    <t>2-1208(2)(c) - Fertilizers; Impede, obstruct, hinder or otherwise prevent or attempt to prevent the secretary/authorized agent in performance of their duty in connection with administration of provisions of this act</t>
  </si>
  <si>
    <t>2-1208(2)(a) - Fertilizers; Mutilate, destroy, obliterate or remove the label or any part thereof; or do any act which may result in the misbranding or false labeling of any commercial fertilizer</t>
  </si>
  <si>
    <t>2-1201b(a)(2) - Fertilizers; Unauthorized failure to comply with the requirements of K.S.A. 2-1201a</t>
  </si>
  <si>
    <t>2-1218(a) - Fertilizers; Unlawful operation of any anhydrous ammonia facility, any transportation equipment, or unlawful sale/offer to sell any anhydrous ammonia</t>
  </si>
  <si>
    <t>2-1201b(a)(1) - Fertilizers; Unlicensed sale or distribution of any custom blended fertilizer</t>
  </si>
  <si>
    <t>2-1218(b) - Fertilizers; Use of any product container, piping, valve, hose, appurtenances or other equipment for handling anhydrous ammonia which is defective or which is otherwise unsafe</t>
  </si>
  <si>
    <t>65-67a05(a) - Fetal Organs &amp; Tissue; Annual written report to the secretary of the department of health and environment required for any transfer of fetal tissue to another person; contents</t>
  </si>
  <si>
    <t>65-67a05(d) - Fetal Organs &amp; Tissue; Breach in Confidentiality of information obtained under this section</t>
  </si>
  <si>
    <t>65-67a05(b) - Fetal Organs &amp; Tissue; Breach in confidentiality of the donating woman's identity</t>
  </si>
  <si>
    <t>65-67a07(a) - Fetal Organs &amp; Tissue; Intentional, knowing or reckless use of fetal organs or tissue for medical, scientific, experimental or therapeutic use with out voluntary and informed consent of the woman donating such tissue</t>
  </si>
  <si>
    <t>65-67a06(a) - Fetal Organs &amp; Tissue; Offer any monetary or other inducement to person for the purpose of procuring an abortion for the medical, scientific, experimental or therapeutic use of fetal organs or tissue</t>
  </si>
  <si>
    <t>65-67a06(b) - Fetal Organs &amp; Tissue; Offer or accept any valuable consideration for the fetal organs or tissue resulting from an abortion</t>
  </si>
  <si>
    <t>65-67a05(e) - Fetal Organs &amp; Tissue; Reports required by this section shall identify the name and address of the person submitting such report only by confidential code number</t>
  </si>
  <si>
    <t>65-67a05(c) - Fetal Organs &amp; Tissue; Ship fetal tissue without disclosing to the delivery service that human tissue is contained in such shipment</t>
  </si>
  <si>
    <t>65-67a04(a) - Fetal Organs &amp; Tissue; Solicit, offer, knowingly acquire or accept or transfer any fetal tissue for consideration</t>
  </si>
  <si>
    <t>65-67a04(b) - Fetal Organs &amp; Tissue; Solicit, offer, knowingly acquire or accept or transfer any fetal tissue for the purpose of transplanting such into another where tissue was obtained from abortion with promise that the donated tissue will be transplanted into a recipient specified by the donating individual</t>
  </si>
  <si>
    <t>31-158(a) - Fire Safety &amp; Prevention; Sale to or purchase by fire department of clothing or equipment which does not meet standards set by national fire protection association</t>
  </si>
  <si>
    <t>31-150a(a) - Fire Safety &amp; Prevention; Violations of fire prevention code</t>
  </si>
  <si>
    <t>31-507(a)(1) - Fire Safety and Prevention; Bottle rockets; Unlawful selling, offering or possession with intent to sell or offer for sale</t>
  </si>
  <si>
    <t>31-507(a)(2) - Fire Safety and Prevention; Bottle rockets; Unlawful use, firing, setting off or ignition</t>
  </si>
  <si>
    <t>21-6332(a) - Firearms; Possession of a firearm under the influence; knowingly possess or carry a firearm under the influence of alcohol or drugs to such a degree as to render such person incapable of safely operating</t>
  </si>
  <si>
    <t>8-1568(a) - Fleeing or Attempting to Elude a Law Enforcement Officer - 1st conviction</t>
  </si>
  <si>
    <t>8-1568(a) - Fleeing or Attempting to Elude a Law Enforcement Officer - 2nd conviction</t>
  </si>
  <si>
    <t>8-1568(a) - Fleeing or Attempting to Elude a LEO; 3rd or subs. conviction</t>
  </si>
  <si>
    <t>8-1568(b) - Fleeing or Attempting to Elude a LEO; Evade road block, drive reckless, involved in accident, commit 5 moving violations, attempt to elude from felony capture</t>
  </si>
  <si>
    <t>19-3310 - Flood Control; Failure to obtain excavation permit</t>
  </si>
  <si>
    <t>50-904(a) - Food Advertising &amp; Sales Practices; Any violation of act; 1st offense</t>
  </si>
  <si>
    <t>50-904(a) - Food Advertising &amp; Sales Practices; Any violation of act; 2nd offense</t>
  </si>
  <si>
    <t>50-904(a) - Food Advertising &amp; Sales Practices; Any violation of act; 3rd or subs.</t>
  </si>
  <si>
    <t>65-657(b) - Food, Drugs &amp; Cosmetics Act; Adulterate or misbranded any food, drug, device, or cosmetic</t>
  </si>
  <si>
    <t>65-657(h) - Food, Drugs &amp; Cosmetics Act; Alteration, mutilation, destruction, obliteration or removal of the whole or any part of the labeling of, or the doing of any other act with respect to a food, drug, device or cosmetic, if such act is done while such article is held for sale and results in such article being misbranded</t>
  </si>
  <si>
    <t>65-657(n) - Food, Drugs &amp; Cosmetics Act; Dispense a different drug or brand of drug in place of the one ordered or prescribed without express permission in each case of the person ordering or prescribing</t>
  </si>
  <si>
    <t>65-657(d) - Food, Drugs &amp; Cosmetics Act; Dissemination of any false advertisement</t>
  </si>
  <si>
    <t>65-657(i) - Food, Drugs &amp; Cosmetics Act; Forging, counterfeiting, simulating or falsely representing, or without proper authority using any mark, stamp, tag, label or other identification method authorized, or required by rules and regulations promulgated under the provisions of this act</t>
  </si>
  <si>
    <t>65-657(f) - Food, Drugs &amp; Cosmetics Act; Giving of a guaranty or undertaking which is false</t>
  </si>
  <si>
    <t>65-657(o) - Food, Drugs &amp; Cosmetics Act; Knowingly kill, sell, trade, exchange or offer to sell trade or exchange any diseased animal for human consumption</t>
  </si>
  <si>
    <t>65-657(p) - Food, Drugs &amp; Cosmetics Act; Knowingly purchase or otherwise obtain possession of any diseased animal for the purpose and intent of disposing the same for food</t>
  </si>
  <si>
    <t>65-657(m)(3) - Food, Drugs &amp; Cosmetics Act; Make, sell, dispose of or cause such, or possess with intent to defraud, any item designed to print, imprint or reproduce a trade name or other identifying mark or imprint of another or any likeness of any of the foregoing upon any drug, device or container thereof</t>
  </si>
  <si>
    <t>65-657(l) - Food, Drugs &amp; Cosmetics Act; Manufacturer, packer or distributor of a prescription drug; fail to maintain for transmittal, or fail to transmit, copies of printed matter required to be included in drug packaging, or other federally approved printed matter, to any practitioner licensed to administer such drug, upon request</t>
  </si>
  <si>
    <t>65-657(q) - Food, Drugs &amp; Cosmetics Act; Offer or expose for sale at retail, for human consumption, any slaughtered wild or domestic fowl, rabbit, squirrel or other small animal unless entrails, crops and other offensive parts are drawn and removed and carcass cooled until delivery to end consumer</t>
  </si>
  <si>
    <t>65-657(m)(1) - Food, Drugs &amp; Cosmetics Act; Place, or cause to be placed, upon any drug or device or container thereof, with intent to defraud, the trade name or other identifying mark, or imprint of another or any likeness of any of the foregoing</t>
  </si>
  <si>
    <t>65-657(c) - Food, Drugs &amp; Cosmetics Act; Receipt in commerce of any food, drug, device or cosmetic knowing it to be adulterated or misbranded, and the delivery or proffered delivery thereof for pay or otherwise</t>
  </si>
  <si>
    <t>65-682(d) - Food, Drugs &amp; Cosmetics Act; Recklessly or intentionally violate the provisions of the food, drug and cosmetic act, or its rules and regulations</t>
  </si>
  <si>
    <t>65-657(e) - Food, Drugs &amp; Cosmetics Act; Refuse to permit entry, inspection, or taking of a sample, as authorized by K.S.A. 65-674</t>
  </si>
  <si>
    <t>65-657(g) - Food, Drugs &amp; Cosmetics Act; Remove or dispose of a detained or embargoed article in violation of K.S.A. 65-660 and amendments thereto</t>
  </si>
  <si>
    <t>65-657(m)(2) - Food, Drugs &amp; Cosmetics Act; Sell, dispense, dispose of or conceal or possess with intent to sell, any drug, device or any container thereof, knowing that the trade name or other identifying mark or imprint of another or any likeness of any of the foregoing has been placed thereon with intent 65-657(m)(1)</t>
  </si>
  <si>
    <t>65-657(a) - Food, Drugs &amp; Cosmetics Act; The processing, storage or distribution of any food, drug, device, or cosmetic that is adulterated or misbranded</t>
  </si>
  <si>
    <t>65-657(j) - Food, Drugs &amp; Cosmetics Act; Using of any person to such person's own advantage, or revealing, any information acquired under authority of this act concerning a trade secret under the uniform trade secrets act, K.S.A. 60-3320 et seq. and amendments thereto, which is entitled to protection</t>
  </si>
  <si>
    <t>65-657(k) - Food, Drugs &amp; Cosmetics Act; Using, on the labeling of any drug or in any advertisement relating to such drug, any representation or suggestion that an application with respect to such drug is effective under K.S.A. 65-669a, and amendments thereto, or that such drug complies with the provisions of such section</t>
  </si>
  <si>
    <t>65-657(r) - Food, Drugs &amp; Cosmetics Act; Wholesale, retail food establishments, processing plants and peddlers; Failing to protect slaughtered fresh meats, fish, fowl or game for human consumption from dust, flies and other vermin or other substances that that may injuriously affect it</t>
  </si>
  <si>
    <t>65-650(a) - Food, Drugs &amp; Cosmetics; Sell prescription medicine, prescription-only drug, drug which contains ephedrine alkaloids, drug intended for human use by hypodermic injection or poison via vending machine</t>
  </si>
  <si>
    <t>65-650(b) - Food, Drugs &amp; Cosmetics; Violate requirements for sale of nonprescription drugs via vending machine</t>
  </si>
  <si>
    <t>21-5823(a)(2) - Forgery; With intent to defraud; Issuing or delivering a forged instrument knowing it is forged</t>
  </si>
  <si>
    <t>21-5823(a)(3) - Forgery; With intent to defraud; Possess, with intent to issue or deliver, any forged instrument knowing it is forged</t>
  </si>
  <si>
    <t>21-5823(a)(1) - Forgery; With intent to defraud; Without authorization; make, alter or endorse any written instrument so it appears to have been made, altered or endorsed by another; alter a written instrument so it appears to have been made at another time or with different provisions; make, alter or endorse any written instrument so it appears to have been made, altered or endorsed with authority</t>
  </si>
  <si>
    <t>40878 - Franchise; Franchise required for construction, installation, operation or maintenance of a cable television service within the corporate limits of any city</t>
  </si>
  <si>
    <t>21-5937(a)(1) - Fraudulent Acts; Aircraft Identification Numbers; Buy, distribute, receive, dispose of, conceal, operate or have in possession any aircraft or part thereof on which the assigned identification numbers do not meet the requirements of the federal aviation regulations</t>
  </si>
  <si>
    <t>21-5937(a)(2) - Fraudulent Acts; Aircraft Identification Numbers; Possess, manufacture, distribute or exchange or give away any counterfeit manufacturer's aircraft identification number plate or decal used for the purpose of identification of any aircraft</t>
  </si>
  <si>
    <t>21-5936(a)(3) - Fraudulent Aircraft Registration; Knowingly supply false information in regard to ownership of an aircraft in or operated in this state if it is determined that the firm, business or corporation is not, or has never been, a legal entity in this state or any other state or has lapsed as an entity</t>
  </si>
  <si>
    <t>21-5936(a)(2) - Fraudulent Aircraft Registration; Knowingly supply false information in regard to the name, address, business name or business address of the owner of an aircraft in or operated in the state</t>
  </si>
  <si>
    <t>21-5936(a)(1) - Fraudulent Aircraft Registration; Own, possess or operate any aircraft knowing it is registered to a nonexistent person, firm, business or corporation or to a firm, business or corporation which is no longer a legal entity</t>
  </si>
  <si>
    <t>16-305(b)(3) - Funeral &amp; Cemetery Merchandise Agreements; Misappropriation of funds &lt; $1000</t>
  </si>
  <si>
    <t>16-305(b) - Funeral &amp; Cemetery Merchandise Agreements; Misappropriation of funds; amount $25,000 or more</t>
  </si>
  <si>
    <t>16-305(b) - Funeral &amp; Cemetery Merchandise Agreements; Misappropriation of funds; amount at least $1000 but less than $25,000</t>
  </si>
  <si>
    <t>16-305(a) - Funeral &amp; Cemetery Merchandise Agreements; Violation other than misappropriation</t>
  </si>
  <si>
    <t>21-5607(b) - Furnishing Alcoholic Beverages to Minor; For illicit purposes; child less than 18</t>
  </si>
  <si>
    <t>21-5607(a) - Furnishing Alcoholic Liquor or Cereal Malt Beverage to a Minor; Recklessly buy for or distribute to minor</t>
  </si>
  <si>
    <t>21-5423(d) - Furthering Terrorism/Illegal Use of Weapons of Mass Destruction; Conduct financial transaction involving property to commit or further the commission of terrorism or illegal use of weapons of mass destruction when the transaction is disguised to conceal</t>
  </si>
  <si>
    <t>21-5423(c) - Furthering Terrorism/Illegal Use of Weapons of Mass Destruction; Intentionally direct/plan/organize/initiate/finance/manage/supervise or facilitate transportation or distribution of property used to commit or further the commission of terrorism or illegal use of weapons of mass destruction</t>
  </si>
  <si>
    <t>21-5423(b) - Furthering Terrorism/Illegal Use of Weapons of Mass Destruction; Intentionally invest/conceal/distribute/transport or maintain an interest in or otherwise make available property intended to be used to commit or further the commission of terrorism or illegal use of weapons of mass destruction</t>
  </si>
  <si>
    <t>21-5423(e) - Furthering Terrorism/Illegal Use of Weapons of Mass Destruction; Raise, solicit, collect or provide material support for planning, preparing, carrying out terrorism or illegal use of weapons of mass destruction or hindering prosecution or concealment or escape thereof</t>
  </si>
  <si>
    <t>21-5423(a) - Furthering Terrorism/Illegal Use of Weapons of Mass Destruction; Receiving or acquiring property/engaging in transactions to commit or further the commission of terrorism or illegal use of weapons of mass destruction</t>
  </si>
  <si>
    <t>21-6404(a)(2) - Gambling; Entering or remaining in a gambling place with intent to make a bet, to participate in a lottery, or to play a gambling device</t>
  </si>
  <si>
    <t>21-6404(a)(1) - Gambling; Making a bet</t>
  </si>
  <si>
    <t>21-5821(a) - Giving a Worthless Check; $25,000 or more</t>
  </si>
  <si>
    <t>21-5821(a) - Giving a Worthless Check; At least $1,000 but less than $25,000</t>
  </si>
  <si>
    <t>21-5821(a) - Giving a Worthless Check; Check drawn less than $1,000</t>
  </si>
  <si>
    <t>21-5821(a) - Giving a Worthless Check; Less than $1,000 if person has been convicted of giving a worthless check 2 or more times within 5 yrs</t>
  </si>
  <si>
    <t>21-5821(a) - Giving a Worthless Check; More than once within a 7 day period if the combined total is $25,000 or more</t>
  </si>
  <si>
    <t>21-5821(a) - Giving a Worthless Check; More than once within a 7 day period if the combined total is at least $1,000 but less than $25,000</t>
  </si>
  <si>
    <t>34-295 - Grain &amp; Forage; Negotiation of receipt for encumbered grain with intent to defraud</t>
  </si>
  <si>
    <t>34-231(a) - Grain &amp; Forage; Penalty for failure to obtain license required herein</t>
  </si>
  <si>
    <t>34-229(i) - Grain &amp; Forage; Penalty for failure to post certificate of bond or letter of credit information</t>
  </si>
  <si>
    <t>34-234(c) - Grain &amp; Forage; Penalty for refusal to comply with provisions</t>
  </si>
  <si>
    <t>34-298 - Grain &amp; Forage; Penalty for violation of act</t>
  </si>
  <si>
    <t>34-102 - Grain &amp; Forage; Public Warehouses; penalty for violation of any provision of this section</t>
  </si>
  <si>
    <t>34-251(c) - Grain &amp; Forage; Unauthorized disclosure of certain confidential information</t>
  </si>
  <si>
    <t>34-293 - Grain &amp; Forage; Unlawful issuance of receipt for warehouse grain</t>
  </si>
  <si>
    <t>405452 - Grain Commodity Commissions; Penalty for violation of act</t>
  </si>
  <si>
    <t>59-3093(a) - Guardians or Conservators; Willful violation of confidentiality of medical records and other reports</t>
  </si>
  <si>
    <t>21-6206(a)(2) - Harassment by Telefacsimile Communication</t>
  </si>
  <si>
    <t>21-6206(a)(1)(A) - Harassment by Telephone; Knowingly make or transmit any comment, request, suggestion or proposal, image or text which is obscene, lewd, lascivious or indecent</t>
  </si>
  <si>
    <t>21-6206(a)(1)(F) - Harassment by Telephone; Knowingly permit any telecommunications device under one's control to be used for harassment</t>
  </si>
  <si>
    <t>21-6206(a)(1)(E) - Harassment by Telephone; Knowingly playing any unauthorized recording on a telephone</t>
  </si>
  <si>
    <t>21-6206(a)(1)(D) - Harassment by Telephone; Make or cause a telecommunications device to repeatedly ring or activate with intent to harass any person at the receiving end</t>
  </si>
  <si>
    <t>21-6206(a)(1)(B) - Harassment by Telephone; Make or transmit a call, whether or not conversation ensues, with intent to abuse, threaten or harass any person at the receiving end</t>
  </si>
  <si>
    <t>21-6206(a)(1)(C) - Harassment by Telephone; Make or transmit any comment, request, suggestion, proposal, image or text with intent to abuse, threaten or harass any person at the receiving end</t>
  </si>
  <si>
    <t>65-2704 - Hazardous Household Articles; Hold for sale, offer for sale or sell any household article in violation of regulations</t>
  </si>
  <si>
    <t>21-5418(a) - Hazing; Recklessly coercing, demanding or encouraging hazing</t>
  </si>
  <si>
    <t>65-6804(d) - Health Care Data; Unauthorized disclosure of data and other information collected pursuant to this act by the Kansas Department of Health and Environment; making public, information which would identify individuals</t>
  </si>
  <si>
    <t>65-4927(c) - Health Care Providers; Willful and knowing failure to make a report required by K.S.A. 65-4923 or 65-4924</t>
  </si>
  <si>
    <t>40-3216 - Health Maintenance Organization Act; Penalty for violation of provisions of act</t>
  </si>
  <si>
    <t>74-3215 - Higher Education Coordination; State Board of Regents; Penalty for violation of any of the provisions of this act or any rule or policy made thereunder</t>
  </si>
  <si>
    <t>76-2029 - Historical Property; Penalty for violation of act</t>
  </si>
  <si>
    <t>65-5117(f)(5) - Home Health Agencies; Disclosure of confidential information</t>
  </si>
  <si>
    <t>65-5102 - Home Health Agencies; Home health agencies required to be licensed</t>
  </si>
  <si>
    <t>65-5116(b) - Home Health Agencies; Unlicensed employees prohibited from prefilling insulin syringes</t>
  </si>
  <si>
    <t>79-4513 - Homestead Property Tax Refunds; Fraudulently filing excessive homestead property tax claim</t>
  </si>
  <si>
    <t>65-439 - Hospitals &amp; Other Facilities; Establish, conduct, manage, or operate any medical care facility without a license</t>
  </si>
  <si>
    <t>65-427 - Hospitals &amp; Other Facilities; License required to establish, conduct or maintain a medical care facility</t>
  </si>
  <si>
    <t>65-445(c) - Hospitals &amp; Other Facilities; Violation of confidentiality provisions</t>
  </si>
  <si>
    <t>36-134 - Hotels/Lodging Houses/Restaurants; Use of flexible metal gas connector in connection with natural gas-fired movable cooking equipment which does not meet the design and construction requirements approved by the state fire marshal pursuant to K.S.A. 36-133</t>
  </si>
  <si>
    <t>21-5426(a)(2) - Human Trafficking; Intentionally benefitting financially or receiving anything of value for participation in human trafficking</t>
  </si>
  <si>
    <t>21-5426(a)(1) - Human Trafficking; Intentionally, recruiting, harboring, transporting, providing or obtaining a person for labor or services, through use of force, fraud or coercion for purpose of subjecting person to involuntary servitude or forced labor</t>
  </si>
  <si>
    <t>21-5426(a)(3)(C) - Human Trafficking; Knowingly coercing employment by obtaining or maintaining labor or services that are performed or provided by another through abusing or threatening to abuse the law or legal process</t>
  </si>
  <si>
    <t>21-5426(a)(3)(A) - Human Trafficking; Knowingly coercing employment by obtaining or maintaining labor or services that are performed or provided by another through causing or threatening to cause physical injury to any person</t>
  </si>
  <si>
    <t>21-5426(a)(3)(E) - Human Trafficking; Knowingly coercing employment by obtaining or maintaining labor or services that are performed or provided by another through knowingly destroying, concealing, removing, confiscating or possessing any actual or purported government identification document of another person</t>
  </si>
  <si>
    <t>21-5426(a)(3)(B) - Human Trafficking; Knowingly coercing employment by obtaining or maintaining labor or services that are performed or provided by another through physically restraining or threatening to physically restrain another person</t>
  </si>
  <si>
    <t>21-5426(a)(3)(D) - Human Trafficking; Knowingly coercing employment by obtaining or maintaining labor or services that are performed or provided by another through threatening to withhold food, lodging or clothing</t>
  </si>
  <si>
    <t>21-5426(a)(4) - Human Trafficking; Knowingly hold another in condition of peonage (involuntary servitude) in satisfaction of debt owed</t>
  </si>
  <si>
    <t>47-1403(b) - Humane Slaughter; Bleed/slaughter any livestock except by a humane method</t>
  </si>
  <si>
    <t>47-1404 - Humane Slaughter; Certain method of slaughter declared inhumane</t>
  </si>
  <si>
    <t>47-1403(a) - Humane Slaughter; Shackle, hoist, or otherwise bring livestock into position for slaughter, by any method which shall cause injury or pain</t>
  </si>
  <si>
    <t>21-2511(n)(1) - ID &amp; Detection of Crimes &amp; Criminals; DNA sampling; dissemination of samples or records not in accordance with applicable laws</t>
  </si>
  <si>
    <t>21-2511(m) - ID &amp; Detection of Crimes &amp; Criminals; DNA sampling; fail to provide sample as required</t>
  </si>
  <si>
    <t>21-2511(o) - ID &amp; Detection of Crimes &amp; Criminals; DNA sampling; knowingly obtaining samples without authorization</t>
  </si>
  <si>
    <t>21-2511(n)(2) - ID &amp; Detection of Crimes &amp; Criminals; DNA sampling; requesting of profile records without a legitimate need for such records</t>
  </si>
  <si>
    <t>21-2505 - ID &amp; Detection of Crimes &amp; Criminals; Neglect of any officer to furnish information required by K.S.A. 21-2501, 21-2501a, 21-2502, 21-2503, 21-2504</t>
  </si>
  <si>
    <t>8-1327(a)(9) - Identification Cards; Display canceled ID card</t>
  </si>
  <si>
    <t>8-1327(a)(3) - Identification Cards; Display ID card which belongs to another</t>
  </si>
  <si>
    <t>8-1327(a)(1) - Identification Cards; Display or possess fictitious or fraudulent ID card</t>
  </si>
  <si>
    <t>8-1327(c)(4) - Identification Cards; Display or possess fictitious/ fraudulent ID by one &lt; 21 for purchase of liquor/CMB; 1st conviction</t>
  </si>
  <si>
    <t>8-1327(c)(4) - Identification Cards; Display or possess fictitious/ fraudulent ID by one &lt; 21 for purchase of liquor/CMB; 2nd conviction</t>
  </si>
  <si>
    <t>8-1327(a)(6) - Identification Cards; Display reproduction of an ID card</t>
  </si>
  <si>
    <t>8-1327(a)(8) - Identification Cards; Fail or refuse to surrender any ID card which is canceled</t>
  </si>
  <si>
    <t>8-1327(a)(2) - Identification Cards; Lend any ID card to another or knowingly permit use by another</t>
  </si>
  <si>
    <t>8-1327(c)(2) - Identification Cards; Lend ID card to one &lt; 21 for consumption or purchase of CMB; 1st conviction</t>
  </si>
  <si>
    <t>8-1327(c)(2) - Identification Cards; Lend ID card to one &lt; 21 for consumption or purchase of CMB; 2nd conviction</t>
  </si>
  <si>
    <t>8-1327(c)(1) - Identification Cards; Lend ID card to person &lt; 21 for purchase of alcohol; 1st conviction</t>
  </si>
  <si>
    <t>8-1327(c)(1) - Identification Cards; Lend ID card to person &lt; 21 for purchase of alcohol; 2nd conviction</t>
  </si>
  <si>
    <t>8-1327(c)(3) - Identification Cards; Lend ID/DL or other ID to aid another in obtaining ID; 1st conviction</t>
  </si>
  <si>
    <t>8-1327(c)(3) - Identification Cards; Lend ID/DL or other ID to aid another in obtaining ID; 2nd conviction</t>
  </si>
  <si>
    <t>8-1327(a)(4) - Identification Cards; Permit unlawful use of ID card</t>
  </si>
  <si>
    <t>8-1327(a)(7) - Identification Cards; Reproduce ID card to be mistaken for valid</t>
  </si>
  <si>
    <t>21-6107(b)(2) - Identity Fraud; Altering, amending, counterfeiting, making, manufacturing or otherwise replicating any document containing personal identifying information with intent to deceive</t>
  </si>
  <si>
    <t>21-6107(b)(1) - Identity Fraud; Using or supplying information the person knows to be false in order to obtain a document containing personal identifying information</t>
  </si>
  <si>
    <t>21-6107(a)(2) - Identity Theft; Misrepresenting a person to subject that person to economic or bodily harm; monetary loss to victim less than $100,000</t>
  </si>
  <si>
    <t>21-6107(a)(2) - Identity Theft; Misrepresenting a person to subject that person to economic or bodily harm; monetary loss to victim more than $100,000</t>
  </si>
  <si>
    <t>21-6107(a)(1) - Identity Theft; Obtaining, possessing, transferring, using, selling or purchasing personal identifying information, with intent to defraud, to receive a benefit; monetary loss $100,000 or less</t>
  </si>
  <si>
    <t>21-6107(a)(1) - Identity Theft; Obtaining, possessing, transferring, using, selling or purchasing personal identifying information, with intent to defraud, to receive a benefit; monetary loss more than $100,000</t>
  </si>
  <si>
    <t>21-6405(a) - Illegal BINGO operation; Knowing and unlawful management, operation or conduct of such</t>
  </si>
  <si>
    <t>21-6415(a) - Illegal Ownership or Keeping of a Dog</t>
  </si>
  <si>
    <t>21-5422(a)(1)(A) - Illegal Use of Weapons of Mass Destruction; Knowingly and without lawful authority, develop, produce, stockpile, transfer, acquire, retain or possess any biological agent toxin or delivery system for use as a weapon, or attempt, conspire or solicit to commit such acts</t>
  </si>
  <si>
    <t>21-5422(a)(1)(B) - Illegal Use of Weapons of Mass Destruction; Knowingly and without lawful authority, develop, produce, stockpile, transfer, acquire, retain or possess any chemical weapon, or attempt, conspire or solicit to commit such acts</t>
  </si>
  <si>
    <t>21-5422(a)(1)(C) - Illegal Use of Weapons of Mass Destruction; Knowingly and without lawful authority, develop, produce, stockpile, transfer, acquire, retain or possess any nuclear materials or nuclear byproduct materials for use as a weapon, or attempt, conspire or solicit to commit such acts</t>
  </si>
  <si>
    <t>21-5422(a)(2) - Illegal Use of Weapons of Mass Destruction; Knowingly assist a foreign state or organization to use WMDs, or attempt, conspire or solicit to commit such acts</t>
  </si>
  <si>
    <t>21-5422(a)(3) - Illegal Use of Weapons of Mass Destruction; Threaten to use WMDs, or attempt, conspire or solicit to commit such act</t>
  </si>
  <si>
    <t>21-5830(a)(1) - Impairing a Security Interest; With intent to defraud secured party; Damage, destroy or conceal any personal property subject to a security interest; $25,000 or more</t>
  </si>
  <si>
    <t>21-5830(a)(1) - Impairing a Security Interest; With intent to defraud secured party; Damage, destroy or conceal any personal property subject to a security interest; at least $1000 but less than $25, 000</t>
  </si>
  <si>
    <t>21-5830(a)(3) - Impairing a Security Interest; With intent to defraud secured party; Fail to account for the proceeds of the sale, exchange or other disposition of any personal property subject to a security interest; $25,000 or more</t>
  </si>
  <si>
    <t>21-5830(a)(3) - Impairing a Security Interest; With intent to defraud secured party; Fail to account for the proceeds of the sale, exchange or other disposition of any personal property subject to a security interest; at least $1,000 but less than $25,000</t>
  </si>
  <si>
    <t>21-5830(a)(2) - Impairing a Security Interest; With intent to defraud secured party; Sell, exchange or otherwise dispose of any personal property subject to a security interest without consent of secured party; $25,000 or more</t>
  </si>
  <si>
    <t>21-5830(a)(2) - Impairing a Security Interest; With intent to defraud secured party; Sell, exchange or otherwise dispose of any personal property subject to a security interest without consent of secured party; at least $1,000 but less than $25,000</t>
  </si>
  <si>
    <t>21-5830(a)(1) - Impairing a Security Interest; With intent to defraud the secured party; Damaging, destroying or concealing any personal property subject to a security interest; value less than $1,000 or security interest less than $1000</t>
  </si>
  <si>
    <t>21-5830(a)(3) - Impairing a Security Interest; With intent to defraud the secured party; Failure to account to the secured party for the proceeds of the sale, exchange or other disposition of any personal property subject to a security interest; value less than $1,000 or security interest less than $1,000</t>
  </si>
  <si>
    <t>21-5830(a)(2) - Impairing a Security Interest; With intent to defraud the secured party; Unauthorized selling, exchanging or otherwise disposing of any personal property subject to a security interest without the written consent of the secured party; value less than $1,000 or security interest less than $1,000</t>
  </si>
  <si>
    <t>21-5604(a) - Incest; Marriage to or engaging in sexual intercourse or sodomy with a person who is 18 or more and a known biological relative</t>
  </si>
  <si>
    <t>21-6201(b) - Incitement to Riot</t>
  </si>
  <si>
    <t>21-6104(a) - Income Tax Returns; Unauthorized disclosure or use of information for commercial purposes</t>
  </si>
  <si>
    <t>21-6409(a)(3) - Installing Communications Facilities for Gamblers; Allowing continued use of communication facilities knowing they are being used principally for transferring information for making or settling bets</t>
  </si>
  <si>
    <t>21-6409(a)(2) - Installing Communications Facilities for Gamblers; Knowing that such facilities will be used principally for transferring information to be used in making or settling bets</t>
  </si>
  <si>
    <t>21-6409(a)(1) - Installing Communications Facilities for Gamblers; Within a place known by installer to be a gambling place</t>
  </si>
  <si>
    <t>40-3311 - Insurance Holding Company Act; Making false statements, reports or filings with intent to deceive the commissioner</t>
  </si>
  <si>
    <t>40-3311 - Insurance Holding Company Act; Willful violation of the act by a director, officer, employee or agent</t>
  </si>
  <si>
    <t>40-417 - Insurance; Fraud; knowingly/willfully make any false or fraudulent statement/representation in or with reference to any application for life insurance, or for the purpose of obtaining any fee, commission, money or benefits from any company transacting business under this act</t>
  </si>
  <si>
    <t>40-2,118(a) - Insurance; Fraudulent Acts; $25,000 or more</t>
  </si>
  <si>
    <t>40-2,118(a) - Insurance; Fraudulent Acts; an amount less than $1,000</t>
  </si>
  <si>
    <t>40-2,118(a) - Insurance; Fraudulent Acts; at least $1,000 but less than $5,000</t>
  </si>
  <si>
    <t>40-2,118(a) - Insurance; Fraudulent Acts; at least $5,000 but less than $25,000</t>
  </si>
  <si>
    <t>40-247(a) - Insurance; Insurance agent or broker failure to pay premium; $25,000 or more</t>
  </si>
  <si>
    <t>40-247(a) - Insurance; Insurance agent or broker failure to pay premium; at least $1000 less than $25,000</t>
  </si>
  <si>
    <t>40-247(a) - Insurance; Insurance agent or broker failure to pay premium; premium is less than $1000 and agent or broker has been convicted of this two or more times within 5 yrs</t>
  </si>
  <si>
    <t>40-247(a) - Insurance; Insurer or broker failing to pay premium to company; loss of &lt; $1000</t>
  </si>
  <si>
    <t>21-5922(a)(1) - Interference With Conduct of Public Business; Knowingly deny to any public official, public employee, or any invitee on such premises, the lawful rights of such official, employee, or invitee to enter, to use the facilities or to leave any such public building</t>
  </si>
  <si>
    <t>21-5922(a)(2) - Interference With Conduct of Public Business; Knowingly impede any public official or employee in the lawful performance of duties or activities through the use of restraint, abduction, coercion, or intimidation or by force and violence or threat thereof</t>
  </si>
  <si>
    <t>21-5922(a)(5) - Interference With Conduct of Public Business; Knowingly impede, disrupt or hinder the normal proceedings of any executive body or official, by any act of intrusion</t>
  </si>
  <si>
    <t>21-5922(a)(4) - Interference With Conduct of Public Business; Knowingly impede, disrupt or hinder the normal proceedings of any meeting or session conducted by a judicial or legislative body or official, by any act of intrusion or by any act designed to intimidate, coerce or hinder any member of such body or any official engaged in the performance of duties at such meeting or session</t>
  </si>
  <si>
    <t>21-5922(a)(3) - Interference With Conduct of Public Business; Knowingly refuse or fail to leave any public building upon being requested to do so by the chief administrative officer if such person is committing, threatens to commit, or incites others to commit, any act which did or would if completed, disrupt, impair, interfere with, or obstruct the lawful missions, processes, procedures or functions being carried on in such public building</t>
  </si>
  <si>
    <t>21-5410(a) - Interference With Custody; Of a committed person</t>
  </si>
  <si>
    <t>21-5904(a)(1)(D) - Interference with Law Enforcement; Falsely reporting death or disappearance of a child under 13 and intending that officer shall act in reliance upon such information</t>
  </si>
  <si>
    <t>21-5904(a)(2) - Interference with Law Enforcement; In the case of a felony; Concealing, destroying or materially altering evidence with intent to prevent or hinder the apprehension or prosecution of a person</t>
  </si>
  <si>
    <t>21-5904(a)(1)(C) - Interference with Law Enforcement; In the case of a felony; Falsely reporting to law enforcement officer or state investigative agency any information, knowing that such information is false and intending to influence, impede or obstruct such officer's or agency's duty</t>
  </si>
  <si>
    <t>21-5904(a)(1)(B) - Interference with Law Enforcement; In the case of a felony; Falsely reporting to law enforcement officer or state investigative agency that a law enforcement officer has commited a crime or misconduct in such officer's duties knowing such information is false and intending that the officer or agency act in reliance on such information</t>
  </si>
  <si>
    <t>21-5904(a)(1)(A) - Interference with Law Enforcement; In the case of a felony; Falsely reporting to law enforcement officer or state investigative agency that person has committed a crime, knowing the information is false and intending that the officer or agency act in reliance on that information</t>
  </si>
  <si>
    <t>21-5904(a)(3) - Interference with Law Enforcement; In the case of a felony; Knowingly obstruct, resist or oppose any person authorized by law to serve process in service or attempt to serve any writ, warrant, process or order of court or in discharge of any official duty</t>
  </si>
  <si>
    <t>21-5904(a)(2) - Interference with Law Enforcement; In the case of a misdemeanor; Concealing, destroying or materially altering evidence with intent to prevent or hinder the apprehension or prosecution of a person</t>
  </si>
  <si>
    <t>21-5904(a)(1)(C) - Interference with Law Enforcement; In the case of a misdemeanor; Falsely reporting to law enforcement officer or state investigative agency any information, knowing that such information is false and intending to influence, impede or obstruct such officer's or agency's duty</t>
  </si>
  <si>
    <t>21-5904(a)(1)(B) - Interference with Law Enforcement; In the case of a misdemeanor; Falsely reporting to law enforcement officer or state investigative agency that a law enforcement officer has commited a crime or misconduct in such officer's duties knowing such information is false and intending that the officer or agency act in reliance on such information</t>
  </si>
  <si>
    <t>21-5904(a)(1)(A) - Interference with Law Enforcement; In the case of a misdemeanor; Falsely reporting to law enforcement officer or state investigative agency that person has committed a crime, knowing the information is false and intending that the officer or agency act in reliance on that information</t>
  </si>
  <si>
    <t>21-5904(a)(3) - Interference with Law Enforcement; In the case of a misdemeanor; Knowingly obstruct, resist or oppose any person authorized by law to serve process in service or attempt to serve any writ, warrant, process or order of court or in discharge of any official duty</t>
  </si>
  <si>
    <t>21-5409(a) - Interference With Parental Custody; By parent if parent is entitled to joint custody</t>
  </si>
  <si>
    <t>21-5409(a) - Interference with Parental Custody; Taking or enticing away any child under 16 with intent to detain or conceal such child from parent, guardian, or other person having the lawful charge of the child</t>
  </si>
  <si>
    <t>21-5905(a)(1) - Interference with the Judicial Process; Attempting to Influence a Judicial Officer</t>
  </si>
  <si>
    <t>21-5905(a)(2)(A) - Interference with the Judicial Process; Attempting to influence, impede or obstruct a judicial officer or prosecutor by communicating threat of violence</t>
  </si>
  <si>
    <t>21-5905(a)(2)(B) - Interference with the Judicial Process; Attempting to influence, impede or obstruct a judicial officer or prosecutor by harassing by repeated vituperative (abusive) communication</t>
  </si>
  <si>
    <t>21-5905(a)(3) - Interference with the Judicial Process; Attempting to influence, impede or obstruct a judicial officer or prosecutor by picketing, parading or demonstrating in or near a building housing a judicial officer or prosecutor</t>
  </si>
  <si>
    <t>21-5905(a)(2)(C) - Interference with the Judicial Process; Attempting to influence, impede or obstruct a judicial officer or prosecutor by picketing, parading or demonstrating near a judicial officer's or prosecutor's residence</t>
  </si>
  <si>
    <t>21-5905(a)(6)(B) - Interference with the Judicial Process; Corrupt Conduct of a Juror; Intentionally promising or agree to wrongfully give a verdict for or against any party in any proceeding</t>
  </si>
  <si>
    <t>21-5905(a)(6)(A) - Interference with the Judicial Process; Corrupt Conduct of a Juror; Intentionally soliciting, accepting or agreeing to accept a benefit as consideration for a promise to wrongfully give a verdict for or against any party in any proceeding</t>
  </si>
  <si>
    <t>21-5905(a)(6)(C) - Interference with the Judicial Process; Corrupt Conduct of a Juror; Knowingly receive evidence or information pertaining to the trial of which such juror has been or will be sworn, without the authority of the court or officer before whom such juror has been summoned, and without immediate disclosure of the same</t>
  </si>
  <si>
    <t>21-5905(a)(5)(C) - Interference with the Judicial Process; In the case of a felony; Intentionally in any criminal proceeding or investigation; Alter, damage, remove or destroy any record, document or thing with intent to prevent its production or use as evidence</t>
  </si>
  <si>
    <t>21-5905(a)(5)(A) - Interference with the Judicial Process; In the case of a felony; Intentionally in any criminal proceeding or investigation; Induce witness or informant to withhold or unreasonably delay producing testimony, information, document or thing</t>
  </si>
  <si>
    <t>21-5905(a)(5)(D) - Interference with the Judicial Process; In the case of a felony; Intentionally in any criminal proceeding or investigation; Make, present, or use a false record, document or thing with intent that the same appear in evidence to mislead the court, master or law enforcement officer</t>
  </si>
  <si>
    <t>21-5905(a)(5)(B) - Interference with the Judicial Process; In the case of a felony; Intentionally in any criminal proceeding or investigation; withhold or unreasonably delay production of testimony, information, document or thing after a court orders production of the same</t>
  </si>
  <si>
    <t>21-5905(a)(5)(C) - Interference with the Judicial Process; Intentionally in any criminal proceeding or investigation; Alter, damage, remove or destroy any record, document or thing the  intent to prevent its production or use as evidence</t>
  </si>
  <si>
    <t>21-5905(a)(5)(A) - Interference with the Judicial Process; Intentionally in any criminal proceeding or investigation; Induce witness or informant to withhold or unreasonably delay producing testimony, information, document or thing</t>
  </si>
  <si>
    <t>21-5905(a)(5)(D) - Interference with the Judicial Process; Intentionally in any criminal proceeding or investigation; Make, present, or use a false record, document or thing with the intent that the same appear in evidence to mislead the court, master or law enforcement officer</t>
  </si>
  <si>
    <t>21-5905(a)(5)(B) - Interference with the Judicial Process; Intentionally in any criminal proceeding or investigation; withhold or unreasonably delay production of testimony, information, document or thing after a court orders production of the same</t>
  </si>
  <si>
    <t>21-5905(a)(4)(A) - Interference with the Judicial Process; Knowingly accepting or agreeing to accept anything of value as consideration for a promise not to initiate or aid in a prosecution if the crime is a felony</t>
  </si>
  <si>
    <t>21-5905(a)(4)(B) - Interference with the Judicial Process; Knowingly accepting or agreeing to accept anything of value as consideration for a promise to conceal or destroy evidence of a crime if the crime is a felony</t>
  </si>
  <si>
    <t>21-5905(a)(4)(B) - Interference with the Judicial Process; Knowingly accepting or agreeing to accept anything of value as consideration for a promise to conceal or destroy evidence of a misdemeanor</t>
  </si>
  <si>
    <t>21-5905(a)(4)(A) - Interference with the Judicial Process; Knowingly accepting or agreeing to accept anything of value as consideration for a promise to not to initiate or aid in a prosecution of a person who has committed a misdemeanor</t>
  </si>
  <si>
    <t>21-5905(a)(7) - Interference with the Judicial Process; Knowingly making available personal information about a judge or a judge's immediate family member if dissemination of such information poses an imminent and serious threat to such judge or family member and person knows or reasonably should know of such threat; 1st conviction</t>
  </si>
  <si>
    <t>21-5905(a)(7) - Interference with the Judicial Process; Knowingly making available personal information about a judge or a judge's immediate family member if dissemination of such information poses an imminent and serious threat to such judge or family member and person knows or reasonably should know of such threat; 2nd or subsequent conviction</t>
  </si>
  <si>
    <t>38-1206 - Interstate Compact on Placement of Children; Failure of any professional to comply with provisions of compact</t>
  </si>
  <si>
    <t>21-5909(a)(1) - Intimidation of Witness or Victim; Prevent or dissuade, or attempt to prevent or dissuade any witness or victim from attending or giving testimony at any civil or criminal trial, proceeding or inquiry authorized by law</t>
  </si>
  <si>
    <t>21-5909(a)(2)(D) - Intimidation of Witness or Victim; Prevent or dissuade, or attempt to prevent or dissuade any witness, victim or person acting on behalf of a victim from arresting, causing or seeking the arrest of any person in connection with the victimization of a victim</t>
  </si>
  <si>
    <t>21-5909(a)(2)(C) - Intimidation of Witness or Victim; Prevent or dissuade, or attempt to prevent or dissuade any witness, victim or person acting on behalf of a victim from causing a civil action to be filed and prosecuted and assisting in its prosecution</t>
  </si>
  <si>
    <t>21-5909(a)(2)(B) - Intimidation of Witness or Victim; Prevent or dissuade, or attempt to prevent or dissuade any witness, victim or person acting on behalf of a victim from causing a complaint, indictment or information to be sought and prosecuted, or causing a violation of probation, parole or assignment to a community correctional services program to be reported and prosecuted, and assisting in its prosecution</t>
  </si>
  <si>
    <t>21-5909(a)(2)(A) - Intimidation of Witness or Victim; Prevent or dissuade, or attempt to prevent or dissuade any witness, victim or person acting on behalf of a victim from making any report of the victimization of a victim</t>
  </si>
  <si>
    <t>42-389 - Irrigation Districts; Discrimination in rates unlawful</t>
  </si>
  <si>
    <t>42-3,102 - Irrigation Districts; Failure of proprietors to construct or maintain head gate</t>
  </si>
  <si>
    <t>42-3,101 - Irrigation Districts; Failure to construct devices, or to lock head gate and deliver key, or to maintain such devices</t>
  </si>
  <si>
    <t>42-390 - Irrigation Districts; Penalty for excessive charges</t>
  </si>
  <si>
    <t>42-391 - Irrigation Districts; Refusal to furnish water upon tender of charges</t>
  </si>
  <si>
    <t>42-399 - Irrigation Districts; Unlawful acts affecting artesian well</t>
  </si>
  <si>
    <t>42-395 - Irrigation Districts; Unlawful acts affecting works</t>
  </si>
  <si>
    <t>42-394 - Irrigation Districts; Waste of water by water bailiff, ditch rider, superintendent or other in charge</t>
  </si>
  <si>
    <t>42-122 - Irrigation; Unlawful acts affecting irrigating canals where ditch company has secured the right of way</t>
  </si>
  <si>
    <t>43-161 - Jurors; Failure to or falsely answering questions on juror questionnaires</t>
  </si>
  <si>
    <t>43-127 - Jurors; Penalty for seeking jury service or to have another placed on jury list</t>
  </si>
  <si>
    <t>38-2311(a) - Juvenile Justice Code; Unauthorized disclosure of juvenile diagnostic, treatment or medical records</t>
  </si>
  <si>
    <t>38-2317(h) - Juvenile Justice Code; Unauthorized disclosure of juvenile HIV or Hepatitis B test results or reports</t>
  </si>
  <si>
    <t>44-1041(a) - Kansas Act Against Discrimination; Destroying any employment records required to be kept under the laws of the state of Kansas for the purpose of hindering any proceeding commenced pursuant to this act</t>
  </si>
  <si>
    <t>44-1041(b) - Kansas Act Against Discrimination; Destroying any records or other information involved in any proceeding brought pursuant to this act for the purpose of hindering such proceedings</t>
  </si>
  <si>
    <t>44-1020 - Kansas Act Against Discrimination; Failure to comply with subpoena of Kansas Human Rights Commission or falsifying reports or other documents</t>
  </si>
  <si>
    <t>44-1039 - Kansas Act Against Discrimination; Intentionally and falsely swear, testify, affirm, declare or subscribe to any material fact upon oath or affirmation required by the Kansas act against discrimination; at felony trial</t>
  </si>
  <si>
    <t>44-1039 - Kansas Act Against Discrimination; Intentionally and falsely swear, testify, affirm, declare or subscribe to any material fact upon oath or affirmation required by the Kansas act against discrimination; at proceeding other than felony trial</t>
  </si>
  <si>
    <t>44-1013 - Kansas Act Against Discrimination; Willfully resist, prevent, impede or interfere with commission or any of its members or representatives in performance of duty under this act; willfully violate an order of the commission</t>
  </si>
  <si>
    <t>44-1117(a) - Kansas Age Discrimination In Employment Act; Willfully resist, prevent, impede or interfere with the commission, members or representatives in the performance of duty under this act or willfully violate an order of the commission</t>
  </si>
  <si>
    <t>65-2860 - Kansas Healing Arts Act; False impersonation</t>
  </si>
  <si>
    <t>65-2861 - Kansas Healing Arts Act; False swearing</t>
  </si>
  <si>
    <t>65-28,107(c) - Kansas Healing Arts Act; Falsify or forge the declaration of another/willfully conceal or withhold personal knowledge of the revocation of a declaration with intent to cause a withholding or withdrawal of life-sustaining procedures contrary to the wishes of the declarant, and which directly causes life-sustaining procedures to be withheld or withdrawn and death to be hastened</t>
  </si>
  <si>
    <t>65-2859 - Kansas Healing Arts Act; Filling false documents</t>
  </si>
  <si>
    <t>65-2803(a) - Kansas Healing Arts Act; License prerequisite to practice</t>
  </si>
  <si>
    <t>65-2867 - Kansas Healing Arts Act; Open/maintain an office for practice of the healing arts or, announce/hold out to the public the intention, authority or skill to practice the healing arts by the use of any professional degree or designation, sign, card, circular, device, advertisement or representation if not licensed</t>
  </si>
  <si>
    <t>65-2862 - Kansas Healing Arts Act; Penalties for violations of act; 1st and 2nd conviction</t>
  </si>
  <si>
    <t>65-2839a(c) - Kansas Healing Arts Act; Unauthorized disclosure of criminal history record information, criminal intelligence information and information relating to criminal and background investigations</t>
  </si>
  <si>
    <t>65-28,107(b) - Kansas Healing Arts Act; Willfully conceal, cancel, deface, obliterate or damage the declaration of another without declarant's consent; falsify or forge a revocation of the declaration of another</t>
  </si>
  <si>
    <t>74-2135 - Kansas Highway Patrol; Violation of rules/regulations checks for verification on VIN's/fraud</t>
  </si>
  <si>
    <t>41-405 - Kansas Liquor Control Act; Warehouse; false reports and unlawful removal</t>
  </si>
  <si>
    <t>9-512 - Kansas Money Transmitter Act; Penalty for knowingly violating provisions of the Act</t>
  </si>
  <si>
    <t>22-4903(b) - Kansas Offender Registration Act; Aggravated failure to register as required                                                                                            * See 2016 Supp. K.S.A. 22-4903</t>
  </si>
  <si>
    <t>22-4903(a) - Kansas Offender Registration Act; Failure to register as required; 1st conviction                                                                                       * See 2016 Supp. K.S.A. 22-4903</t>
  </si>
  <si>
    <t>22-4903(a) - Kansas Offender Registration Act; Failure to register as required; 2nd conviction                                                                                      * See 2016 Supp. K.S.A. 22-4903</t>
  </si>
  <si>
    <t>22-4903(a) - Kansas Offender Registration Act; Failure to register as required; 3rd and subs. conviction                                                                      * See 2016 Supp. K.S.A. 22-4903</t>
  </si>
  <si>
    <t>22-4903(a) - Kansas Offender Registration Act; Failure to remit payment as required by K.S.A. 22-4905(k); failure to remit one full payment                                        * See 2016 Supp. K.S.A. 22-4903</t>
  </si>
  <si>
    <t>22-4903(a) - Kansas Offender Registration Act; Failure to remit payment as required by K.S.A. 22-4905(k); failure to remit two or more full payments                          * See 2016 Supp. K.S.A. 22-4903</t>
  </si>
  <si>
    <t>47-2007 - Kansas Sheep Council; Violation of provisions of act</t>
  </si>
  <si>
    <t>17-12a101 et. seq. - Kansas Uniform Securities Act; Criminal Penalties; Intentional violation of this act, or rule adopted or order issued under this act, except as provided in subsections (a) (2) through (a) (4) of K.S.A. 17-12a508, K.S.A. 2005 Supp. 17-12a504, (filing requirement) and amendments thereto, or the notice filing requirements of K.S.A. 2005 Supp. 17-12a302, (required filing of record) or 17-12a405, (notice filing requirement) and amendments thereto.  An individual may be fined, but not imprisoned, if the individual did not have knowledge of the rule or order</t>
  </si>
  <si>
    <t>17-12a101 et. seq. - Kansas Uniform Securities Act; Criminal Penalties; Intentional violation of this act, or rule adopted or order issued under this act, except as provided in subsections (a) (2) through (a) (4) of K.S.A. 17-12a508, K.S.A. 2005 Supp. 17-12a504, (filing requirement) or the notice filing requirements of K.S.A. 2005 Supp. 17-12a302, (required filing of record) or 17-12a405, (notice filing requirement); if the victim was an elder person  An individual may be fined, but not imprisoned, if the individual did not have knowledge of the rule or order</t>
  </si>
  <si>
    <t>17-12a502(a)(1) - Kansas Uniform Securities Act; Intentional fraud in providing investment advice; employ a device, scheme, or artifice to defraud another; $1,000,000 or more (presumptive imprisonment)</t>
  </si>
  <si>
    <t>17-12a502(a)(1) - Kansas Uniform Securities Act; Intentional fraud in providing investment advice; employ a device, scheme, or artifice to defraud another; $1,000,000 or more; if victim was an elder person (presumptive imprisonment)</t>
  </si>
  <si>
    <t>17-12a502(a)(1) - Kansas Uniform Securities Act; Intentional fraud in providing investment advice; employ a device, scheme, or artifice to defraud another; at least $100,000 but less than $250,000 (presumptive imprisonment)</t>
  </si>
  <si>
    <t>17-12a502(a)(1) - Kansas Uniform Securities Act; Intentional fraud in providing investment advice; employ a device, scheme, or artifice to defraud another; at least $100,000 but less than $250,000; if victim was an elder person (presumptive imprisonment)</t>
  </si>
  <si>
    <t>17-12a502(a)(1) - Kansas Uniform Securities Act; Intentional fraud in providing investment advice; employ a device, scheme, or artifice to defraud another; at least $25,000 but less than $100,000 (presumptive imprisonment)</t>
  </si>
  <si>
    <t>17-12a502(a)(1) - Kansas Uniform Securities Act; Intentional fraud in providing investment advice; employ a device, scheme, or artifice to defraud another; at least $25,000 but less than $100,000; if victim was an elder person (presumptive imprisonment)</t>
  </si>
  <si>
    <t>17-12a502(a)(1) - Kansas Uniform Securities Act; Intentional fraud in providing investment advice; employ a device, scheme, or artifice to defraud another; at least $250,000 but less than $1,000,000 (presumptive imprisonment)</t>
  </si>
  <si>
    <t>17-12a502(a)(1) - Kansas Uniform Securities Act; Intentional fraud in providing investment advice; employ a device, scheme, or artifice to defraud another; at least $250,000 but less than $1,000,000; if victim was an elder person (presumptive imprisonment)</t>
  </si>
  <si>
    <t>17-12a502(a)(1) - Kansas Uniform Securities Act; Intentional fraud in providing investment advice; employ a device, scheme, or artifice to defraud another; less than $25,000</t>
  </si>
  <si>
    <t>17-12a502(a)(1) - Kansas Uniform Securities Act; Intentional fraud in providing investment advice; employ a device, scheme, or artifice to defraud another; less than $25,000; if victim was an elder person</t>
  </si>
  <si>
    <t>17-12a502(a)(2) - Kansas Uniform Securities Act; Intentional fraud in providing investment advice; engage in act, practice, or course of business that operates as a fraud or deceit; $1,000,000 or more (presumptive imprisonment)</t>
  </si>
  <si>
    <t>17-12a502(a)(2) - Kansas Uniform Securities Act; Intentional fraud in providing investment advice; engage in act, practice, or course of business that operates as a fraud or deceit; $1,000,000 or more; if victim was an elder person (presumptive imprisonment)</t>
  </si>
  <si>
    <t>17-12a502(a)(2) - Kansas Uniform Securities Act; Intentional fraud in providing investment advice; engage in act, practice, or course of business that operates as a fraud or deceit; at least $100,000 but less than $250,000 (presumptive imprisonment)</t>
  </si>
  <si>
    <t>17-12a502(a)(2) - Kansas Uniform Securities Act; Intentional fraud in providing investment advice; engage in act, practice, or course of business that operates as a fraud or deceit; at least $100,000 but less than $250,000; if victim was an elder person (presumptive imprisonment)</t>
  </si>
  <si>
    <t>17-12a502(a)(2) - Kansas Uniform Securities Act; Intentional fraud in providing investment advice; engage in act, practice, or course of business that operates as a fraud or deceit; at least $25,000 but less than $100,000 (presumptive imprisonment)</t>
  </si>
  <si>
    <t>17-12a502(a)(2) - Kansas Uniform Securities Act; Intentional fraud in providing investment advice; engage in act, practice, or course of business that operates as a fraud or deceit; at least $25,000 but less than $100,000; if victim was an elder person (presumptive imprisonment)</t>
  </si>
  <si>
    <t>17-12a502(a)(2) - Kansas Uniform Securities Act; Intentional fraud in providing investment advice; engage in act, practice, or course of business that operates as a fraud or deceit; at least $250,000 but less than $1,000,000 (presumptive imprisonment)</t>
  </si>
  <si>
    <t>17-12a502(a)(2) - Kansas Uniform Securities Act; Intentional fraud in providing investment advice; engage in act, practice, or course of business that operates as a fraud or deceit; at least $250,000 but less than $1,000,000; if victim was an elder person (presumptive imprisonment)</t>
  </si>
  <si>
    <t>17-12a502(a)(2) - Kansas Uniform Securities Act; Intentional fraud in providing investment advice; engage in act, practice, or course of business that operates as a fraud or deceit; less than $25,000</t>
  </si>
  <si>
    <t>17-12a502(a)(2) - Kansas Uniform Securities Act; Intentional fraud in providing investment advice; engage in act, practice, or course of business that operates as a fraud or deceit; less than $25,000; if victim was an elder person</t>
  </si>
  <si>
    <t>17-12a501(1) - Kansas Uniform Securities Act; Intentional general fraud in connection with offer, sale, or purchase of a security; employing device, scheme or artifice to defraud; $1,000,000 or more (presumptive imprisonment)</t>
  </si>
  <si>
    <t>17-12a501(1) - Kansas Uniform Securities Act; Intentional general fraud in connection with offer, sale, or purchase of a security; employing device, scheme or artifice to defraud; $1,000,000 or more; if victim was an elder person (presumptive imprisonment)</t>
  </si>
  <si>
    <t>17-12a501(1) - Kansas Uniform Securities Act; Intentional general fraud in connection with offer, sale, or purchase of a security; employing device, scheme or artifice to defraud; at least $100,000 but less than $250,000 (presumptive imprisonment)</t>
  </si>
  <si>
    <t>17-12a501(1) - Kansas Uniform Securities Act; Intentional general fraud in connection with offer, sale, or purchase of a security; employing device, scheme or artifice to defraud; at least $100,000 but less than $250,000; if victim was an elder person (presumptive imprisonment)</t>
  </si>
  <si>
    <t>17-12a501(1) - Kansas Uniform Securities Act; Intentional general fraud in connection with offer, sale, or purchase of a security; employing device, scheme or artifice to defraud; at least $25,000 but less than $100,000 (presumptive imprisonment)</t>
  </si>
  <si>
    <t>17-12a501(1) - Kansas Uniform Securities Act; Intentional general fraud in connection with offer, sale, or purchase of a security; employing device, scheme or artifice to defraud; at least $25,000 but less than $100,000; if victim was an elder person (presumptive imprisonment)</t>
  </si>
  <si>
    <t>17-12a501(1) - Kansas Uniform Securities Act; Intentional general fraud in connection with offer, sale, or purchase of a security; employing device, scheme or artifice to defraud; at least $250,000 but at less than $1,000,000 (presumptive imprisonment)</t>
  </si>
  <si>
    <t>17-12a501(1) - Kansas Uniform Securities Act; Intentional general fraud in connection with offer, sale, or purchase of a security; employing device, scheme or artifice to defraud; at least $250,000 but at less than $1,000,000; if victim was an elder person (presumptive imprisonment)</t>
  </si>
  <si>
    <t>17-12a501(1) - Kansas Uniform Securities Act; Intentional general fraud in connection with offer, sale, or purchase of a security; employing device, scheme or artifice to defraud; less than $25,000</t>
  </si>
  <si>
    <t>17-12a501(1) - Kansas Uniform Securities Act; Intentional general fraud in connection with offer, sale, or purchase of a security; employing device, scheme or artifice to defraud; less than $25,000; if victim was an elder person</t>
  </si>
  <si>
    <t>17-12a501(3) - Kansas Uniform Securities Act; Intentional general fraud in connection with offer, sale, or purchase of a security; engage in act, practice, or course of business that operates as a fraud or deceit; $1,000,000 or more (presumptive imprisonment)</t>
  </si>
  <si>
    <t>17-12a501(3) - Kansas Uniform Securities Act; Intentional general fraud in connection with offer, sale, or purchase of a security; engage in act, practice, or course of business that operates as a fraud or deceit; $1,000,000 or more; if victim was an elder person (presumptive imprisonment)</t>
  </si>
  <si>
    <t>17-12a501(3) - Kansas Uniform Securities Act; Intentional general fraud in connection with offer, sale, or purchase of a security; engage in act, practice, or course of business that operates as a fraud or deceit; at least $100,000 but less than $250,000 (presumptive imprisonment)</t>
  </si>
  <si>
    <t>17-12a501(3) - Kansas Uniform Securities Act; Intentional general fraud in connection with offer, sale, or purchase of a security; engage in act, practice, or course of business that operates as a fraud or deceit; at least $100,000 but less than $250,000; if victim was an elder person (presumptive imprisonment)</t>
  </si>
  <si>
    <t>17-12a501(3) - Kansas Uniform Securities Act; Intentional general fraud in connection with offer, sale, or purchase of a security; engage in act, practice, or course of business that operates as a fraud or deceit; at least $25,000 but less than $100,000 (presumptive imprisonment)</t>
  </si>
  <si>
    <t>17-12a501(3) - Kansas Uniform Securities Act; Intentional general fraud in connection with offer, sale, or purchase of a security; engage in act, practice, or course of business that operates as a fraud or deceit; at least $25,000 but less than $100,000; if victim was an elder person (presumptive imprisonment)</t>
  </si>
  <si>
    <t>17-12a501(3) - Kansas Uniform Securities Act; Intentional general fraud in connection with offer, sale, or purchase of a security; engage in act, practice, or course of business that operates as a fraud or deceit; at least $250,000 but less than $1,000,000 (presumptive imprisonment)</t>
  </si>
  <si>
    <t>17-12a501(3) - Kansas Uniform Securities Act; Intentional general fraud in connection with offer, sale, or purchase of a security; engage in act, practice, or course of business that operates as a fraud or deceit; at least $250,000 but less than $1,000,000; if victim was an elder person (presumptive imprisonment)</t>
  </si>
  <si>
    <t>17-12a501(3) - Kansas Uniform Securities Act; Intentional general fraud in connection with offer, sale, or purchase of a security; engage in act, practice, or course of business that operates as a fraud or deceit; less than $25,000</t>
  </si>
  <si>
    <t>17-12a501(3) - Kansas Uniform Securities Act; Intentional general fraud in connection with offer, sale, or purchase of a security; engage in act, practice, or course of business that operates as a fraud or deceit; less than $25,000; if victim was an elder person</t>
  </si>
  <si>
    <t>17-12a501(2) - Kansas Uniform Securities Act; Intentional general fraud in connection with offer, sale, or purchase of a security; false statement of or omission of material fact; $1,000,000 or more (presumptive imprisonment)</t>
  </si>
  <si>
    <t>17-12a501(2) - Kansas Uniform Securities Act; Intentional general fraud in connection with offer, sale, or purchase of a security; false statement of or omission of material fact; $1,000,000 or more; if victim was an elder person (presumptive imprisonment)</t>
  </si>
  <si>
    <t>17-12a501(2) - Kansas Uniform Securities Act; Intentional general fraud in connection with offer, sale, or purchase of a security; false statement of or omission of material fact; at least $100,000 but less than $250,000 (presumptive imprisonment)</t>
  </si>
  <si>
    <t>17-12a501(2) - Kansas Uniform Securities Act; Intentional general fraud in connection with offer, sale, or purchase of a security; false statement of or omission of material fact; at least $100,000 but less than $250,000; if victim was an elder person (presumptive imprisonment)</t>
  </si>
  <si>
    <t>17-12a501(2) - Kansas Uniform Securities Act; Intentional general fraud in connection with offer, sale, or purchase of a security; false statement of or omission of material fact; at least $25,000 but less than $100,000 (presumptive imprisonment)</t>
  </si>
  <si>
    <t>17-12a501(2) - Kansas Uniform Securities Act; Intentional general fraud in connection with offer, sale, or purchase of a security; false statement of or omission of material fact; at least $25,000 but less than $100,000; if victim was an elder person (presumptive imprisonment)</t>
  </si>
  <si>
    <t>17-12a501(2) - Kansas Uniform Securities Act; Intentional general fraud in connection with offer, sale, or purchase of a security; false statement of or omission of material fact; at least $250,000 but less than $1,000,000 (presumptive imprisonment)</t>
  </si>
  <si>
    <t>17-12a501(2) - Kansas Uniform Securities Act; Intentional general fraud in connection with offer, sale, or purchase of a security; false statement of or omission of material fact; at least $250,000 but less than $1,000,000; if victim was an elder person (presumptive imprisonment)</t>
  </si>
  <si>
    <t>17-12a501(2) - Kansas Uniform Securities Act; Intentional general fraud in connection with offer, sale, or purchase of a security; false statement of or omission of material fact; less than $25,000</t>
  </si>
  <si>
    <t>17-12a501(2) - Kansas Uniform Securities Act; Intentional general fraud in connection with offer, sale, or purchase of a security; false statement of or omission of material fact; less than $25,000; if victim was an elder person</t>
  </si>
  <si>
    <t>17-12a402(d) - Kansas Uniform Securities Act; Intentional violation of agent limits on employment or association</t>
  </si>
  <si>
    <t>17-12a402(d) - Kansas Uniform Securities Act; Intentional violation of agent limits on employment or association; if victim was an elder person</t>
  </si>
  <si>
    <t>17-12a402(a) - Kansas Uniform Securities Act; Intentional violation of agent registration requirements; $100,000 or more (presumptive imprisonment)</t>
  </si>
  <si>
    <t>17-12a402(a) - Kansas Uniform Securities Act; Intentional violation of agent registration requirements; $100,000 or more; if victim was an elder person (presumptive imprisonment)</t>
  </si>
  <si>
    <t>17-12a402(a) - Kansas Uniform Securities Act; Intentional violation of agent registration requirements; at least $25,000 but less than $100,000 (presumptive imprisonment)</t>
  </si>
  <si>
    <t>17-12a402(a) - Kansas Uniform Securities Act; Intentional violation of agent registration requirements; at least $25,000 but less than $100,000; if victim was an elder person (presumptive imprisonment)</t>
  </si>
  <si>
    <t>17-12a402(a) - Kansas Uniform Securities Act; Intentional violation of agent registration requirements; less than $25,000</t>
  </si>
  <si>
    <t>17-12a402(a) - Kansas Uniform Securities Act; Intentional violation of agent registration requirements; less than $25,000; if victim was an elder person</t>
  </si>
  <si>
    <t>17-12a401(c) - Kansas Uniform Securities Act; Intentional violation of broker-dealer limits on employment or association</t>
  </si>
  <si>
    <t>17-12a401(c) - Kansas Uniform Securities Act; Intentional violation of broker-dealer limits on employment or association; if victim was an elder person</t>
  </si>
  <si>
    <t>17-12a401(a) - Kansas Uniform Securities Act; Intentional violation of broker-dealer registration requirements; $100,000 or more (presumptive imprisonment)</t>
  </si>
  <si>
    <t>17-12a401(a) - Kansas Uniform Securities Act; Intentional violation of broker-dealer registration requirements; $100,000 or more; if victim was an elder person (presumptive imprisonment)</t>
  </si>
  <si>
    <t>17-12a401(a) - Kansas Uniform Securities Act; Intentional violation of broker-dealer registration requirements; at least $25,000 but less than $100,000 (presumptive imprisonment)</t>
  </si>
  <si>
    <t>17-12a401(a) - Kansas Uniform Securities Act; Intentional violation of broker-dealer registration requirements; at least $25,000 but less than $100,000; if victim was an elder person (presumptive imprisonment)</t>
  </si>
  <si>
    <t>17-12a401(a) - Kansas Uniform Securities Act; Intentional violation of broker-dealer registration requirements; less than $25,000</t>
  </si>
  <si>
    <t>17-12a401(a) - Kansas Uniform Securities Act; Intentional violation of broker-dealer registration requirements; less than $25,000; if victim was an elder person</t>
  </si>
  <si>
    <t>17-12a403(c) - Kansas Uniform Securities Act; Intentional violation of investment adviser limits on employment or association</t>
  </si>
  <si>
    <t>17-12a403(c) - Kansas Uniform Securities Act; Intentional violation of investment adviser limits on employment or association; if victim was an elder person</t>
  </si>
  <si>
    <t>17-12a403(a) - Kansas Uniform Securities Act; Intentional violation of investment adviser registration requirements; $100,000 or more (presumptive imprisonment)</t>
  </si>
  <si>
    <t>17-12a403(a) - Kansas Uniform Securities Act; Intentional violation of investment adviser registration requirements; $100,000 or more; if victim was an elder person (presumptive imprisonment)</t>
  </si>
  <si>
    <t>17-12a403(a) - Kansas Uniform Securities Act; Intentional violation of investment adviser registration requirements; at least $25,000 but less than $100,000 (presumptive imprisonment)</t>
  </si>
  <si>
    <t>17-12a403(a) - Kansas Uniform Securities Act; Intentional violation of investment adviser registration requirements; at least $25,000 but less than $100,000; if victim was an elder person (presumptive imprisonment)</t>
  </si>
  <si>
    <t>17-12a403(a) - Kansas Uniform Securities Act; Intentional violation of investment adviser registration requirements; less than $25,000</t>
  </si>
  <si>
    <t>17-12a403(a) - Kansas Uniform Securities Act; Intentional violation of investment adviser registration requirements; less than $25,000; if victim was an elder person</t>
  </si>
  <si>
    <t>17-12a404(e) - Kansas Uniform Securities Act; Intentional violation of investment adviser representative limits on employment or association</t>
  </si>
  <si>
    <t>17-12a404(e) - Kansas Uniform Securities Act; Intentional violation of investment adviser representative limits on employment or association; if victim was an elder person</t>
  </si>
  <si>
    <t>17-12a403(d) - Kansas Uniform Securities Act; Intentional violation of investment adviser representative registration</t>
  </si>
  <si>
    <t>17-12a404(a) - Kansas Uniform Securities Act; Intentional violation of investment adviser representative registration requirements; $100,000 or more (presumptive imprisonment)</t>
  </si>
  <si>
    <t>17-12a404(a) - Kansas Uniform Securities Act; Intentional violation of investment adviser representative registration requirements; $100,000 or more; if victim was an elder person (presumptive imprisonment)</t>
  </si>
  <si>
    <t>17-12a404(a) - Kansas Uniform Securities Act; Intentional violation of investment adviser representative registration requirements; at least $25,000 but less than $100,000 (presumptive imprisonment)</t>
  </si>
  <si>
    <t>17-12a404(a) - Kansas Uniform Securities Act; Intentional violation of investment adviser representative registration requirements; at least $25,000 but less than $100,000; if victim was an elder person (presumptive imprisonment)</t>
  </si>
  <si>
    <t>17-12a404(a) - Kansas Uniform Securities Act; Intentional violation of investment adviser representative registration requirements; less than $25,000</t>
  </si>
  <si>
    <t>17-12a404(a) - Kansas Uniform Securities Act; Intentional violation of investment adviser representative registration requirements; less than $25,000; if victim was an elder person</t>
  </si>
  <si>
    <t>17-12a403(d) - Kansas Uniform Securities Act; Intentional violation of investment adviser representative registration; if victim was an elder person</t>
  </si>
  <si>
    <t>17-12a301(1) - Kansas Uniform Securities Act; Intentional, unlawful offering or selling security in this state; security not a federally covered security; $100,000 or more (presumptive imprisonment)</t>
  </si>
  <si>
    <t>17-12a301(1) - Kansas Uniform Securities Act; Intentional, unlawful offering or selling security in this state; security not a federally covered security; $100,000 or more; if victim was an elder person (presumptive imprisonment)</t>
  </si>
  <si>
    <t>17-12a301(1) - Kansas Uniform Securities Act; Intentional, unlawful offering or selling security in this state; security not a federally covered security; at least $25,000 but less than $100,000 (presumptive imprisonment)</t>
  </si>
  <si>
    <t>17-12a301(1) - Kansas Uniform Securities Act; Intentional, unlawful offering or selling security in this state; security not a federally covered security; at least $25,000 but less than $100,000; if victim was an elder person (presumptive imprisonment)</t>
  </si>
  <si>
    <t>17-12a301(1) - Kansas Uniform Securities Act; Intentional, unlawful offering or selling security in this state; security not a federally covered security; less than $25,000</t>
  </si>
  <si>
    <t>17-12a301(1) - Kansas Uniform Securities Act; Intentional, unlawful offering or selling security in this state; security not a federally covered security; less than $25,000; if victim was an elder person</t>
  </si>
  <si>
    <t>17-12a301(2) - Kansas Uniform Securities Act; Intentional, unlawful offering or selling security in this state; security not exempt from registration; $100,000 or more (presumptive imprisonment)</t>
  </si>
  <si>
    <t>17-12a301(2) - Kansas Uniform Securities Act; Intentional, unlawful offering or selling security in this state; security not exempt from registration; $100,000 or more; if victim was an elder person (presumptive imprisonment)</t>
  </si>
  <si>
    <t>17-12a301(2) - Kansas Uniform Securities Act; Intentional, unlawful offering or selling security in this state; security not exempt from registration; at least $25,000 but less than $100,000 (presumptive imprisonment)</t>
  </si>
  <si>
    <t>17-12a301(2) - Kansas Uniform Securities Act; Intentional, unlawful offering or selling security in this state; security not exempt from registration; at least $25,000 but less than $100,000; if victim was an elder person (presumptive imprisonment)</t>
  </si>
  <si>
    <t>17-12a301(2) - Kansas Uniform Securities Act; Intentional, unlawful offering or selling security in this state; security not exempt from registration; less than $25,000</t>
  </si>
  <si>
    <t>17-12a301(2) - Kansas Uniform Securities Act; Intentional, unlawful offering or selling security in this state; security not exempt from registration; less than $25,000; if victim was an elder person</t>
  </si>
  <si>
    <t>17-12a301(3) - Kansas Uniform Securities Act; Intentional, unlawful offering or selling security in this state; security not registered; $100,000 or more (presumptive imprisonment)</t>
  </si>
  <si>
    <t>17-12a301(3) - Kansas Uniform Securities Act; Intentional, unlawful offering or selling security in this state; security not registered; $100,000 or more; if victim was an elder person (presumptive imprisonment)</t>
  </si>
  <si>
    <t>17-12a301(3) - Kansas Uniform Securities Act; Intentional, unlawful offering or selling security in this state; security not registered; at least $25,000 but less than $100,000 (presumptive imprisonment)</t>
  </si>
  <si>
    <t>17-12a301(3) - Kansas Uniform Securities Act; Intentional, unlawful offering or selling security in this state; security not registered; at least $25,000 but less than $100,000; if victim was an elder person (presumptive imprisonment)</t>
  </si>
  <si>
    <t>17-12a301(3) - Kansas Uniform Securities Act; Intentional, unlawful offering or selling security in this state; security not registered; less than $25,000</t>
  </si>
  <si>
    <t>17-12a301(3) - Kansas Uniform Securities Act; Intentional, unlawful offering or selling security in this state; security not registered; less than $25,000; if victim was an elder person</t>
  </si>
  <si>
    <t>17-12a505(c)(2) - Kansas Uniform Securities Act; Misleading filings; coercion; obstruction; alter, destroy, shred, mutilate or conceal a record with intent to impair the object's integrity or availability for the use in a proceeding</t>
  </si>
  <si>
    <t>17-12a505(c)(2) - Kansas Uniform Securities Act; Misleading filings; coercion; obstruction; alter, destroy, shred, mutilate or conceal a record with intent to impair the object's integrity or availability for the use in a proceeding; if victim was an elder person</t>
  </si>
  <si>
    <t>17-12a505(c)(1) - Kansas Uniform Securities Act; Misleading filings; coercion; obstruction; alter, destroy, shred, mutilate, conceal, cover up or falsify any record with intent to impede, obstruct or influence an investigation</t>
  </si>
  <si>
    <t>17-12a505(c)(1) - Kansas Uniform Securities Act; Misleading filings; coercion; obstruction; alter, destroy, shred, mutilate, conceal, cover up or falsify any record with intent to impede, obstruct or influence an investigation; if victim was an elder person</t>
  </si>
  <si>
    <t>17-12a505(b) - Kansas Uniform Securities Act; Misleading filings; coercion; obstruction; intentionally influence, coerce, manipulate, or mislead another in connection with financial statements or appraisals to be used in offer, sale or purchase of securities</t>
  </si>
  <si>
    <t>17-12a505(b) - Kansas Uniform Securities Act; Misleading filings; coercion; obstruction; intentionally influence, coerce, manipulate, or mislead another in connection with financial statements or appraisals to be used in offer, sale or purchase of securities; if victim was an elder person</t>
  </si>
  <si>
    <t>17-12a505(a) - Kansas Uniform Securities Act; Misleading filings; coercion; obstruction; make a false or misleading statement in a material respect or omission of material fact</t>
  </si>
  <si>
    <t>17-12a505(a) - Kansas Uniform Securities Act; Misleading filings; coercion; obstruction; make a false or misleading statement in a material respect or omission of material fact; if victim was an elder person</t>
  </si>
  <si>
    <t>17-12a505(c)(3) - Kansas Uniform Securities Act; Misleading filings; coercion; obstruction; take action harmful to another with intent to retaliate, including, but not limited to, interference with lawful employment of such person</t>
  </si>
  <si>
    <t>17-12a505(c)(3) - Kansas Uniform Securities Act; Misleading filings; coercion; obstruction; take action harmful to another with intent to retaliate, including, but not limited to, interference with lawful employment of such person; if victim was an elder person</t>
  </si>
  <si>
    <t>17-12a506 - Kansas Uniform Securities Act; Misrepresentations concerning registration</t>
  </si>
  <si>
    <t>41-2905(d)(2) - Keg Registration Act; Deface beer keg ID number by person not a retailer</t>
  </si>
  <si>
    <t>41-2906(d)(2) - Keg Registration Act; Deface CMB keg ID number by person not a retailer</t>
  </si>
  <si>
    <t>41-2905(d)(3) - Keg Registration Act; Possession of beer keg without ID number by person not a retailer</t>
  </si>
  <si>
    <t>41-2906(d)(3) - Keg Registration Act; Possession of CMB keg without ID number by person not a retailer</t>
  </si>
  <si>
    <t>41-2905(d)(1) - Keg Registration Act; Removal of beer keg ID number by person who is not a retailer</t>
  </si>
  <si>
    <t>41-2906(d)(1) - Keg Registration Act; Removal of CMB keg ID number by person not a retailer</t>
  </si>
  <si>
    <t>21-5408(a)(1) - Kidnapping; For ransom, or as a shield or hostage</t>
  </si>
  <si>
    <t>21-5408(a)(2) - Kidnapping; To facilitate flight or the commission of any crime</t>
  </si>
  <si>
    <t>21-5408(a)(3) - Kidnapping; To inflict bodily injury or to terrorize the victim or another</t>
  </si>
  <si>
    <t>21-5408(a)(4) - Kidnapping; To interfere with the performance of any governmental or political function</t>
  </si>
  <si>
    <t>147225 - Labeling of Ag. Products; Grade any agricultural product, and identify it or its container, with a false established standard</t>
  </si>
  <si>
    <t>2-2302(a) - Labeling of Ag. Products; Misleading labeling</t>
  </si>
  <si>
    <t>2-2302(b) - Labeling of Ag. Products; Misleading representations</t>
  </si>
  <si>
    <t>2-2302(c) - Labeling of Ag. Products; Move into KS for sale, have possession for sale, or sale of, any agricultural product labeled or represented in a misleading manner</t>
  </si>
  <si>
    <t>44-640 - Labor &amp; Industries; Conditions of employment detrimental to health and welfare unlawful</t>
  </si>
  <si>
    <t>44-636(f) - Labor &amp; Industries; Discharge or discriminate against employee because employee filed a complaint with, or furnished information to, the secretary of labor concerning unsafe or hazardous working conditions</t>
  </si>
  <si>
    <t>44-117 - Labor &amp; Industries; Employer preventing discharged employee from obtaining employment</t>
  </si>
  <si>
    <t>44-766(a) - Labor &amp; Industries; Employment Security Law; Knowingly and intentionally misclassify an employee as an independent contractor for sole or primary purpose to avoid state income tax withholding and reporting requirements or state unemployment insurance contributions reporting requirements; 2nd violation</t>
  </si>
  <si>
    <t>44-766(a) - Labor &amp; Industries; Employment Security Law; Knowingly and intentionally misclassify an employee as an independent contractor for sole or primary purpose to avoid state income tax withholding and reporting requirements or state unemployment insurance contributions reporting requirements; 3rd or subs. violation</t>
  </si>
  <si>
    <t>44-410 - Labor &amp; Industries; Penalty for any violation of K.S.A. 44-401 through 44-412, inclusive</t>
  </si>
  <si>
    <t>44-635 - Labor &amp; Industries; Penalty for failure to testify when subpoenaed</t>
  </si>
  <si>
    <t>44-129 - Labor &amp; Industries; Penalty for Violation of Act</t>
  </si>
  <si>
    <t>44-648 - Labor &amp; Industries; Penalty for violation of act</t>
  </si>
  <si>
    <t>44-618 - Labor &amp; Industries; Penalty for violation of K.S.A. 44-601 to 44-628</t>
  </si>
  <si>
    <t>44-636(c) - Labor &amp; Industries; Remove or require to be removed, or made ineffective any practical safeguard around or safety attachment to any machinery, vats, pan, or other apparatus or device mentioned in this section while the same is in use; require or permit the operation of, or operate, the dangerous machine, apparatus or device without the required safeguards or safety attachments</t>
  </si>
  <si>
    <t>44-615 - Labor &amp; Industries; Unlawful acts against witnesses and litigants</t>
  </si>
  <si>
    <t>44-925(c) - Labor &amp; Industries; Unlawful installation or operation of any boiler or pressure vessel in this state; construction of any boiler or pressure vessel for use in this state in violation of this act, or rules and regulations hereunder</t>
  </si>
  <si>
    <t>44-616 - Labor &amp; Industries; Unlawful limitation or cessation of business operations</t>
  </si>
  <si>
    <t>44-925(a) - Labor &amp; Industries; Unlawful operation of a pressure vessel installed after January 1, 1999, or a boiler without valid inspection certificate, and the operation of a pressure vessel installed after January 1, 1999, or a boiler without such inspection certificate or at a pressure exceeding that specified in such inspection certificate</t>
  </si>
  <si>
    <t>44-617 - Labor &amp; Industries; Violations of Act; quitting employment; picketing; intimidation</t>
  </si>
  <si>
    <t>46-1116 - Legislative Post Audit; Failure to make records available for post audit</t>
  </si>
  <si>
    <t>24-811 - Levees; Summoning labor for emergency work on levee; refusing summons</t>
  </si>
  <si>
    <t>24-815 - Levees; Willfully cut, break, damage or make a leak in levee; build any cross-levee, dike or embankment, to prevent the flow of the surface water in its natural course to the sewer pipes or openings provided for the escape of such surface water, or otherwise change the contour of such levee districts by building cross-levees or embankments, or by any other act render the protection afforded by said levee to all parties less effective and complete</t>
  </si>
  <si>
    <t>21-5513(a)(1) - Lewd and Lascivious Behavior; Publicly engage sexual intercourse or sodomy with knowledge or reasonable anticipation of being viewed by others; if done in presence of persons 16 or older</t>
  </si>
  <si>
    <t>21-5513(a)(1) - Lewd and Lascivious Behavior; Publicly engaging in sexual intercourse or sodomy; In presence of person under 16</t>
  </si>
  <si>
    <t>21-5513(a)(2) - Lewd and Lascivious Behavior; Publicly expose a sex organ or expose a sex organ in presence of one not the spouse of offender without consent, with intent to arouse or gratify the sexual desires of the offender or another; if done in presence of person 16 or older</t>
  </si>
  <si>
    <t>21-5513(a)(2) - Lewd and Lascivious Behavior; Publicly exposing a sex organ or exposing a sex organ to one other than spouse; committed in presence of person under 16</t>
  </si>
  <si>
    <t>55-1102(a)(1) - Liquefied Petroleum Gas; Unlawful for any person except owner or a person authorized in writing by him or her to fill or refill such container</t>
  </si>
  <si>
    <t>55-1102(b) - Liquefied Petroleum Gas; Unlawful for any person to place the name, mark, initials or other identifying device of any person other than the owner on any liquefied petroleum gas container</t>
  </si>
  <si>
    <t>55-1102(a)(2) - Liquefied Petroleum Gas; Unlawful for person other than owner or owner's agent to buy, sell, offer for sale, give, take, loan, deliver or permit to be delivered, or otherwise use, dispose of, or traffic in any such container</t>
  </si>
  <si>
    <t>55-1102(a)(3) - Liquefied Petroleum Gas; Unlawful for person other than owner or owner's agent to deface, erase, obliterate, cover up or otherwise remove or conceal or change any such name, mark, initials or other identifying device of the owner or to place the name, mark, initials or other identifying device of any person other than the owner on such container</t>
  </si>
  <si>
    <t>55-1103 - Liquefied Petroleum Gas; Unlawful to fill or refill unmarked containers if notified by owner</t>
  </si>
  <si>
    <t>41-717 - Liquor Control Act; Certain sales on credit, in trade or by check prohibited</t>
  </si>
  <si>
    <t>41-725 - Liquor Control Act; Common carriers; must deliver only to consignee</t>
  </si>
  <si>
    <t>41-206(a) - Liquor Control Act; Division of Alcoholic Beverage Control; conflict of interest</t>
  </si>
  <si>
    <t>41-719(a) - Liquor Control Act; Drink or consume alcoholic liquor on the public streets, alleys, roads or highways or inside vehicles while on the public streets, alleys, roads or highways</t>
  </si>
  <si>
    <t>41-1107 - Liquor Control Act; Duty of county attorney; penalty for neglect; duty of attorney general</t>
  </si>
  <si>
    <t>41-407(a)(1) - Liquor Control Act; Evasion or attempt to evade payment of liquor tax</t>
  </si>
  <si>
    <t>41-905 - Liquor Control Act; False branding</t>
  </si>
  <si>
    <t>41-726 - Liquor Control Act; False statements to common carriers unlawful</t>
  </si>
  <si>
    <t>41-722 - Liquor Control Act; Giving or selling liquor to evade law declared unlawful</t>
  </si>
  <si>
    <t>41-903 - Liquor Control Act; Knowingly permitting licensee to unlawfully use premises</t>
  </si>
  <si>
    <t>41-302(a) - Liquor Control Act; Licensing &amp; Related Provisions; city option; knowingly signing a petition authorized by this section when not a qualified voter; aiding or abetting any other in the same; bribe, give or pay any money or thing of value to any person to induce such person to sign such petition</t>
  </si>
  <si>
    <t>41-710 - Liquor Control Act; Location of retail store, microbrewery or farm winery; restrictions</t>
  </si>
  <si>
    <t>41-401 - Liquor Control Act; Manufacturers/distributors provide bonded warehouses</t>
  </si>
  <si>
    <t>41-721 - Liquor Control Act; No retail licenses to issue in cities where electors voted contrary</t>
  </si>
  <si>
    <t>41-701(f) - Liquor Control Act; No supplier, wholesaler, distributor, manufacturer or importer shall by oral or written contract or agreement, expressly or impliedly fix, maintain, coerce or control the resale price of alcoholic liquor, beer or cereal malt beverage to be resold by such wholesaler, distributor, manufacturer or importer</t>
  </si>
  <si>
    <t>41-720 - Liquor Control Act; Nonbeverage licensee forbidden to give or sell alcoholic liquors</t>
  </si>
  <si>
    <t>41-803(a) - Liquor Control Act; Open Saloon</t>
  </si>
  <si>
    <t>41-805(1) - Liquor Control Act; Places and properties operated or used in violation of act</t>
  </si>
  <si>
    <t>41-407(a)(2) - Liquor Control Act; Possession of alcoholic liquor, without mark indicating payment of liquor tax</t>
  </si>
  <si>
    <t>41-508 - Liquor Control Act; Possession of untaxed liquor by retailer</t>
  </si>
  <si>
    <t>41-727(a) - Liquor Control Act; Purchase/consumption of alcoholic beverage by minor; violation by 1 18-20 yrs of age</t>
  </si>
  <si>
    <t>41-729(a) - Liquor Control Act; Retail sales at less than cost</t>
  </si>
  <si>
    <t>41-708 - Liquor Control Act; Retailer must obtain from licensed distributor</t>
  </si>
  <si>
    <t>41-713 - Liquor Control Act; Retailers; mixing drinks on premises and employment of certain persons prohibited</t>
  </si>
  <si>
    <t>41-711 - Liquor Control Act; Sale at retail forbidden on certain premises</t>
  </si>
  <si>
    <t>41-728(a) - Liquor Control Act; Sale by distributor of alcoholic liquor or CMB to a club, drinking establishment or caterer on credit prohibited; purchase of alcoholic liquor or cereal malt beverage from a distributor by a club, drinking establishment or caterer on credit prohibited</t>
  </si>
  <si>
    <t>41-712 - Liquor Control Act; Sale of liquor forbidden on certain days</t>
  </si>
  <si>
    <t>41-715(a) - Liquor Control Act; Sale of liquor to incapacitated or intoxicated person</t>
  </si>
  <si>
    <t>41-718 - Liquor Control Act; Sale only in original package; refilling prohibited</t>
  </si>
  <si>
    <t>41-728(b) - Liquor Control Act; Sales of alcoholic liquor or CMB by a distributor to a club, drinking establishment, caterer or retailer licensed under the Kansas liquor control act or under K.S.A. 41-2702 shall be separate from sales to any other club, drinking establishment, caterer or retailer even if the licensee is the same</t>
  </si>
  <si>
    <t>41-719(b) - Liquor Control Act; Unauthorized drinking / consuming alcoholic liquor on private property</t>
  </si>
  <si>
    <t>41-719(c) - Liquor Control Act; Unauthorized drinking / consuming alcoholic liquor on public property</t>
  </si>
  <si>
    <t>41-104 - Liquor Control Act; Unauthorized manufacturing, bottling, blending, selling, bartering, transporting, delivering, furnishing or possessing any alcoholic liquor for beverage purposes</t>
  </si>
  <si>
    <t>41-701(e) - Liquor Control Act; Unauthorized sale or attempted sale of alcoholic liquor or CMB by manufacturer of alcoholic liquor or cereal malt beverage</t>
  </si>
  <si>
    <t>41-701(c) - Liquor Control Act; Unauthorized sale or attempted sale of beer or CMB beverage by distributor</t>
  </si>
  <si>
    <t>41-701(a) - Liquor Control Act; Unauthorized sale or attempted sale of spirits by distributor</t>
  </si>
  <si>
    <t>41-701(b) - Liquor Control Act; Unauthorized sale or attempted sale of wine by distributor</t>
  </si>
  <si>
    <t>41-709 - Liquor Control Act; Unauthorized sale or delivery by manufacturer or distributor</t>
  </si>
  <si>
    <t>41-724 - Liquor Control Act; Unauthorized transportation of liquor into state forbidden</t>
  </si>
  <si>
    <t>41-901(a) - Liquor Control Act; Violations of act by persons required to be licensed</t>
  </si>
  <si>
    <t>79-339 - Listing Property for Taxation; Failure of Owner, lessee or operator of dock to notify assessor of watercraft on dock and owners of such</t>
  </si>
  <si>
    <t>79-337 - Listing Property for Taxation; Failure of Owner, lessee or operator of park or land to notify assessor of all mobile and manufactured homes located in park or on land</t>
  </si>
  <si>
    <t>79-333 - Listing Property for Taxation; Knowingly giving a false or fraudulent list, schedule or statement; temporarily convert any taxable property into property not taxable, to prevent such property from being listed, or to evade the payment of taxes</t>
  </si>
  <si>
    <t>79-319a - Listing Property for Taxation; Unauthorized removal of buildings from delinquent real estate</t>
  </si>
  <si>
    <t>47-1808(a) - Livestock/Domestic Animals; Bonding of livestock dealers required</t>
  </si>
  <si>
    <t>47-607(b) - Livestock/Domestic Animals; Certificates of health required</t>
  </si>
  <si>
    <t>47-1102(a) - Livestock/Domestic Animals; Deliveries in Motor Vehicles; penalty for violations</t>
  </si>
  <si>
    <t>47-1217 - Livestock/Domestic Animals; Disposal of dead animals; penalty for violations of act</t>
  </si>
  <si>
    <t>47-1827(f) - Livestock/Domestic Animals; Enter or remain on an animal facility or enter any property with intent to damage</t>
  </si>
  <si>
    <t>47-1827(b) - Livestock/Domestic Animals; Exercise control with intent to deprive owner and damage enterprise at facility</t>
  </si>
  <si>
    <t>47-1802(a) - Livestock/Domestic Animals; Fail or refuse to make payment for livestock purchased for slaughter on the day ownership is transferred unless exception applies; requirements for check payments</t>
  </si>
  <si>
    <t>47-2101(a) - Livestock/Domestic Animals; Fail to obtain a permit to engage in the business of raising domesticated deer</t>
  </si>
  <si>
    <t>47-629 - Livestock/Domestic Animals; Injection of virulent hog-cholera virus into hogs without permit unlawful</t>
  </si>
  <si>
    <t>47-1827(a) - Livestock/Domestic Animals; Intent to damage and destroy enterprise at facility, property in or on the facility; damage is $25,000 or more</t>
  </si>
  <si>
    <t>47-1827(a) - Livestock/Domestic Animals; Intent to damage and destroy enterprise at facility, property in or on the facility; damage is at least $1,000 but less than $25,000</t>
  </si>
  <si>
    <t>47-1827(e) - Livestock/Domestic Animals; Intent to damage or destroy field crop; University or private research facility or federal, state or local government; damage is $25,000 or more</t>
  </si>
  <si>
    <t>47-1827(e) - Livestock/Domestic Animals; Intent to damage or destroy field crop; University or private research facility or federal, state or local government; damage is at least $1,000 but less than $25,000</t>
  </si>
  <si>
    <t>47-1827(a) - Livestock/Domestic Animals; Intentionally damage or destroy an animal facility or animal or property in or on an animal facility without consent; less than $1,000</t>
  </si>
  <si>
    <t>47-1827(e) - Livestock/Domestic Animals; Intentionally damage or destroy any field crop product grown in the context of a product development program in conjunction or coordination with a private research facility or a university or any federal, state or local governmental agency without consent; less than $1,000</t>
  </si>
  <si>
    <t>47-2102(a) - Livestock/Domestic Animals; Intentionally releasing domesticated deer</t>
  </si>
  <si>
    <t>47-1219(b) - Livestock/Domestic Animals; Knowingly permit any dead animals, carcasses of such animals or domestic fowl, or any part thereof, to remain in any well, spring, brook, branch, river, creek, pond, road, street, alley, lane other than the person's own driveway, lot, field, meadow not owned or leased by such person or commonly-owned or public property</t>
  </si>
  <si>
    <t>47-438 - Livestock/Domestic Animals; Marks &amp; Brands; bill of sale required for sale of animals in inspection areas</t>
  </si>
  <si>
    <t>47-447 - Livestock/Domestic Animals; Marks &amp; Brands; penalty for violation of K.S.A. 47-420, 47-446, and any provisions of act</t>
  </si>
  <si>
    <t>47-440 - Livestock/Domestic Animals; Marks &amp; Brands; required contents of bill of sale</t>
  </si>
  <si>
    <t>47-421 - Livestock/Domestic Animals; Marks &amp; Brands; unlawful branding or defacing of brands</t>
  </si>
  <si>
    <t>47-439 - Livestock/Domestic Animals; Marks &amp; Brands; unlawful to fail or refuse to exhibit bill of sale</t>
  </si>
  <si>
    <t>47-442 - Livestock/Domestic Animals; Marks &amp; Brands; unlawful to move cattle within area without inspection</t>
  </si>
  <si>
    <t>47-441 - Livestock/Domestic Animals; Marks &amp; Brands; unlawful to remove cattle from area without inspection certificate</t>
  </si>
  <si>
    <t>47-422 - Livestock/Domestic Animals; Marks &amp; Brands; use of brand by other than recorded owner</t>
  </si>
  <si>
    <t>47-421(b) - Livestock/Domestic Animals; Marks &amp; Brands; willfully and knowingly brand or cause to be branded with such person's brand, or any brand not the recorded brand of the owner, any livestock being the property of another, or who shall willfully or knowingly efface, deface or obliterate any brand upon any livestock</t>
  </si>
  <si>
    <t>47-418a - Livestock/Domestic Animals; Marks &amp; Brands; willfully brand cattle in manner other than as required; falsely brand cattle so as to incorrectly designate the disease control identification or ownership of livestock</t>
  </si>
  <si>
    <t>47-421(a) - Livestock/Domestic Animals; Marks &amp; Brands; willfully brands or causes to be branded any livestock in any manner other than as required or authorized by the laws of this state and the rules and regulations of the animal health commissioner</t>
  </si>
  <si>
    <t>47-662 - Livestock/Domestic Animals; Penalty for violating act; refuse to allow examination of domestic animals for any infectious or contagious disease; hinder or obstruct any examination of or in an attempt to examine domestic animals</t>
  </si>
  <si>
    <t>47-629c - Livestock/Domestic Animals; Penalty for violating K.S.A. 47-629 to 47-629c</t>
  </si>
  <si>
    <t>47-604 - Livestock/Domestic Animals; Penalty for violating quarantine; 1st conviction</t>
  </si>
  <si>
    <t>47-604 - Livestock/Domestic Animals; Penalty for violating quarantine; 2nd or subs. conviction</t>
  </si>
  <si>
    <t>47-1219(a) - Livestock/Domestic Animals; Place any dead animals, carcasses of such animals or domestic fowl, or any part thereof, into any well, spring, brook, branch, river, creek, pond, road, street, alley, lane other than the person's own driveway, lot, field, meadow not owned or leased by such person or commonly-owned or public property</t>
  </si>
  <si>
    <t>47-607(c) - Livestock/Domestic Animals; Rules and regulations of animal health commissioner; special quarantine</t>
  </si>
  <si>
    <t>47-664 - Livestock/Domestic Animals; Sale as brucellosis or Bang's tested unlawful</t>
  </si>
  <si>
    <t>47-663 - Livestock/Domestic Animals; Sale of cattle as tuberculosis tested unlawful</t>
  </si>
  <si>
    <t>47-629a - Livestock/Domestic Animals; Sale of virulent hog-cholera virus by unauthorized vendors unlawful</t>
  </si>
  <si>
    <t>47-629b - Livestock/Domestic Animals; Sale of virulent hog-cholera virus to unauthorized purchasers unlawful</t>
  </si>
  <si>
    <t>47-237 - Livestock/Domestic Animals; Strays; unlawfully take up any stray or fail to comply with provisions act</t>
  </si>
  <si>
    <t>47-607a - Livestock/Domestic Animals; Transport uninspected animals into state without obtaining special permit if required</t>
  </si>
  <si>
    <t>47-607(a) - Livestock/Domestic Animals; Unlawful to transport uninspected animals into state</t>
  </si>
  <si>
    <t>47-1827(c)(3) - Livestock/Domestic Animals; With intent to damage &amp; without consent; enter an animal facility and commit or attempt to commit a prohibited act</t>
  </si>
  <si>
    <t>47-1827(c)(1) - Livestock/Domestic Animals; With intent to damage &amp; without consent; enter an animal facility, not open to the public, with intent to commit a prohibited act</t>
  </si>
  <si>
    <t>47-1827(c)(4) - Livestock/Domestic Animals; With intent to damage &amp; without consent; enter animal facility to take pictures by photograph, video camera or by any other means</t>
  </si>
  <si>
    <t>47-1827(d)(1)(A) - Livestock/Domestic Animals; With intent to damage &amp; without consent; enter or remain on animal facility having had notice that entry was forbidden</t>
  </si>
  <si>
    <t>47-1827(d)(1)(B) - Livestock/Domestic Animals; With intent to damage &amp; without consent; enter or remain on animal facility having received notice to depart but failing to do so</t>
  </si>
  <si>
    <t>47-1827(c)(2) - Livestock/Domestic Animals; With intent to damage &amp; without consent; remain concealed, with intent to commit an act prohibited by this section</t>
  </si>
  <si>
    <t>47-1509 - Livestock; Feedlots; penalty for violation of act</t>
  </si>
  <si>
    <t>47-121 - Livestock; Stock Running at Large; unlawful driving of animals</t>
  </si>
  <si>
    <t>50-1017(1) - Loan Brokers; Employ any device, scheme or artifice to defraud</t>
  </si>
  <si>
    <t>50-1017(3) - Loan Brokers; Engage in any act, practice or course of business that operates or would operate as a fraud or deceit upon any person</t>
  </si>
  <si>
    <t>50-1002 - Loan Brokers; Engage in business as an unregistered loan broker</t>
  </si>
  <si>
    <t>50-1018 - Loan Brokers; Make false or misleading filing or statement</t>
  </si>
  <si>
    <t>50-1017(2) - Loan Brokers; Make untrue statements of a material fact or omit a necessary material fact</t>
  </si>
  <si>
    <t>50-1013(a) - Loan Brokers; Penalty for willful violation of the loan broker act</t>
  </si>
  <si>
    <t>65-202 - Local Boards of Health; Clinics; Fail or neglect to perform duties prescribed by this act</t>
  </si>
  <si>
    <t>36-516(a) - Lodging Inspection Act; Installing or owning any gas stove in a public building, resort, hotel, restaurant, tourist camp or other similar public place without proper connection to a chimney or other outlet</t>
  </si>
  <si>
    <t>65-6403(b) - Marriage &amp; Family Therapists Licensure Act; Practice marriage/family therapy as a clinical marriage/family therapist without a license; hold oneself out as licensed clinical marriage/family therapist or clinical marriage/family therapist without such a license</t>
  </si>
  <si>
    <t>65-6403(a) - Marriage &amp; Family Therapists Licensure Act; Practice marriage/family therapy without license; hold oneself out as licensed marriage/ family therapist or marriage/family therapist without such a license</t>
  </si>
  <si>
    <t>23-2505 - Marriage; Marriage License - False Swearing in Affidavit</t>
  </si>
  <si>
    <t>23-2513 - Marriage; Penalty for judge or clerk not complying with statutory requirements</t>
  </si>
  <si>
    <t>23-2517 - Marriage; Unauthorized Solemnizing of marriage</t>
  </si>
  <si>
    <t>65-516(i)(5) - Maternity Centers &amp; Child Care Facilities; Unauthorized disclosure of confidential criminal history record by staff of child placement agency</t>
  </si>
  <si>
    <t>65-514 - Maternity Centers &amp; Child Care Facilities; Violations of article 5 of chapter 65</t>
  </si>
  <si>
    <t>65-6a52 - Meat &amp; Poultry Inspection Act; Penalty for any violation of act</t>
  </si>
  <si>
    <t>65-6a53 - Meat &amp; Poultry; Imported catfish; labeling as imported required</t>
  </si>
  <si>
    <t>65-6a40 - Meat &amp; Poultry; Inspections; penalty for any violation of act</t>
  </si>
  <si>
    <t>65-6a55 - Meat &amp; Poultry; Labeling; penalty for violation of act</t>
  </si>
  <si>
    <t>65-6a40 - Meat &amp; Poultry; Violation of act involving intent to defraud, or any transportation or distribution or attempted transportation or distribution of an article that is adulterated</t>
  </si>
  <si>
    <t>21-5927(a)(1)(I) - Medicaid fraud; False or fraudulent statement/representation made with intent to influence an official, employee/agent of a state or federal agency having regulatory or administrative authority over the Kansas Medicaid program</t>
  </si>
  <si>
    <t>21-5928(a)(3) - Medicaid fraud; Intentionally divide or share any funds illegally obtained from the Medicaid program</t>
  </si>
  <si>
    <t>21-5927(a)(2) - Medicaid fraud; intentionally executing or attempting a scheme or artifice to defraud medicaid program or contractor or subcontractor thereof;  Aggregate payments claimed at least $25,000 but less than $100,000</t>
  </si>
  <si>
    <t>21-5927(a)(2) - Medicaid fraud; intentionally executing or attempting a scheme or artifice to defraud medicaid program or contractor or subcontractor thereof; Aggregate payments claimed $250,000 or more</t>
  </si>
  <si>
    <t>21-5927(a)(2) - Medicaid fraud; intentionally executing or attempting a scheme or artifice to defraud medicaid program or contractor or subcontractor thereof; Aggregate payments claimed at least $100,000 but less than $250,000</t>
  </si>
  <si>
    <t>21-5927(a)(2) - Medicaid fraud; intentionally executing or attempting a scheme or artifice to defraud medicaid program or contractor or subcontractor thereof; Aggregate payments claimed at least $1000 but less than $25,000</t>
  </si>
  <si>
    <t>21-5927(a)(2) - Medicaid fraud; intentionally executing or attempting a scheme or artifice to defraud medicaid program or contractor or subcontractor thereof; Aggregate payments claimed less than $1,000</t>
  </si>
  <si>
    <t>21-5927(a)(2) - Medicaid fraud; intentionally executing or attempting a scheme or artifice to defraud medicaid program or contractor or subcontractor thereof; When death results from such act</t>
  </si>
  <si>
    <t>21-5927(a)(2) - Medicaid fraud; intentionally executing or attempting a scheme or artifice to defraud medicaid program or contractor or subcontractor thereof; When great bodily harm results from such act</t>
  </si>
  <si>
    <t>21-5928(a)(2) - Medicaid fraud; Intentionally offer or pay any remuneration, including kickbacks, bribes or rebates to any person for Medicaid goods</t>
  </si>
  <si>
    <t>21-5928(a)(1) - Medicaid fraud; Intentionally solicit or receive any remuneration, including kickbacks, bribes or rebates for Medicaid goods</t>
  </si>
  <si>
    <t>21-5928(b) - Medicaid fraud; Intentionally trade a Medicaid number for money or other remuneration; sign for services not received; sell or exchange Medicaid goods purchased or provided under the Medicaid program for value</t>
  </si>
  <si>
    <t>21-5927(a)(1)(E) - Medicaid fraud; Knowingly make any false statement/representation for use by another in obtaining any goods, service, item, facility or accommodation under the Medicaid program;  Aggregate payments claimed $250,000 or more</t>
  </si>
  <si>
    <t>21-5927(a)(1)(E) - Medicaid fraud; Knowingly make any false statement/representation for use by another in obtaining any goods, service, item, facility or accommodation under the Medicaid program; Aggregate payments claimed at least $1,000 but less than $25,000</t>
  </si>
  <si>
    <t>21-5927(a)(1)(E) - Medicaid fraud; Knowingly make any false statement/representation for use by another in obtaining any goods, service, item, facility or accommodation under the Medicaid program; Aggregate payments claimed at least $100,000 but less than $250,000</t>
  </si>
  <si>
    <t>21-5927(a)(1)(E) - Medicaid fraud; Knowingly make any false statement/representation for use by another in obtaining any goods, service, item, facility or accommodation under the Medicaid program; Aggregate payments claimed at least $25,000 but less than $100,000</t>
  </si>
  <si>
    <t>21-5927(a)(1)(E) - Medicaid fraud; Knowingly make any false statement/representation for use by another in obtaining any goods, service, item, facility or accommodation under the Medicaid program; Aggregate payments claimed less than $1,000</t>
  </si>
  <si>
    <t>21-5927(a)(1)(E) - Medicaid fraud; Knowingly make any false statement/representation for use by another in obtaining any goods, service, item, facility or accommodation under the Medicaid program; When death results from such act</t>
  </si>
  <si>
    <t>21-5927(a)(1)(E) - Medicaid fraud; Knowingly make any false statement/representation for use by another in obtaining any goods, service, item, facility or accommodation under the Medicaid program; When great bodily harm results from such act</t>
  </si>
  <si>
    <t>21-5927(a)(1)(F) - Medicaid fraud; Make any claim for payment for any goods, service, item, facility, or accommodation, not medically necessary;  Aggregate payments claimed $250,000 or more</t>
  </si>
  <si>
    <t>21-5927(a)(1)(F) - Medicaid fraud; Make any claim for payment for any goods, service, item, facility, or accommodation, not medically necessary; Aggregate payments claimed at least $1,000 but less than $25,000</t>
  </si>
  <si>
    <t>21-5927(a)(1)(F) - Medicaid fraud; Make any claim for payment for any goods, service, item, facility, or accommodation, not medically necessary; Aggregate payments claimed at least $100,000 but less than $250,000</t>
  </si>
  <si>
    <t>21-5927(a)(1)(F) - Medicaid fraud; Make any claim for payment for any goods, service, item, facility, or accommodation, not medically necessary; Aggregate payments claimed less than $1,000</t>
  </si>
  <si>
    <t>21-5927(a)(1)(F) - Medicaid fraud; Make any claim for payment for any goods, service, item, facility, or accommodation, not medically necessary; When death results from such act</t>
  </si>
  <si>
    <t>21-5927(a)(1)(F) - Medicaid fraud; Make any claim for payment for any goods, service, item, facility, or accommodation, not medically necessary; When great bodily harm results from such act</t>
  </si>
  <si>
    <t>21-5927(a)(1)(F) - Medicaid fraud; Make any claim for payment, for any goods, service, item, facility, or accommodation, not medically necessary; Aggregate payments claimed at least $25,000 but less than $100,000</t>
  </si>
  <si>
    <t>21-5927(a)(1)(C) - Medicaid fraud; Make any false or fraudulent report or filing used in computing or determining a rate of payment for any goods, service, item, facility or accommodation; Aggregate payments claimed at least $25,000 but less than $100,000</t>
  </si>
  <si>
    <t>21-5927(a)(1)(C) - Medicaid fraud; Make any false or fraudulent report or filing used in computing or determining a rate of payment; Aggregate payments claimed $250,000 or more</t>
  </si>
  <si>
    <t>21-5927(a)(1)(C) - Medicaid fraud; Make any false or fraudulent report or filing used in computing or determining a rate of payment; Aggregate payments claimed at least $1,000 but less than $25,000</t>
  </si>
  <si>
    <t>21-5927(a)(1)(C) - Medicaid fraud; Make any false or fraudulent report or filing used in computing or determining a rate of payment; Aggregate payments claimed at least $100,000 but less than $250,000</t>
  </si>
  <si>
    <t>21-5927(a)(1)(C) - Medicaid fraud; Make any false or fraudulent report or filing used in computing or determining a rate of payment; Aggregate payments claimed less than $1,000</t>
  </si>
  <si>
    <t>21-5927(a)(1)(C) - Medicaid fraud; Make any false or fraudulent report or filing used in computing or determining a rate of payment; When death results from such act</t>
  </si>
  <si>
    <t>21-5927(a)(1)(C) - Medicaid fraud; Make any false or fraudulent report or filing used in computing or determining a rate of payment; When great bodily harm results from such act</t>
  </si>
  <si>
    <t>21-5927(a)(1)(B) - Medicaid fraud; Make any false or fraudulent statement/representation for use in determining payments;  Aggregate payments claimed at least $1,000 but less than $25,000</t>
  </si>
  <si>
    <t>21-5927(a)(1)(B) - Medicaid fraud; Make any false or fraudulent statement/representation for use in determining payments;  Aggregate payments claimed less than $1,000</t>
  </si>
  <si>
    <t>21-5927(a)(1)(B) - Medicaid fraud; Make any false or fraudulent statement/representation for use in determining payments;  When death results from such act</t>
  </si>
  <si>
    <t>21-5927(a)(1)(B) - Medicaid fraud; Make any false or fraudulent statement/representation for use in determining payments;  When great bodily harm results from such act</t>
  </si>
  <si>
    <t>21-5927(a)(1)(B) - Medicaid fraud; Make any false or fraudulent statement/representation for use in determining payments; Aggregate payments claimed $250,000 or more</t>
  </si>
  <si>
    <t>21-5927(a)(1)(B) - Medicaid fraud; Make any false or fraudulent statement/representation for use in determining payments; Aggregate payments claimed at least $100,000 but less than $250,000</t>
  </si>
  <si>
    <t>21-5927(a)(1)(B) - Medicaid fraud; Make any false or fraudulent statement/representation for use in determining payments; Aggregate payments claimed at least $25,000 but less than $100,000</t>
  </si>
  <si>
    <t>21-5927(a)(1)(D) - Medicaid fraud; Make any false or fraudulent statement/representation in connection with any report or filing used in computing or determining a rate of payment for any goods, service, item, facility or accommodation; Aggregate payments claimed at least $25,000 but less than $100,000</t>
  </si>
  <si>
    <t>21-5927(a)(1)(D) - Medicaid fraud; Make any false or fraudulent statement/representation in connection with any report or filing used in computing or determining a rate of payment;  Aggregate payments claimed at least $100,000 but less than $250,000</t>
  </si>
  <si>
    <t>21-5927(a)(1)(D) - Medicaid fraud; Make any false or fraudulent statement/representation in connection with any report or filing used in computing or determining a rate of payment; Aggregate payments claimed $250,000 or more</t>
  </si>
  <si>
    <t>21-5927(a)(1)(D) - Medicaid fraud; Make any false or fraudulent statement/representation in connection with any report or filing used in computing or determining a rate of payment; Aggregate payments claimed at least $1,000 but less than $25,000</t>
  </si>
  <si>
    <t>21-5927(a)(1)(D) - Medicaid fraud; Make any false or fraudulent statement/representation in connection with any report or filing used in computing or determining a rate of payment; Aggregate payments claimed less than $1,000</t>
  </si>
  <si>
    <t>21-5927(a)(1)(D) - Medicaid fraud; Make any false or fraudulent statement/representation in connection with any report or filing used in computing or determining a rate of payment; When death results from such act</t>
  </si>
  <si>
    <t>21-5927(a)(1)(D) - Medicaid fraud; Make any false or fraudulent statement/representation in connection with any report or filing used in computing or determining a rate of payment; When great bodily harm results from such act</t>
  </si>
  <si>
    <t>21-5927(a)(1)(G) - Medicaid fraud; Make any wholly or partially false or fraudulent book, record, document, data or instrument, which is required to be kept or kept as documentation;  Aggregate payments claimed at least $25,000 but less than $100,000</t>
  </si>
  <si>
    <t>21-5927(a)(1)(G) - Medicaid fraud; Make any wholly or partially false or fraudulent book, record, document, data or instrument, which is required to be kept or kept as documentation; Aggregate payments claimed $250,000 or more</t>
  </si>
  <si>
    <t>21-5927(a)(1)(G) - Medicaid fraud; Make any wholly or partially false or fraudulent book, record, document, data or instrument, which is required to be kept or kept as documentation; Aggregate payments claimed at least $1,000 but less than $25,000</t>
  </si>
  <si>
    <t>21-5927(a)(1)(G) - Medicaid fraud; Make any wholly or partially false or fraudulent book, record, document, data or instrument, which is required to be kept or kept as documentation; Aggregate payments claimed at least $100,000 but less than $250,000</t>
  </si>
  <si>
    <t>21-5927(a)(1)(G) - Medicaid fraud; Make any wholly or partially false or fraudulent book, record, document, data or instrument, which is required to be kept or kept as documentation; Aggregate payments claimed less than $1,000</t>
  </si>
  <si>
    <t>21-5927(a)(1)(G) - Medicaid fraud; Make any wholly or partially false or fraudulent book, record, document, data or instrument, which is required to be kept or kept as documentation; When death results from such act</t>
  </si>
  <si>
    <t>21-5927(a)(1)(G) - Medicaid fraud; Make any wholly or partially false or fraudulent book, record, document, data or instrument, which is required to be kept or kept as documentation; When great bodily harm results from such act</t>
  </si>
  <si>
    <t>21-5927(a)(1)(A) - Medicaid fraud; Make false or fraudulent claim for payment for any goods, service, item, facility, or accommodation; Aggregate payments claimed $250,000 or more</t>
  </si>
  <si>
    <t>21-5927(a)(1)(A) - Medicaid fraud; Make false or fraudulent claim for payment for any goods, service, item, facility, or accommodation; Aggregate payments claimed at least $1,000 but less than $25,000</t>
  </si>
  <si>
    <t>21-5927(a)(1)(A) - Medicaid fraud; Make false or fraudulent claim for payment for any goods, service, item, facility, or accommodation; Aggregate payments claimed at least $100,000 but less than $250,000</t>
  </si>
  <si>
    <t>21-5927(a)(1)(A) - Medicaid fraud; Make false or fraudulent claim for payment for any goods, service, item, facility, or accommodation; Aggregate payments claimed at least $25,000 but less than $100,000</t>
  </si>
  <si>
    <t>21-5927(a)(1)(A) - Medicaid fraud; Make false or fraudulent claim for payment for any goods, service, item, facility, or accommodation; Aggregate payments claimed less than $1,000</t>
  </si>
  <si>
    <t>21-5927(a)(1)(A) - Medicaid fraud; Make false or fraudulent claim for payment for any goods, service, item, facility, or accommodation; When death results from such act</t>
  </si>
  <si>
    <t>21-5927(a)(1)(A) - Medicaid fraud; Make false or fraudulent claim for payment for any goods, service, item, facility, or accommodation; When great bodily harm results from such act</t>
  </si>
  <si>
    <t>21-5927(a)(1)(H) - Medicaid fraud; Submit false or fraudulent book, record, document, data or instrument to a LEO, attorney general, or to the department of SRS, in connection with any audit or investigation</t>
  </si>
  <si>
    <t>21-5931(a) - Medicaid; Intentional destruction or concealment of records</t>
  </si>
  <si>
    <t>65-4214(a)(5) - Mental Health Tech; 2nd or subs. violation of any provisions of the mental health technician's licensure act</t>
  </si>
  <si>
    <t>65-4214(a)(1) - Mental Health Tech; Fraudulently obtain, sell, transfer, or furnish any mental health technician diploma, license, renewal of license or record, or aid or abet another; 1st violation</t>
  </si>
  <si>
    <t>65-4214(a)(1) - Mental Health Tech; Fraudulently obtain, sell, transfer, or furnish any mental health technician diploma, license, renewal of license or record, or aid or abet another; 2nd or subs. violation</t>
  </si>
  <si>
    <t>65-4214(a)(4) - Mental Health Tech; Practice as a mental health technician while license is suspended or revoked; 1st violation</t>
  </si>
  <si>
    <t>65-4214(a)(4) - Mental Health Tech; Practice as a mental health technician while license is suspended or revoked; 2nd or subs. violation</t>
  </si>
  <si>
    <t>65-4214(a)(6) - Mental Health Tech; Represent that a provider of continuing education is approved for educating mental health technicians, without such approval; 1st violation</t>
  </si>
  <si>
    <t>65-4214(a)(6) - Mental Health Tech; Represent that a provider of continuing education is approved for educating mental health technicians, without such approval; 2nd or subs. violation</t>
  </si>
  <si>
    <t>65-4214(a)(2) - Mental Health Tech; Represent, or hold oneself out as a mental health technician or practice as a mental health technician without having a license to so practice; 1st violation</t>
  </si>
  <si>
    <t>65-4214(a)(2) - Mental Health Tech; Represent, or hold oneself out as a mental health technician or practice as a mental health technician without having a license to so practice; 2nd or subs. violation</t>
  </si>
  <si>
    <t>65-4214(a)(3) - Mental Health Tech; Use in connection with one's name any designation intending to imply that such person is a licensed mental health technician without having such license; 1st violation</t>
  </si>
  <si>
    <t>65-4214(a)(3) - Mental Health Tech; Use in connection with one's name any designation intending to imply that such person is a licensed mental health technician without having such license; 2nd or subs. violation</t>
  </si>
  <si>
    <t>65-4214(a)(5) - Mental Health Tech; Violate any of the provisions of the mental health technician's licensure act; 1st violation</t>
  </si>
  <si>
    <t>39-717(a)(1) - Mentally Ill, Incapacitated &amp; Dependent Persons; Illegal disposition of assistance; Value $25,000 or more</t>
  </si>
  <si>
    <t>39-717(a)(1) - Mentally Ill, Incapacitated &amp; Dependent Persons; Illegal disposition of assistance; value at least $1,000 but less than $25,000</t>
  </si>
  <si>
    <t>39-717(a)(1) - Mentally Ill, Incapacitated &amp; Dependent Persons; Illegal disposition of assistance; value less than $1,000</t>
  </si>
  <si>
    <t>39-717(a)(2) - Mentally Ill, Incapacitated &amp; Dependent Persons; Illegal purchase, acquisition or possession of assistance; value $25,000 or more</t>
  </si>
  <si>
    <t>39-717(a)(2) - Mentally Ill, Incapacitated &amp; Dependent Persons; Illegal purchase, acquisition or possession of assistance; value at least $1,000 but less than $25,000</t>
  </si>
  <si>
    <t>39-717(a)(2) - Mentally Ill, Incapacitated &amp; Dependent Persons; Illegal purchase, acquisition or possession of assistance; value less than $1,000</t>
  </si>
  <si>
    <t>39-759(a) - Mentally Ill, Incapacitated &amp; Dependent Persons; Unlawful acts relating to information concerning absent parents; unauthorized requesting, obtaining, or seeking out confidential information obtained by the secretary under K.S.A. 39-758 or K.S.A. 39-7,136, 39-7,143 and 39-7,150 done under false pretenses; unauthorized, willful communicating confidential information</t>
  </si>
  <si>
    <t>39-759(a) - Mentally Ill, Incapacitated &amp; Dependent Persons; Unlawful acts relating to information concerning absent parents; unauthorized requesting, obtaining, or seeking out confidential information obtained by the secretary under K.S.A. 39-758 or K.S.A. 39-7,136, 39-7,143 and 39-7,150</t>
  </si>
  <si>
    <t>39-720 - Mentally Ill, Incapacitated &amp; Dependent Persons; Welfare fraud; $100,000 or more</t>
  </si>
  <si>
    <t>39-720 - Mentally Ill, Incapacitated &amp; Dependent Persons; Welfare fraud; punished according to K.S.A. 21-3701; value less than $1,000</t>
  </si>
  <si>
    <t>39-720 - Mentally Ill, Incapacitated &amp; Dependent Persons; Welfare fraud; value at least $1,000 but less than $25,000</t>
  </si>
  <si>
    <t>39-720 - Mentally Ill, Incapacitated &amp; Dependent Persons; Welfare fraud; value at least $25,000 but less than $100,000</t>
  </si>
  <si>
    <t>65-789(c) - Milk, Cream &amp; Dairy Products; Adulterate or misbrand any milk, milk products or dairy products</t>
  </si>
  <si>
    <t>65-789(a) - Milk, Cream &amp; Dairy Products; Engage in any business or activity requiring a license or permit under this act without having a license or permit</t>
  </si>
  <si>
    <t>65-789(d) - Milk, Cream &amp; Dairy Products; Sell, offer for sale or have possession with intent to sell at retail to the final consumer any milk or milk product which has not been inspected and designated grade A pasteurized</t>
  </si>
  <si>
    <t>65-789(b)(2) - Milk, Cream &amp; Dairy Products; Sell, offer or expose for sale any milk, milk products or dairy products which are adulterated or misbranded</t>
  </si>
  <si>
    <t>65-789(b)(1) - Milk, Cream &amp; Dairy Products; Sell, offer or expose for sale any nonconforming milk, milk products or dairy products</t>
  </si>
  <si>
    <t>65-789(e) - Milk, Cream &amp; Dairy Products; Violate any provision of this act or any rules or regulations promulgated thereunder</t>
  </si>
  <si>
    <t>79-4225(d) - Mineral Severance Tax; Fail to make a return, or pay tax; make a false or fraudulent return; fail to keep required books or records; willful violation of any rules and regulations of this act; aid and abet another in attempting to evade the payment of any tax; violation of any other provisions of this act</t>
  </si>
  <si>
    <t>49-607(a) - Mines &amp; Mining; Falsification of information in application for registration of mining site</t>
  </si>
  <si>
    <t>49-105 - Mines &amp; Mining; Ingress and egress for survey; penalty for interference with survey</t>
  </si>
  <si>
    <t>49-108 - Mines &amp; Mining; Penalty for interfering with survey ordered pursuant to K.S.A. 49-106</t>
  </si>
  <si>
    <t>21-5416(a) - Mistreatment of a Confined Person</t>
  </si>
  <si>
    <t>21-5417(b)(1) - Mistreatment of an Elder Person; Knowingly taking the personal property or financial resources of a elder person by taking control, title, use or management of such property or resources; amount of $1,000,000 or more</t>
  </si>
  <si>
    <t>21-5417(b)(1) - Mistreatment of an Elder Person; Knowingly taking the personal property or financial resources of a elder person by taking control, title, use or management of such property or resources; amount of at least $100,000 but less than $250,000</t>
  </si>
  <si>
    <t>21-5417(b)(1) - Mistreatment of an Elder Person; Knowingly taking the personal property or financial resources of a elder person by taking control, title, use or management of such property or resources; amount of at least $25,000 but less than $100,000</t>
  </si>
  <si>
    <t>21-5417(b)(1) - Mistreatment of an Elder Person; Knowingly taking the personal property or financial resources of a elder person by taking control, title, use or management of such property or resources; amount of at least $250,000 but less than $1,000,000</t>
  </si>
  <si>
    <t>21-5417(b)(1) - Mistreatment of an Elder Person; Knowingly taking the personal property or financial resources of a elder person by taking control, title, use or management of such property or resources; amount of at least $5000 but less than $25,000</t>
  </si>
  <si>
    <t>21-5417(b)(1) - Mistreatment of an Elder Person; Knowingly taking the personal property or financial resources of a elder person by taking control, title, use or management of such property or resources; amount of less than $5000</t>
  </si>
  <si>
    <t>21-5417(b)(1) - Mistreatment of an Elder Person; Knowingly taking the personal property or financial resources of a elder person by taking control, title, use or management of such property or resources; amount of less than $5000 if committed by a person who has been convicted of mistreatment of an elder person two or more times in the previous 5 years</t>
  </si>
  <si>
    <t>21-5417(b)(2) - Mistreatment of an Elder Person; Omission or deprivation of treatment, goods or services that are necessary to maintain physical or mental health of such elder person</t>
  </si>
  <si>
    <t>21-5417(a)(1) - Mistreatment of Dependent Adult; Knowingly inflict physical injury, unreasonable confinement or unreasonable punishment upon a dependent adult</t>
  </si>
  <si>
    <t>21-5417(a)(3) - Mistreatment of Dependent Adult; Knowingly omit or deprive of treatment, goods or services necessary to maintain physical or mental health of a dependent adult</t>
  </si>
  <si>
    <t>21-5417(a)(2) - Mistreatment of Dependent Adult; Knowingly taking the personal property or financial resources of a dependent adult by taking control, title, use or management of such property or resources; amount is $1,000,000 or more</t>
  </si>
  <si>
    <t>21-5417(a)(2) - Mistreatment of Dependent Adult; Knowingly taking the personal property or financial resources of a dependent adult by taking control, title, use or management of such property or resources; amount is at least $1,000 but less than $25,000</t>
  </si>
  <si>
    <t>21-5417(a)(2) - Mistreatment of Dependent Adult; Knowingly taking the personal property or financial resources of a dependent adult by taking control, title, use or management of such property or resources; amount is at least $100,000 but less than $250,000</t>
  </si>
  <si>
    <t>21-5417(a)(2) - Mistreatment of Dependent Adult; Knowingly taking the personal property or financial resources of a dependent adult by taking control, title, use or management of such property or resources; amount is at least $25,000 but less than $100,000</t>
  </si>
  <si>
    <t>21-5417(a)(2) - Mistreatment of Dependent Adult; Knowingly taking the personal property or financial resources of a dependent adult by taking control, title, use or management of such property or resources; amount is at least $250,000 but less than $1,000,000</t>
  </si>
  <si>
    <t>21-5417(a)(2) - Mistreatment of Dependent Adult; Knowingly taking the personal property or financial resources of a dependent adult by taking control, title, use or management of such property or resources; amount is less than $1,000 but committed by a person who has been convicted of this 2 or more times within 5 yrs</t>
  </si>
  <si>
    <t>21-5417(a)(2) - Mistreatment of Dependent Adult; Knowingly taking the personal property or financial resources of a dependent adult by taking control, title, use or management of such property or resources; amount less than $1,000</t>
  </si>
  <si>
    <t>21-6005(a) - Misuse of Public Funds; Aggregate is $100,000 or more</t>
  </si>
  <si>
    <t>21-6005(a) - Misuse of Public Funds; Aggregate is at least $1,000 but less than $25,000</t>
  </si>
  <si>
    <t>21-6005(a) - Misuse of Public Funds; Aggregate is at least $25,000 but less than $100,000</t>
  </si>
  <si>
    <t>21-6005(a) - Misuse of Public Funds; Aggregate is less than $1,000</t>
  </si>
  <si>
    <t>9-2212(i) - Mortgage Business Act; Advertise, display, distribute, broadcast or televise, or cause or permit such, any false, misleading or deceptive statement or representation with regard to rates, terms or conditions for a mortgage loan</t>
  </si>
  <si>
    <t>9-2212(a) - Mortgage Business Act; Compensate, contract with or employ, any person engaged in mortgage business who is not properly licensed or registered</t>
  </si>
  <si>
    <t>9-2212(c) - Mortgage Business Act; Delay closing of a mortgage loan for the purpose of increasing interest, costs, fees or charges payable by the borrower</t>
  </si>
  <si>
    <t>9-2212(f) - Mortgage Business Act; Engage in any transaction, practice or business conduct that is not in good faith, or that operates a fraud upon any person connected with the making of, purchase or sale of any mortgage loan</t>
  </si>
  <si>
    <t>9-2212(h) - Mortgage Business Act; Engage in fraudulent residential mortgage brokerage or underwriting practices</t>
  </si>
  <si>
    <t>9-2203(a) - Mortgage Business Act; License required to conduct mortgage business</t>
  </si>
  <si>
    <t>9-2212(d) - Mortgage Business Act; Misrepresent material facts or make false promises intended to influence, persuade or induce an applicant for a mortgage loan, or mortgagee, to take a mortgage loan; cause or contribute to such misrepresentation</t>
  </si>
  <si>
    <t>9-2212(e) - Mortgage Business Act; Misrepresent to or conceal from an applicant for a mortgage loan or mortgagor, material facts, terms or conditions of a transaction to which the licensee or registrant is a party</t>
  </si>
  <si>
    <t>9-2212(g) - Mortgage Business Act; Receive compensation for rendering mortgage business services when licensee or registrant has otherwise acted as a real estate broker or agent in connection with the sale of the real estate which secures the mortgage transaction without providing written disclosure as required</t>
  </si>
  <si>
    <t>9-2212(j) - Mortgage Business Act; Record a mortgage if moneys are not available for the immediate disbursal to the mortgagor without informing the mortgagor in writing of a definite date by which payment shall be made and obtaining the mortgagor's written permission for the delay</t>
  </si>
  <si>
    <t>9-2203(b) - Mortgage Business Act; Registration required for a loan originator</t>
  </si>
  <si>
    <t>9-2212(k) - Mortgage Business Act; Transfer, assign or attempt to transfer or assign, a license or registration to any other person</t>
  </si>
  <si>
    <t>9-2212(b) - Mortgage Business Act; Unauthorized employment of a person who has: (1) had a license or registration denied, revoked, suspended or refused renewal; or (2) been convicted of any crime involving fraud, dishonesty or deceit</t>
  </si>
  <si>
    <t>9-2203(c) - Mortgage Business Act; Willful or knowing violation any of the provisions of this act, any rule and regulation</t>
  </si>
  <si>
    <t>51-301(a) - Motion Pictures; Unlawful use of a recording device; 1st conviction</t>
  </si>
  <si>
    <t>51-301(a) - Motion Pictures; Unlawful use of a recording device; 2nd or subs. conviction</t>
  </si>
  <si>
    <t>66-1319(a) - Motor Carriers; Failure or refusal of driver of a vehicle to drive such vehicle to the nearest inspection station or other suitable place when so directed by a member of the highway patrol</t>
  </si>
  <si>
    <t>66-1315 - Motor Carriers; Penalty for violating any of the provisions of K.S.A. 66-1,139 or 66-1,140</t>
  </si>
  <si>
    <t>32-1120(a) - Motorboat Exhaust Noise Emissions in Violation of Limits</t>
  </si>
  <si>
    <t>32-1120(c) - Motorboat Exhaust Noise Emissions in Violation of Limits; Failure to comply with a request or direction of officer</t>
  </si>
  <si>
    <t>65-7211 - Naturopathic Doctor Licensure Act; Violations</t>
  </si>
  <si>
    <t>58-1022 - New Goods Public Auction; Engage in, or conduct a public auction, without a license; knowingly advertise, represent or hold forth any sale of goods, wares or merchandise to be conducted contrary to the provisions of this act</t>
  </si>
  <si>
    <t>58-1016 - New Goods Public Auction; License required to conduct certain auction sales</t>
  </si>
  <si>
    <t>21-5606(a)(1) - Nonsupport of Child; Parent's unlawful failure, neglect or refusal to provide support/maintenance of the child</t>
  </si>
  <si>
    <t>21-5606(a)(2) - Nonsupport of Spouse; Failure to provide for the support of a person's spouse</t>
  </si>
  <si>
    <t>53-106 - Notaries Public &amp; Commissioners; Willful neglect or refusal to provide date of expiration of appointment</t>
  </si>
  <si>
    <t>53-121(a)-(b) - Notary public - use of "notario publico" prohibited</t>
  </si>
  <si>
    <t>48-1612 - Nuclear Energy Development &amp; Radiation Control Act; Prohibited uses</t>
  </si>
  <si>
    <t>65-1162(b)(4) - Nurse Practice Act; Any other violation of the Kansas nurse practice act or rules and regulations adopted pursuant thereto; 1st violation</t>
  </si>
  <si>
    <t>65-1162(b)(4) - Nurse Practice Act; Any other violation of the Kansas nurse practice act or rules and regulations adopted pursuant thereto; 2nd or subs. violation</t>
  </si>
  <si>
    <t>65-1162(b)(1) - Nurse Practice Act; Employ or offer to employ a person as a registered nurse anesthetist knowing that such person is not authorized to practice as such; 1st violation</t>
  </si>
  <si>
    <t>65-1162(b)(1) - Nurse Practice Act; Employ or offer to employ a person as a registered nurse anesthetist knowing that such person is not authorized to practice as such; 2nd or subs. violation</t>
  </si>
  <si>
    <t>65-1162(a) - Nurse Practice Act; Engage in the administration of general or regional anesthesia without being authorized by the board to practice as a registered nurse anesthetist</t>
  </si>
  <si>
    <t>65-1162(b)(2) - Nurse Practice Act; Fraudulently seek, obtain or furnish documents indicating that a person is authorized by the board to practice as a registered nurse anesthetist when such person is not so authorized; aiding and abetting such activities; 1st violation</t>
  </si>
  <si>
    <t>65-1162(b)(2) - Nurse Practice Act; Fraudulently seek, obtain or furnish documents indicating that a person is authorized by the board to practice as a registered nurse anesthetist when such person is not so authorized; aiding and abetting such activities; 2nd or subs. violation</t>
  </si>
  <si>
    <t>65-1114(b)(1) - Nurse Practice Act; Practice or offer to practice as an advanced registered nurse practitioner in this state without being so certified; 1st violation</t>
  </si>
  <si>
    <t>65-1114(b)(1) - Nurse Practice Act; Practice or offer to practice as an advanced registered nurse practitioner in this state without being so certified; 2nd or subs. violation</t>
  </si>
  <si>
    <t>65-1114(a)(3) - Nurse Practice Act; Practice or offer to practice practical nursing in this state without license; 1st violation</t>
  </si>
  <si>
    <t>65-1114(a)(3) - Nurse Practice Act; Practice or offer to practice practical nursing in this state without license; 2nd or subs. violation</t>
  </si>
  <si>
    <t>65-1114(a)(1) - Nurse Practice Act; Practice or to offer to practice professional nursing in this state without license; 1st violation</t>
  </si>
  <si>
    <t>65-1114(a)(1) - Nurse Practice Act; Practice or to offer to practice professional nursing in this state without license; 2nd or subs. violation</t>
  </si>
  <si>
    <t>65-1122(d) - Nurse Practice Act; Practice professional nursing, practical nursing or as an advanced registered nurse practitioner while license or certificate has expired or has been suspended or revoked; 1st violation</t>
  </si>
  <si>
    <t>65-1122(d) - Nurse Practice Act; Practice professional nursing, practical nursing or as an advanced registered nurse practitioner while license or certificate has expired or has been suspended or revoked; 2nd or subs. violation</t>
  </si>
  <si>
    <t>65-1122(b) - Nurse Practice Act; Practice professional nursing, practical nursing or practice as an advanced registered nurse practitioner, without being so licensed or certified; 1st violation</t>
  </si>
  <si>
    <t>65-1122(b) - Nurse Practice Act; Practice professional nursing, practical nursing or practice as an advanced registered nurse practitioner, without being so licensed or certified; 2nd or subs. violation</t>
  </si>
  <si>
    <t>65-1122(g) - Nurse Practice Act; Represent that a provider of continuing nursing education is approved by the board for educating either professional nurses or practical nurses, without being so approved; 1st violation</t>
  </si>
  <si>
    <t>65-1122(g) - Nurse Practice Act; Represent that a provider of continuing nursing education is approved by the board for educating either professional nurses or practical nurses, without being so approved; 2nd or subs. violation</t>
  </si>
  <si>
    <t>65-1122(e) - Nurse Practice Act; Represent that a school for nursing is approved for educating either professional nurses or practical nurses, without being so approved; 1st violation</t>
  </si>
  <si>
    <t>65-1122(e) - Nurse Practice Act; Represent that a school for nursing is approved for educating either professional nurses or practical nurses, without being so approved; 2nd or subs. violation</t>
  </si>
  <si>
    <t>65-1122(a) - Nurse Practice Act; Sell or fraudulently obtain or furnish any nursing diploma, license, record or certificate of qualification; aid and abet such activities; 1st violation</t>
  </si>
  <si>
    <t>65-1122(a) - Nurse Practice Act; Sell or fraudulently obtain or furnish any nursing diploma, license, record or certificate of qualification; aid and abet such activities; 2nd or subs. violation</t>
  </si>
  <si>
    <t>65-1114(a)(4) - Nurse Practice Act; Use any title, abbreviation, letters, figures, sign, card or device to indicate that any person is a licensed practical nurse without being so licensed; 1st violation</t>
  </si>
  <si>
    <t>65-1114(a)(4) - Nurse Practice Act; Use any title, abbreviation, letters, figures, sign, card or device to indicate that any person is a licensed practical nurse without being so licensed; 2nd or subs. violation</t>
  </si>
  <si>
    <t>65-1114(a)(2) - Nurse Practice Act; Use any title, abbreviation, letters, figures, sign, card or device to indicate that any person is a registered professional nurse without such license; 1st violation</t>
  </si>
  <si>
    <t>65-1114(a)(2) - Nurse Practice Act; Use any title, abbreviation, letters, figures, sign, card or device to indicate that any person is a registered professional nurse without such license; 2nd or subs. violation</t>
  </si>
  <si>
    <t>65-1114(b)(2) - Nurse Practice Act; Use any title, abbreviation, letters, figures, sign, card or device to indicate that any person is an advanced registered nurse practitioner without being so certified; 1st violation</t>
  </si>
  <si>
    <t>65-1114(b)(2) - Nurse Practice Act; Use any title, abbreviation, letters, figures, sign, card or device to indicate that any person is an advanced registered nurse practitioner without being so certified; 2nd or subs. violation</t>
  </si>
  <si>
    <t>65-1122(c) - Nurse Practice Act; Use designation implying that such person is a licensed professional nurse, a licensed practical nurse or an advanced registered nurse practitioner unless so licensed or certified; 1st violation</t>
  </si>
  <si>
    <t>65-1122(c) - Nurse Practice Act; Use designation implying that such person is a licensed professional nurse, a licensed practical nurse or an advanced registered nurse practitioner unless so licensed or certified; 2nd or subs. violation</t>
  </si>
  <si>
    <t>65-1162(b)(3) - Nurse Practice Act; Use the title registered nurse anesthetist, the abbreviation R.N.A., or any other designation tending to imply that such person is authorized by the board to practice as a registered nurse anesthetist when such person is not so authorized; 2nd or subs. violation</t>
  </si>
  <si>
    <t>65-1162(b)(3) - Nurse Practice Act; Use the title registered nurse anesthetist, the abbreviation R.N.A., or any other designation tending to imply that such person is authorized by the board to practice as a registered nurse anesthetist when such person is not so authorized; 1st violation</t>
  </si>
  <si>
    <t>65-1122(f) - Nurse Practice Act; Violate any provisions of the Kansas nurse practice act or rules and regulations adopted pursuant to that act; 1st violation</t>
  </si>
  <si>
    <t>65-1122(f) - Nurse Practice Act; Violate any provisions of the Kansas nurse practice act or rules and regulations adopted pursuant to that act; 2nd or subs. violation</t>
  </si>
  <si>
    <t>21-5913(a)(2) - Obstructing Apprehension or Prosecution; Aiding person required to register under Kansas Offender Registration Act to avoid registration or punishment for failure to comply</t>
  </si>
  <si>
    <t>21-5913(a)(1) - Obstructing Apprehension or Prosecution; Knowingly harbor, conceal or aid any person who has committed or has been charged with committing a felony to avoid or escape from arrest, trial, conviction or punishment for such felony</t>
  </si>
  <si>
    <t>21-5913(a)(1) - Obstructing Apprehension or Prosecution; Knowingly harboring, concealing or aiding a person who has committed or been charged with committing a misdemeanor</t>
  </si>
  <si>
    <t>21-5929(a)(1) - Obstruction of a Medicaid Fraud Investigation; Falsifying, concealing or covering up material fact by any trick, misstatement, scheme or device</t>
  </si>
  <si>
    <t>21-5929(a)(2) - Obstruction of a Medicaid Fraud Investigation; Knowingly making false writing or document</t>
  </si>
  <si>
    <t>21-5835(a)(3) - Odometers; Advertise for sale, sell, use or install on any part of a motor vehicle or on any odometer any device which causes the odometer to register other than true mileage</t>
  </si>
  <si>
    <t>21-5835(a)(1) - Odometers; Knowingly tamper with, adjust, alter, change, set back, disconnect or fail to connect the odometer of any motor vehicle in order to reflect lower than true mileage</t>
  </si>
  <si>
    <t>21-5835(a)(2) - Odometers; Operate, with intent to defraud, motor vehicle knowing that the odometer is disconnected or nonfunctional</t>
  </si>
  <si>
    <t>21-5835(b)(1) - Odometers; Repair or replacement; failure to adjust an odometer or affix a notice regarding such adjustment</t>
  </si>
  <si>
    <t>21-5835(b)(2) - Odometers; Repair or replacement; remove or alter any notice affixed to a vehicle</t>
  </si>
  <si>
    <t>21-5835(a)(4) - Odometers; Sell or offer to sell, with intent to defraud, a motor vehicle knowing that the odometer was tampered with or otherwise altered in order to reflect a lower than true mileage</t>
  </si>
  <si>
    <t>21-6002(a)(5) - Official Misconduct; Knowingly destroy, tamper with or conceal evidence of a felony</t>
  </si>
  <si>
    <t>21-6002(a)(5) - Official Misconduct; Knowingly destroy, tamper with or conceal evidence of a misdemeanor crime</t>
  </si>
  <si>
    <t>21-6002(a)(2) - Official Misconduct; Knowingly fail to serve civil process as required by law</t>
  </si>
  <si>
    <t>21-6002(a)(6) - Official Misconduct; Knowingly submit a claim for expenses which is false or duplicate; $25,000 or more</t>
  </si>
  <si>
    <t>21-6002(a)(6) - Official Misconduct; Knowingly submit a claim for expenses which is false or duplicate; at least $1,000 but &lt; $25,000</t>
  </si>
  <si>
    <t>21-6002(a)(6) - Official Misconduct; Knowingly submit false claim; claim less than $1,000</t>
  </si>
  <si>
    <t>21-6002(a)(1) - Official Misconduct; Knowingly use aircraft, vehicle or vessel for private benefit or gain</t>
  </si>
  <si>
    <t>21-6002(a)(4)(B) - Official Misconduct; Unauthorized acceptance of bid after deadline has passed</t>
  </si>
  <si>
    <t>21-6002(a)(4)(C) - Official Misconduct; Unauthorized alteration of bid or proposal</t>
  </si>
  <si>
    <t>21-6002(a)(4)(A) - Official Misconduct; Unauthorized disclosure of bid information</t>
  </si>
  <si>
    <t>21-6002(a)(3) - Official Misconduct; Use confidential information for private benefit or gain or to intentionally harm another</t>
  </si>
  <si>
    <t>55-443(a)(1) - Oil &amp; Gas; Act as or represent oneself to be a technical representative without having such license</t>
  </si>
  <si>
    <t>55-102(a) - Oil &amp; Gas; Control and management of oil and gas wells; unlawful acts</t>
  </si>
  <si>
    <t>55-1004 - Oil &amp; Gas; Disposal of Brines &amp; Mineralized Waters; dispose of certain waste in oil-field disposal wells at excessive pressures</t>
  </si>
  <si>
    <t>55-1005 - Oil &amp; Gas; Disposal of Brines &amp; Mineralized Waters; use wells for the disposal of salt brines or other oil field wastes which do not meet the requirements for minimum depth</t>
  </si>
  <si>
    <t>55-904(a)(3) - Oil &amp; Gas; Disposal of Salt Water; contract for the transportation of such salt water with a person, firm, corporation, partnership or other association not licensed under K.S.A. 66-1,114</t>
  </si>
  <si>
    <t>55-904(a)(3) - Oil &amp; Gas; Disposal of Salt Water; contract for the transportation of such salt water with a person, firm, corporation, partnership or other association not licensed under K.S.A. 66-1,114; 2nd or subs. violation</t>
  </si>
  <si>
    <t>55-904(a)(2) - Oil &amp; Gas; Disposal of Salt Water; dispose of a substance not exempt under 40 C.F.R. 261.4(b)(5), as revised July 1, 1997, in a class II disposal or injection well</t>
  </si>
  <si>
    <t>55-904(a)(2) - Oil &amp; Gas; Disposal of Salt Water; dispose of a substance not exempt under 40 C.F.R. 261.4(b)(5), as revised July 1, 1997, in a class II disposal or injection well; 2nd or subs. violation</t>
  </si>
  <si>
    <t>55-904(a)(1) - Oil &amp; Gas; Disposal of Salt Water; dispose of salt water in unauthorized manner</t>
  </si>
  <si>
    <t>55-904(a)(1) - Oil &amp; Gas; Disposal of Salt Water; dispose of salt water in unauthorized manner; 2nd or subs. violation</t>
  </si>
  <si>
    <t>55-904(a)(4) - Oil &amp; Gas; Disposal of Salt Water; own, operate a vehicle being used for transportation of salt water containing an operable "trip-lever" accessible to a person in the passenger compartment of such vehicle</t>
  </si>
  <si>
    <t>55-904(a)(4) - Oil &amp; Gas; Disposal of Salt Water; own, operate a vehicle being used for transportation of salt water containing an operable "trip-lever" accessible to a person in the passenger compartment of such vehicle; 2nd or subs. violation</t>
  </si>
  <si>
    <t>55-443(a)(4) - Oil &amp; Gas; Fail to complete the testing or placing-in-service report in its entirety and to report the accurate description of the parts replaced, adjusted, reconditioned or work performed</t>
  </si>
  <si>
    <t>55-443(a)(3) - Oil &amp; Gas; Fail to follow the applicable version of NIST Handbook as referenced in chapter 83 of the Kansas Statutes Annotated, or any rules and regulations adopted thereunder when installing, repairing, calibrating or testing a device</t>
  </si>
  <si>
    <t>55-443(a)(8) - Oil &amp; Gas; Fail to have any commercial dispensing device tested as required by the petroleum products inspection law or chapter 83 of the Kansas Statutes Annotated</t>
  </si>
  <si>
    <t>55-443(a)(6) - Oil &amp; Gas; Fail to pay all fees and penalties as required</t>
  </si>
  <si>
    <t>55-159 - Oil &amp; Gas; Failure to notify commission prior to setting surface casing or plugging</t>
  </si>
  <si>
    <t>55-174(a) - Oil &amp; Gas; Failure to notify of intent to drill</t>
  </si>
  <si>
    <t>55-177 - Oil &amp; Gas; Failure to remove structures and abutments from lands after abandoning wells</t>
  </si>
  <si>
    <t>55-158 - Oil &amp; Gas; Failure to submit cement bond logs or other surveys for surface casing</t>
  </si>
  <si>
    <t>55-443(a)(5) - Oil &amp; Gas; File a false or fraudulent application or report to the secretary</t>
  </si>
  <si>
    <t>55-443(a)(11) - Oil &amp; Gas; Misrepresent that diesel fuel is or contains biodiesel fuel blend or otherwise represent that diesel fuel is made from renewable resources</t>
  </si>
  <si>
    <t>55-443(a)(2) - Oil &amp; Gas; Obstruct the secretary or any of the secretary's authorized agents in performance of the secretary's official duties under the petroleum products inspection law</t>
  </si>
  <si>
    <t>55-443(a)(7) - Oil &amp; Gas; Refuse to keep and make available for examination by the Kansas department of agriculture all books, papers, and other information as required</t>
  </si>
  <si>
    <t>55-157 - Oil &amp; Gas; Regulatory provisions; fail to cement in the surface casing as required to protect water</t>
  </si>
  <si>
    <t>55-156 - Oil &amp; Gas; Regulatory provisions; fail to plug well as required to protect water, prior to abandoning well</t>
  </si>
  <si>
    <t>55-162(e) - Oil &amp; Gas; Regulatory provisions; removal of seal on well without proper approval</t>
  </si>
  <si>
    <t>55-443(a)(9) - Oil &amp; Gas; Sell, offer or expose for sale any petroleum product which does not comply with the provisions of the petroleum products inspection law</t>
  </si>
  <si>
    <t>55-443(a)(10) - Oil &amp; Gas; Sell, use, remove, otherwise dispose of or fail to remove from the premises specified, any dispensing device, package or commodity contrary to the terms of any order issued by the secretary</t>
  </si>
  <si>
    <t>55-112(a) - Oil &amp; Gas; Transportation of gas; standards for</t>
  </si>
  <si>
    <t>55-443(a)(12) - Oil &amp; Gas; Violate any order issued by the secretary pursuant to chapter 83 of the Kansas Statutes Annotated</t>
  </si>
  <si>
    <t>65-1504b - Optometry Law; Dispense ophthalmic lens or lenses without prescription order; 1st offense</t>
  </si>
  <si>
    <t>65-1504b - Optometry Law; Dispense ophthalmic lens or lenses without prescription order; 2nd or subs. offense</t>
  </si>
  <si>
    <t>65-1505(f)(3) - Optometry Law; Unauthorized disclosure of confidential fingerprints and criminal history record check information</t>
  </si>
  <si>
    <t>74-8810(i)(2) - Parimutuel Racing; Accept, transmit or deliver, from a person outside a racetrack facility, anything of value to be wagered in any parimutuel system of wagering within a racetrack facility; 1st offense</t>
  </si>
  <si>
    <t>74-8810(j)(2) - Parimutuel Racing; Accept, transmit or deliver, from any person outside a racetrack facility, anything of value to be wagered in any parimutuel system of wagering within a racetrack facility; 2nd or subs. offense</t>
  </si>
  <si>
    <t>74-8810(j)(7) - Parimutuel Racing; Administer or conspire to administer, any drug or medication to a horse or greyhound in violation of rules and regulations of the commission; 2nd or subs. offense</t>
  </si>
  <si>
    <t>74-8810(i)(3) - Parimutuel Racing; Administering any drug or medication to a horse or greyhound within a racetrack facility in violation of rules and regulations; 1st offense</t>
  </si>
  <si>
    <t>74-8810(j)(11) - Parimutuel Racing; Alter, or attempt to alter, the natural outcome of any race conducted by, or any simulcast race displayed by, an organization licensee or transmit or receive an altered race or delayed broadcast race if parimutuel wagering is conducted or solicited after off time of the race</t>
  </si>
  <si>
    <t>74-8810(j)(3) - Parimutuel Racing; Conduct or assist in the conduct of a horse or greyhound race, or the display of a simulcast race, where the parimutuel system of wagering is used or is intended to be used without a license</t>
  </si>
  <si>
    <t>74-8810(j)(4) - Parimutuel Racing; Enter any horse or greyhound in any race conducted by an organization licensee knowing that the class or grade entered is not the true class or grade or knowing that the name under which entered is not the registered name</t>
  </si>
  <si>
    <t>74-8810(i)(6) - Parimutuel Racing; Enter any horse or greyhound in any race knowing such horse or greyhound to be ineligible to compete in such race pursuant to K.S.A. 74-8812</t>
  </si>
  <si>
    <t>74-8810(j)(14) - Parimutuel Racing; Fail to report knowledge of any violation of this act by another person for the purpose of stimulating or depressing any horse or greyhound, or affecting its speed</t>
  </si>
  <si>
    <t>74-8810(j)(15)(A) - Parimutuel Racing; Falsify, conceal or cover up, by any trick, scheme or device, a material fact related to breeding, buying, selling or racing or prior racing record, pedigree, identity or ownership of a registered horse or greyhound</t>
  </si>
  <si>
    <t>74-8810(b)(2) - Parimutuel Racing; Holding paid position with any facility manager licensee, facility owner licensee or organization licensee or holding an interest in any racetrack facility if related to a member of the Legislature</t>
  </si>
  <si>
    <t>74-8810(b)(1) - Parimutuel Racing; Holding paid position with any facility manger licensee, facility owner licensee or organization licensee or holding an interest in any racetrack facility if a member of the Legislature or within 5 yrs following the end of such term</t>
  </si>
  <si>
    <t>74-8810(k)(1) - Parimutuel Racing; Illegal purchase of a parimutuel ticket by person 18 or over but less than 21; 1st offense</t>
  </si>
  <si>
    <t>74-8810(k)(1) - Parimutuel Racing; Illegal purchase of a parimutuel ticket by person 18 or over but less than 21; 2nd or subs. offense</t>
  </si>
  <si>
    <t>74-8810(j)(13) - Parimutuel Racing; Influence or attempt to influence any member, employee or appointee of the commission, by payment, in the performance of any official duty of that member, employee or appointee</t>
  </si>
  <si>
    <t>74-8810(j)(12) - Parimutuel Racing; Influence or attempt to influence, by the payment or promise of payment of money or other valuable consideration, any person to alter the natural outcome of any race conducted by, or any simulcast race displayed by, an organization licensee</t>
  </si>
  <si>
    <t>74-8810(j)(15)(C) - Parimutuel Racing; Knowingly make or use any false writing related to breeding, buying, selling or racing or prior racing record, pedigree, identity or ownership of a registered horse or greyhound</t>
  </si>
  <si>
    <t>74-8810(j)(15)(B) - Parimutuel Racing; Make any false, fictitious or fraudulent statement or representation related to breeding, buying, selling or racing or prior racing record, pedigree, identity or ownership of a registered horse or greyhound</t>
  </si>
  <si>
    <t>74-8810(j)(16) - Parimutuel Racing; Pass or attempt to pass, cash or attempt to cash any altered or forged parimutuel ticket knowing it to have been altered or forged</t>
  </si>
  <si>
    <t>74-8810(j)(6) - Parimutuel Racing; Possess any unusual device or lure designed or intended to affect the speed of a horse or greyhound</t>
  </si>
  <si>
    <t>74-8810(j)(8) - Parimutuel Racing; Possess or conspire to possess, any drug or medication for administration to a horse or greyhound in violation of rules and regulations of the commission; 2nd or subs. offense</t>
  </si>
  <si>
    <t>74-8810(j)(9) - Parimutuel Racing; Possess or conspire to possess, equipment for administering drugs or medications to horses or greyhounds in violation of rules and regulations of the commission; 2nd or subs. offense</t>
  </si>
  <si>
    <t>74-8810(i)(4) - Parimutuel Racing; Possession within a racetrack facility of any drug or medication for administration to a horse or greyhound in violation of rules and regulations; 1st offense</t>
  </si>
  <si>
    <t>74-8810(i)(5) - Parimutuel Racing; Possession within a racetrack facility of equipment for administering drugs or medications to horses or greyhounds in violation of rules &amp; regulations; 1st offense</t>
  </si>
  <si>
    <t>74-8810(i)(7) - Parimutuel Racing; Prepare or cause to be prepared an application for registration of a horse pursuant to K.S.A. 74-8830 knowing that such contains false information</t>
  </si>
  <si>
    <t>74-8810(a)(1) - Parimutuel Racing; Prohibited acts of executive director or a member of the commission; having financial interest in any racetrack facility or any host facility for a simulcast race</t>
  </si>
  <si>
    <t>74-8810(f) - Parimutuel Racing; Prohibited acts of facility owner licensee or facility manager licensee, other than a horsemen's association, or any officer, director, employee, stockholder or shareholder thereof or any person having an ownership interest therein</t>
  </si>
  <si>
    <t>74-8810(g) - Parimutuel Racing; Prohibited acts of licensee of the commission, or an officer, director, member or employee of a licensee</t>
  </si>
  <si>
    <t>74-8810(c)(2) - Parimutuel Racing; Prohibited acts of member, employee or appointee of the commission, including stewards and racing judges; participate as an owner, owner-trainer or trainer of a horse or greyhound, or as a jockey of a horse entered in a race meeting in this state</t>
  </si>
  <si>
    <t>74-8810(c)(1) - Parimutuel Racing; Prohibited acts of member, employee or appointee of the commission, including stewards and racing judges; participate in the operation of or have financial interest in certain business</t>
  </si>
  <si>
    <t>74-8810(c)(3) - Parimutuel Racing; Prohibited acts of member, employee or appointee of the commission, including stewards and racing judges; place a wager on an entry in a horse or greyhound race conducted by an organization licensee</t>
  </si>
  <si>
    <t>74-8810(c)(4) - Parimutuel Racing; Prohibited acts of member, employee or appointee of the commission, including stewards and racing judges; unauthorized acceptance of any compensation, gift, loan, entertainment, favor or service from any licensee</t>
  </si>
  <si>
    <t>74-8810(d)(1)(B) - Parimutuel Racing; Prohibited acts of member, employee or appointee of the commission, or certain relatives thereof; enter into business dealing, venture or contract with an owner or lessee of a racetrack facility</t>
  </si>
  <si>
    <t>74-8810(d)(1)(A) - Parimutuel Racing; Prohibited acts of member, employee or appointee of the commission, or certain relatives thereof; holding license issued by the commission</t>
  </si>
  <si>
    <t>74-8810(e)(2) - Parimutuel Racing; Prohibited acts of officer, director or member of an organization licensee, other than a fair association or horsemen's nonprofit organization; entering into certain business dealings, ventures or contracts</t>
  </si>
  <si>
    <t>74-8810(a)(2) - Parimutuel Racing; Prohibited acts of officer, director or member of an organization licensee, other than a fair association or horsemen's nonprofit organization; financial interest</t>
  </si>
  <si>
    <t>74-8810(e)(1) - Parimutuel Racing; Prohibited acts of officer, director or member of an organization licensee, other than a fair association or horsemen's nonprofit organization; unauthorized receipt of certain compensation, reimbursement or payment of expenses</t>
  </si>
  <si>
    <t>74-8810(i)(1) - Parimutuel Racing; Sell a parimutuel ticket or an interest in such a ticket to a person knowing such person to be under 21 yrs of age; 1st offense</t>
  </si>
  <si>
    <t>74-8810(j)(1) - Parimutuel Racing; Selling a parimutuel ticket or an interest in such a ticket to a person known to be under 21; 2nd or subs. offense</t>
  </si>
  <si>
    <t>74-8810(j)(10) - Parimutuel Racing; Sponge the nostrils or windpipe of a horse for the purpose of stimulating or depressing such horse or affecting its speed at any time during a race meeting</t>
  </si>
  <si>
    <t>74-8804(o) - Parimutuel Racing; Unauthorized disclosure of confidential information</t>
  </si>
  <si>
    <t>74-8810(h) - Parimutuel Racing; Use any animal or fowl in the training or racing of racing greyhounds</t>
  </si>
  <si>
    <t>74-8810(j)(5) - Parimutuel Racing; Use or conspire to use any unusual device or lure for the purpose of affecting the speed of any horse or greyhound during a race</t>
  </si>
  <si>
    <t>19-2894 - Parks/museums/lakes/recreational grounds; Penalty for violation of any posted or published penal rule or regulations relating to the conduct of persons in the area where improvements are established</t>
  </si>
  <si>
    <t>19-2873 - Parks/museums/lakes/recreational grounds; Penalty for violation of any posted or published penal rule or regulations relating to the conduct of persons in the parks and playgrounds or park or playgrounds</t>
  </si>
  <si>
    <t>19-2803a - Parks/museums/lakes/recreational grounds; Penalty for violation of rules and regulations pertaining to the use and enjoyment of any park, lake or other recreational area and for the protection and preservation of such properties</t>
  </si>
  <si>
    <t>16-721 - Pawn Brokers and Precious Metal Dealers; Penalty for violation of act</t>
  </si>
  <si>
    <t>21-5919(a)(2) - Performance of an Unauthorized Official Act; Knowingly and without lawful authority certifying an acknowledgment of the execution of any document which by law may be recorded</t>
  </si>
  <si>
    <t>21-5919(a)(1) - Performance of an Unauthorized Official Act; Knowingly and without lawful authority conducting a marriage ceremony</t>
  </si>
  <si>
    <t>21-5903(a)(2) - Perjury; Intentionally and falsely subscribe as true and correct under penalty of perjury any material matter in any declaration, verification, certificate or statement as permitted by K.S.A. 53-601; during felony trial</t>
  </si>
  <si>
    <t>21-5903(a)(2) - Perjury; Intentionally and falsely subscribe as true and correct under penalty of perjury any material matter in any declaration, verification, certificate or statement as permitted by K.S.A. 53-601; In a cause, matter or proceeding other than a felony trial</t>
  </si>
  <si>
    <t>21-5903(a)(1) - Perjury; Intentionally and falsely swear, testify, affirm, declare or subscribe to any material fact upon oath or affirmation; during felony trial</t>
  </si>
  <si>
    <t>21-5903(a)(1) - Perjury; Intentionally and falsely swear, testify, affirm, declare or subscribe to any material fact upon oath or affirmation; in a cause, matter or proceeding other than a felony trial</t>
  </si>
  <si>
    <t>21-6004(b) - Permitting False Claim; $25,000 or more</t>
  </si>
  <si>
    <t>21-6004(b) - Permitting False Claim; At least $1,000 but less than $25,000</t>
  </si>
  <si>
    <t>21-6004(b) - Permitting False Claim; Claim less than $1,000</t>
  </si>
  <si>
    <t>75-7c06(b) - Personal &amp; Family Protection Act; Unauthorized disclosure of records pertaining to concealed handgun licensing</t>
  </si>
  <si>
    <t>58-2011(b) - Personal &amp; Real Property; Failure to have a land surveyor establish reference points as required</t>
  </si>
  <si>
    <t>58-206 - Personal &amp; Real Property; Liens on Personal Property; Sell, dispose or secret grain with intent to defraud</t>
  </si>
  <si>
    <t>2-2440(e) - Pesticide Law; Application of pesticides within this state by any governmental agency which has not been issued a government agency registration</t>
  </si>
  <si>
    <t>2-2440(e) - Pesticide Law; Certified Private Applicator; application of pesticides within this state by any governmental agency which has not been issued a government agency registration</t>
  </si>
  <si>
    <t>2-2453(b) - Pesticide Law; Certified Private Applicator; discard/store any pesticide or pesticide container in an unsafe manner</t>
  </si>
  <si>
    <t>2-2453(c) - Pesticide Law; Certified Private Applicator; penalty for failure to comply with provisions of this act, rules or regulations</t>
  </si>
  <si>
    <t>2-2440b(a) - Pesticide Law; Certified Private Applicator; pesticide business licensee applying pesticides without being certified as a commercial applicator or a registered pest control technician, or in presence of one so certified or registered</t>
  </si>
  <si>
    <t>2-2440(a)(1) - Pesticide Law; Certified Private Applicator; unlicensed Advertising, offering for sale, selling or performing any service for the control of a pest on another's property or applying a pesticide to another's property</t>
  </si>
  <si>
    <t>2-2440(a)(2) - Pesticide Law; Certified Private Applicator; Unlicensed performance of any service for the control of a pest or application of any pesticide on or at the premises of another person under any commission, division of receipts or subcontracting arrangement with a licensed pesticide business</t>
  </si>
  <si>
    <t>2-2453(a) - Pesticide Law; Certified Private Applicator; use of pesticides in a manner inconsistent with the label or labeling</t>
  </si>
  <si>
    <t>2-2454(i) - Pesticide Law; Certified/Registered/Licensed Persons; aid, abet or conspire with any person to evade any of the provisions of this act; allow a license, registration, permit or certificate to be used by an unlicensed or uncertified person</t>
  </si>
  <si>
    <t>2-2454(i) - Pesticide Law; Certified/Registered/Licensed Persons; Certified Private Applicator; aid, abet or conspire with any person to evade any of the provisions of this act; allow a license, registration, permit or certificate to be used by an unlicensed or uncertified person</t>
  </si>
  <si>
    <t>2-2454(t) - Pesticide Law; Certified/Registered/Licensed Persons; Certified Private Applicator; distribute, sell or offer for sale any pesticide product with altered, defaced or detached labeling</t>
  </si>
  <si>
    <t>2-2454(u) - Pesticide Law; Certified/Registered/Licensed Persons; Certified Private Applicator; distribute, sell or offer for sale any pesticide product with pesticide or pesticide residue on the container or packaging</t>
  </si>
  <si>
    <t>2-2454(s) - Pesticide Law; Certified/Registered/Licensed Persons; Certified Private Applicator; distribute, sell or offer for sale any pesticide unless it is in the pesticide registrant's or the pesticide manufacturer's unbroken immediate container and there is affixed to such container the registrant's label which is complete and legible and which can be read through any package wrappers</t>
  </si>
  <si>
    <t>2-2454(r) - Pesticide Law; Certified/Registered/Licensed Persons; Certified Private Applicator; distribute, sell, make available for use, or use any restricted use pesticide other than by certified applicator or under supervision of certified applicator</t>
  </si>
  <si>
    <t>2-2454(n) - Pesticide Law; Certified/Registered/Licensed Persons; Certified Private Applicator; engage in or advertise to provide pest control services without proper licenses, certification or registration</t>
  </si>
  <si>
    <t>2-2454(p) - Pesticide Law; Certified/Registered/Licensed Persons; Certified Private Applicator; failure to maintain/provide a copy of pesticide product labels/material safety data sheets when requested</t>
  </si>
  <si>
    <t>2-2454(a) - Pesticide Law; Certified/Registered/Licensed Persons; Certified Private Applicator; false or fraudulent claims through any media, misrepresenting the effect of material or methods to be utilized</t>
  </si>
  <si>
    <t>2-2454(j) - Pesticide Law; Certified/Registered/Licensed Persons; Certified Private Applicator; impersonate any state, county or city inspector or official, as acting in their official capacity</t>
  </si>
  <si>
    <t>2-2454(d) - Pesticide Law; Certified/Registered/Licensed Persons; Certified Private Applicator; knowingly operate faulty, unsafe or, if registration is required, unregistered equipment, or operate any equipment in a negligent manner</t>
  </si>
  <si>
    <t>2-2454(c) - Pesticide Law; Certified/Registered/Licensed Persons; Certified Private Applicator; knowingly use ineffective or improper methods or materials</t>
  </si>
  <si>
    <t>2-2454(b) - Pesticide Law; Certified/Registered/Licensed Persons; Certified Private Applicator; make a pesticide recommendation or use not in accordance with the directions for use on the label</t>
  </si>
  <si>
    <t>2-2454(k) - Pesticide Law; Certified/Registered/Licensed Persons; Certified Private Applicator; make any misrepresentation or defraud any member of the public</t>
  </si>
  <si>
    <t>2-2454(f) - Pesticide Law; Certified/Registered/Licensed Persons; Certified Private Applicator; make false or fraudulent records, invoices or reports</t>
  </si>
  <si>
    <t>2-2454(l) - Pesticide Law; Certified/Registered/Licensed Persons; Certified Private Applicator; permitting unlawful use of a pesticide business license or contract forms by an unlicensed person</t>
  </si>
  <si>
    <t>2-2454(h) - Pesticide Law; Certified/Registered/Licensed Persons; Certified Private Applicator; refuse or neglect to comply with limitations/ restrictions on or in a duly issued license, registration, permit or certificate</t>
  </si>
  <si>
    <t>2-2454(e) - Pesticide Law; Certified/Registered/Licensed Persons; Certified Private Applicator; refuse or neglect to keep and maintain records as required; refuse or neglect to make records available as required</t>
  </si>
  <si>
    <t>2-2454(m) - Pesticide Law; Certified/Registered/Licensed Persons; Certified Private Applicator; use any method or material without regard to public health, safety or welfare</t>
  </si>
  <si>
    <t>2-2454(q) - Pesticide Law; Certified/Registered/Licensed Persons; Certified Private Applicator; use any pesticide in a manner inconsistent with limitations imposed by the secretary pursuant to K.S.A. 2-2471</t>
  </si>
  <si>
    <t>2-2454(g) - Pesticide Law; Certified/Registered/Licensed Persons; Certified Private Applicator; use fraud or misrepresentation in making an application for or renewal of a license, registration, permit or certificate</t>
  </si>
  <si>
    <t>2-2454(o) - Pesticide Law; Certified/Registered/Licensed Persons; Certified Private Applicator; use, store, dispose of any pesticide material, pesticide rinsate or container without regard to public health or environmental damage</t>
  </si>
  <si>
    <t>2-2454(t) - Pesticide Law; Certified/Registered/Licensed Persons; distribute, sell or offer for sale any pesticide product with altered, defaced or detached labeling</t>
  </si>
  <si>
    <t>2-2454(u) - Pesticide Law; Certified/Registered/Licensed Persons; distribute, sell or offer for sale any pesticide product with pesticide or pesticide residue on the container or packaging</t>
  </si>
  <si>
    <t>2-2454(s) - Pesticide Law; Certified/Registered/Licensed Persons; distribute, sell or offer for sale any pesticide unless it is in the pesticide registrant's or the pesticide manufacturer's unbroken immediate container and there is affixed to such container the registrant's label which is complete and legible and which can be read through any package wrappers</t>
  </si>
  <si>
    <t>2-2454(r) - Pesticide Law; Certified/Registered/Licensed Persons; distribute, sell, make available for use, or use any restricted use pesticide other than by certified applicator or under supervision of certified applicator</t>
  </si>
  <si>
    <t>2-2454(n) - Pesticide Law; Certified/Registered/Licensed Persons; engage in or advertise to provide pest control services without proper licenses, certification or registration</t>
  </si>
  <si>
    <t>2-2454(p) - Pesticide Law; Certified/Registered/Licensed Persons; failure to maintain/provide a copy of pesticide product labels/material safety data sheets when requested</t>
  </si>
  <si>
    <t>2-2454(a) - Pesticide Law; Certified/Registered/Licensed Persons; false or fraudulent claims through any media, misrepresenting the effect of material or methods to be utilized</t>
  </si>
  <si>
    <t>2-2454(j) - Pesticide Law; Certified/Registered/Licensed Persons; impersonate any state, county or city inspector or official, as acting in their official capacity</t>
  </si>
  <si>
    <t>2-2454(d) - Pesticide Law; Certified/Registered/Licensed Persons; knowingly operate faulty, unsafe or, if registration is required, unregistered equipment, or operate any equipment in a negligent manner</t>
  </si>
  <si>
    <t>2-2454(c) - Pesticide Law; Certified/Registered/Licensed Persons; knowingly use ineffective or improper methods or materials</t>
  </si>
  <si>
    <t>2-2454(b) - Pesticide Law; Certified/Registered/Licensed Persons; make a pesticide recommendation or use not in accordance with directions for use on the label</t>
  </si>
  <si>
    <t>2-2454(k) - Pesticide Law; Certified/Registered/Licensed Persons; make any misrepresentation or defraud any member of the public</t>
  </si>
  <si>
    <t>2-2454(f) - Pesticide Law; Certified/Registered/Licensed Persons; make false or fraudulent records, invoices or reports</t>
  </si>
  <si>
    <t>2-2454(l) - Pesticide Law; Certified/Registered/Licensed Persons; permitting unlawful use of a pesticide business license or contract forms by an unlicensed person</t>
  </si>
  <si>
    <t>2-2454(h) - Pesticide Law; Certified/Registered/Licensed Persons; refuse or neglect to comply with any limitations or restrictions on or in a duly issued license, registration, permit or certificate</t>
  </si>
  <si>
    <t>2-2454(e) - Pesticide Law; Certified/Registered/Licensed Persons; refuse or neglect to keep and maintain records as required; refuse or neglect to make records available as required</t>
  </si>
  <si>
    <t>2-2454(m) - Pesticide Law; Certified/Registered/Licensed Persons; use any method or material without regard to public health, safety or welfare</t>
  </si>
  <si>
    <t>2-2454(q) - Pesticide Law; Certified/Registered/Licensed Persons; use any pesticide in a manner inconsistent with limitations imposed by the secretary pursuant to K.S.A. 2-2471</t>
  </si>
  <si>
    <t>2-2454(g) - Pesticide Law; Certified/Registered/Licensed Persons; use fraud or misrepresentation in making an application for or renewal of a license, registration, permit or certificate</t>
  </si>
  <si>
    <t>2-2454(o) - Pesticide Law; Certified/Registered/Licensed Persons; use, store, dispose of any pesticide material, pesticide rinsate or container without regard to public health or environmental damage</t>
  </si>
  <si>
    <t>2-2453(b) - Pesticide Law; Discard/store any pesticide or pesticide container in an unsafe manner</t>
  </si>
  <si>
    <t>2-2453(c) - Pesticide Law; Penalty for failure to comply with provisions of this act, rules or regulations</t>
  </si>
  <si>
    <t>2-2440b(a) - Pesticide Law; Pesticide business licensee applying pesticides without being certified as a commercial applicator or a registered pest control technician, or in presence of one so certified or registered</t>
  </si>
  <si>
    <t>2-2448(a)(1) - Pesticide Law; Surety bond; Certified Private Applicator; unlawful use of "bond" or "bonded" in advertising</t>
  </si>
  <si>
    <t>2-2448(a)(1) - Pesticide Law; Surety bond; unlawful use of "bond" or "bonded" in advertising</t>
  </si>
  <si>
    <t>2-2440(a)(1) - Pesticide Law; Unlicensed advertising, offering for sale, selling or performing any service for the control of a pest on another's property or applying a pesticide to another's property</t>
  </si>
  <si>
    <t>2-2440(a)(2) - Pesticide Law; Unlicensed performance of any service for the control of a pest or application of any pesticide on or at the premises of another person under any commission, division of receipts or subcontracting arrangement with a licensed pesticide business</t>
  </si>
  <si>
    <t>2-2453(a) - Pesticide Law; Use of pesticides in a manner inconsistent with the label or labeling</t>
  </si>
  <si>
    <t>47-1715(a) - Pet Animal Act, Violation or failure to comply with any provision of the act or any rule and regulation</t>
  </si>
  <si>
    <t>47-1733(a) - Pet Animal Act; Animal breeder license required</t>
  </si>
  <si>
    <t>47-1702 - Pet Animal Act; Animal distributor license required</t>
  </si>
  <si>
    <t>47-1719(a) - Pet Animal Act; Hobby breeder license required</t>
  </si>
  <si>
    <t>47-1735(a) - Pet Animal Act; Interfere with a representative of the animal health department</t>
  </si>
  <si>
    <t>47-1723(a) - Pet Animal Act; Kennel operator license required</t>
  </si>
  <si>
    <t>47-1709(g) - Pet Animal Act; Knowingly falsify results or findings of any inspection or investigation; intentionally fail or refuse to make an inspection/ conduct an investigation pursuant to this section</t>
  </si>
  <si>
    <t>47-1724(a) - Pet Animal Act; Knowingly purchase a dog or a cat for the purpose of resale from a person required to be licensed or permitted if that person is not so licensed or permitted</t>
  </si>
  <si>
    <t>47-1724(b) - Pet Animal Act; Licensees; knowingly sell to out-of-state distributors, animal distributors or pet shops who are not permitted or licensed in accordance with the Kansas Pet Animal Act</t>
  </si>
  <si>
    <t>47-1734(a) - Pet Animal Act; Out-of-state distributor permit required</t>
  </si>
  <si>
    <t>47-1703 - Pet Animal Act; Pet shop operator license required</t>
  </si>
  <si>
    <t>47-1704 - Pet Animal Act; Pound or animal shelter license</t>
  </si>
  <si>
    <t>47-1720(a) - Pet Animal Act; Research facility license required</t>
  </si>
  <si>
    <t>47-1736(a) - Pet Animal Act; Retail breeder license required</t>
  </si>
  <si>
    <t>65-1643(i) - Pharmacy Act; Be a pharmacy student without first obtaining a registration to do so from the board and paying the registration fee</t>
  </si>
  <si>
    <t>65-1641 - Pharmacy Act; Display of pharmacist license; when unlawful</t>
  </si>
  <si>
    <t>65-1643(c) - Pharmacy Act; Distribute at wholesale any drugs without first obtaining a registration from the board</t>
  </si>
  <si>
    <t>65-1643(e) - Pharmacy Act; Distribute or dispense samples of any drugs without first having obtained a permit from the board</t>
  </si>
  <si>
    <t>65-1634 - Pharmacy Act; Intentionally adulterate or mislabel any drugs, medicines, chemicals or poisons, or cause such or expose for sale knowing the same to be adulterated or mislabeled</t>
  </si>
  <si>
    <t>65-1631(a) - Pharmacy Act; Licensure required of pharmacists</t>
  </si>
  <si>
    <t>65-1643(b) - Pharmacy Act; Manufacture of any drugs without proper supervision or without first obtaining a registration from the board</t>
  </si>
  <si>
    <t>65-1643(j) - Pharmacy Act; Operate a veterinary medical teaching hospital pharmacy without first having obtained a registration from the board</t>
  </si>
  <si>
    <t>65-1643(h) - Pharmacy Act; Operate an institutional drug room without first having obtained a registration from the board</t>
  </si>
  <si>
    <t>65-1643(a) - Pharmacy Act; Operate, maintain, open or establish any pharmacy within this state without first having obtained a registration from the board</t>
  </si>
  <si>
    <t>65-1663(a) - Pharmacy Act; Registration of pharmacy technicians required</t>
  </si>
  <si>
    <t>65-1643(g) - Pharmacy Act; Sell any drugs manufactured and sold only in the state of Kansas, without having the label and directions on such drugs approved by the board</t>
  </si>
  <si>
    <t>65-1643(l) - Pharmacy Act; Sell more than 4 or more packages of a controlled substance listed in K.S.A. 65-4113 (e) or (f) to one customer within 7 day period</t>
  </si>
  <si>
    <t>65-1643(d) - Pharmacy Act; Sell or offer for sale at public auction or private sale in a place where public auctions are conducted, any drugs without first having obtained a registration from the board</t>
  </si>
  <si>
    <t>65-1643(f) - Pharmacy Act; Sell, offer for sale or distribute any drugs to the public without first having obtained a registration or permit from the board authorizing such person so to do</t>
  </si>
  <si>
    <t>65-1643(n) - Pharmacy Act; Sell, offer for sale, or lease durable medical equipment without registration</t>
  </si>
  <si>
    <t>65-1643(k) - Pharmacy Act; Unauthorized sale or distribution in a pharmacy of a controlled substance designated in subsection (e) or (f) of K.S.A. 65-4113</t>
  </si>
  <si>
    <t>65-1657(h) - Pharmacy Act; Unlawful advertising of nonresident, nonregistered pharmacy; effective Kansas Register</t>
  </si>
  <si>
    <t>65-16,107(b) - Pharmacy; Methamphetamine Precursor Sale Logging System Act; knowing disclosure in violation of the act</t>
  </si>
  <si>
    <t>65-16,107(a) - Pharmacy; Methamphetamine Precursor Sale Logging System Act; knowing failure to submit methamphetamine precursor log information to pharmacy board</t>
  </si>
  <si>
    <t>65-16,107(c) - Pharmacy; Methamphetamine Precursor Sale Logging System Act; knowing use of such information in a manner or for a purpose in violation of the act</t>
  </si>
  <si>
    <t>65-2914(c) - Physical Therapy; Certified physical therapist assistant treating ailments or other health conditions of human beings without direction of a licensed physical therapist</t>
  </si>
  <si>
    <t>65-2914(a) - Physical Therapy; Employ fraud or deception in applying for or securing a license as a physical therapist</t>
  </si>
  <si>
    <t>65-2914(b) - Physical Therapy; Licensed physical therapist  treating ailments/other health conditions other than by physical therapy without being licensed or registered to do so</t>
  </si>
  <si>
    <t>65-2916(a) - Physical Therapy; Penalty for violations of act</t>
  </si>
  <si>
    <t>65-2913(b) - Physical Therapy; Represent oneself as physical therapist assistant without such certification</t>
  </si>
  <si>
    <t>65-2913(a) - Physical Therapy; Represent oneself as physical therapist without such license</t>
  </si>
  <si>
    <t>39-1112(b) - Physically Disabled Persons; Misrepresent that a person has a disability for the purpose of acquiring an assistance dog</t>
  </si>
  <si>
    <t>39-1112(a) - Physically Disabled Persons; Misrepresent that a person has the right to be accompanied by an assistance dog in any place listed in K.S.A. 39-110, or a professional therapy dog in any place listed in K.S.A. 2005 Supp. 39-1110</t>
  </si>
  <si>
    <t>39-1103 - Physically Disabled Persons; Unlawful to interfere with rights</t>
  </si>
  <si>
    <t>65-28a06(a) - Physician Assistant Licensure Act; Practice as a physician assistant without license</t>
  </si>
  <si>
    <t>65-28a06(b) - Physician Assistant Licensure Act; Represent oneself as a physician assistant without such license</t>
  </si>
  <si>
    <t>65-28a14(a) - Physician Assistant Licensure Act; Violation of the act</t>
  </si>
  <si>
    <t>19-2953 - Planning and Zoning; Penalty for any violation of act</t>
  </si>
  <si>
    <t>2-2124(a)(5) - Plant Pests; Engage in business as a live plant dealer and use an invalid, suspended or revoked certificate of inspection, permit or live plant dealer license</t>
  </si>
  <si>
    <t>2-2124(a)(3) - Plant Pests; Fail to carry out the treatment or destruction of any plant pest or regulated article</t>
  </si>
  <si>
    <t>2-2124(a)(6) - Plant Pests; Failure to comply with provisions of this act, or other rules and regulations</t>
  </si>
  <si>
    <t>2-2124(a)(2) - Plant Pests; Hinder or prevent the secretary from carrying out duties under this act</t>
  </si>
  <si>
    <t>2-2124(a)(7) - Plant Pests; Knowingly move any regulated article into or within KS from a quarantined area if not treated or handled as per the requirements of said quarantine at the point of origin of such article</t>
  </si>
  <si>
    <t>2-2124(a)(1) - Plant Pests; Sell, barter, offer for sale, or move, transport, deliver, ship or offer for shipment into or within this state any plant pests in any living stage without approval for such shipment from the secretary</t>
  </si>
  <si>
    <t>2-2124(a)(4) - Plant Pests; Sell, transport, deliver, distribute, offer or expose for sale noncompliant live plants</t>
  </si>
  <si>
    <t>81482 - Plant Pests; Unlawful to sell, deliver, transport or ship live plants or other regulated articles not in compliance with act</t>
  </si>
  <si>
    <t>65-2007 - Podiatrist; Violating podiatry act</t>
  </si>
  <si>
    <t>21-6408(a) - Possession of Gambling Device</t>
  </si>
  <si>
    <t>2-916 - Poultry Disease Control Act; Penalty for violation of act, K.S.A. 2-908 to 2-915</t>
  </si>
  <si>
    <t>21-6004(a) - Presenting False Claim; With intent to defraud; $25,000 or more</t>
  </si>
  <si>
    <t>21-6004(a) - Presenting False Claim; With intent to defraud; At least $1,000 but less than $25,000</t>
  </si>
  <si>
    <t>21-6004(a) - Presenting False Claim; With Intent to Defraud; claim less than $1,000</t>
  </si>
  <si>
    <t>74-32,177(a)(3) - Private &amp; Out-of-State Postsecondary Educational Institution Act; Accept contracts or enrollment applications from a representative who is not registered</t>
  </si>
  <si>
    <t>74-32,177(a)(1) - Private &amp; Out-of-State Postsecondary Educational Institution Act; Operate an institution without a certificate of approval</t>
  </si>
  <si>
    <t>74-32,177(a)(2) - Private &amp; Out-of-State Postsecondary Educational Institution Act; Solicit prospective students without being registered as required by this act</t>
  </si>
  <si>
    <t>74-32,177(a)(5) - Private &amp; Out-of-State Postsecondary Educational Institution Act; Unauthorized use of the term "accredited" in the name or advertisement of an institution</t>
  </si>
  <si>
    <t>74-32,177(a)(6) - Private &amp; Out-of-State Postsecondary Educational Institution Act; Unauthorized use of the term "university" in the name or advertisement of an institution</t>
  </si>
  <si>
    <t>74-32,177(a)(4) - Private &amp; Out-of-State Postsecondary Educational Institution Act; Use fraud or misrepresentation in advertising or in procuring enrollment of a student</t>
  </si>
  <si>
    <t>75-7b15(e) - Private Investigative or Security Operations; Unreasonably fail to obey subpoena; refuse to be examined or to answer legal or pertinent question as to the character or qualification of applicant or licensee or such's business, business practices and methods or such violations</t>
  </si>
  <si>
    <t>21-1801(a) - Prize Fights and Wrestling Matches Prohibited; exception</t>
  </si>
  <si>
    <t>55-708 - Production &amp; Conservation of Natural Gas; Any violation of act or valid order or rules or regulations of the commission</t>
  </si>
  <si>
    <t>55-701 - Production &amp; Conservation of Natural Gas; Waste of natural gas prohibited</t>
  </si>
  <si>
    <t>65-5803(b) - Professional Counselor; Practice professional counseling as a clinical professional counselor without license; Represent oneself as a licensed clinical professional counselor without having such license</t>
  </si>
  <si>
    <t>65-5803(a) - Professional Counselor; Practice professional counseling or represent oneself as a licensed professional counselor, licensed counselor or professional counselor without having such license</t>
  </si>
  <si>
    <t>21-6402(a)(1) - Promoting Material to Minors that is Harmful; Knowingly display any material which is harmful to minors</t>
  </si>
  <si>
    <t>21-6402(a)(2) - Promoting Material to Minors that is Harmful; Knowingly present or distribute to a minor, or otherwise allowing a minor to view, with or without consideration, material harmful to minors</t>
  </si>
  <si>
    <t>21-6402(a)(3) - Promoting Material to Minors that is Harmful; Knowingly present to a minor, or participate in presenting to a minor, with or without consideration, any performance which is harmful to a minor</t>
  </si>
  <si>
    <t>21-6401(b) - Promoting Obscenity to Minors; 2nd or subs. offense</t>
  </si>
  <si>
    <t>21-6401(b) - Promoting Obscenity; As defined in subsections (a)(1) - (a)(4); Where recipient is a child under 18 years of age; 1st offense</t>
  </si>
  <si>
    <t>21-6401(a)(1) - Promoting Obscenity; Recklessly manufacture, mail, transmit, publish, distribute, present, exhibit or advertise any obscene material or obscene device; 1st offense</t>
  </si>
  <si>
    <t>21-6401(a)(1) - Promoting Obscenity; Recklessly manufacture/distribute/mail/transmit/exhibit/publish/present or advertise any obscene material or obscene device; 2nd or subs. offense</t>
  </si>
  <si>
    <t>21-6401(a)(3) - Promoting Obscenity; Recklessly offer or agree to manufacture, mail, transmit, publish, distribute, present, exhibit or advertise any obscene material or obscene device; 1st offense</t>
  </si>
  <si>
    <t>21-6401(a)(3) - Promoting Obscenity; Recklessly offer or agree to manufacture/distribute/mail/transmit/exhibit/publish/present or advertise any obscene material or obscene device; 2nd or subs. offense</t>
  </si>
  <si>
    <t>21-6401(a)(2) - Promoting Obscenity; Recklessly possess any obscene material or obscene device with intent to issue/mail/transmit/distribute/exhibit/publish/present or advertise such material or device; 2nd or subs. offense</t>
  </si>
  <si>
    <t>21-6401(a)(2) - Promoting Obscenity; Recklessly possess any obscene material or obscene device with intent to mail, transmit, publish, distribute, present, exhibit or advertise such material or device; 1st offense</t>
  </si>
  <si>
    <t>21-6401(a)(4) - Promoting Obscenity; Recklessly produce, present or direct an obscene performance or participate in a portion thereof which is obscene or which contributes to its obscenity; 1st offense</t>
  </si>
  <si>
    <t>21-6401(a)(4) - Promoting Obscenity; Recklessly produce, present or direct an obscene performance or participate in a portion thereof which is obscene or which contributes to its obscenity; 2nd or subs. offense</t>
  </si>
  <si>
    <t>21-6420(a)(8) - Promoting the Sale of Sexual Relations; Being employed to perform any act prohibited by this section offender has no prior convictions under this section</t>
  </si>
  <si>
    <t>21-6420(a)(8) - Promoting the Sale of Sexual Relations; Being employed to perform any act prohibited by this section offender has prior conviction under this section</t>
  </si>
  <si>
    <t>21-6420(a)(1) - Promoting the Sale of Sexual Relations; Knowingly establishing, owning, maintaining or managing property where sexual relations are sold by a person 18 or older; offender has no prior convictions under this section</t>
  </si>
  <si>
    <t>21-6420(a)(1) - Promoting the Sale of Sexual Relations; Knowingly establishing, owning, maintaining or managing property where sexual relations are sold by a person 18 or older; offender has prior conviction under this section</t>
  </si>
  <si>
    <t>21-6420(a)(4) - Promoting the Sale of Sexual Relations; Knowingly inducing a person 18 or older to become a person who sells sexual relations; offender has no prior convictions under this section</t>
  </si>
  <si>
    <t>21-6420(a)(4) - Promoting the Sale of Sexual Relations; Knowingly inducing a person 18 or older to become a person who sells sexual relations; offender has prior conviction under this section</t>
  </si>
  <si>
    <t>21-6420(a)(2) - Promoting the Sale of Sexual Relations; Knowingly permit property to be used as place where sexual relations are offered or sold by a person 18 or older; offender has no prior convictions under this section</t>
  </si>
  <si>
    <t>21-6420(a)(2) - Promoting the Sale of Sexual Relations; Knowingly permit property to be used as place where sexual relations are offered or sold by a person 18 or older; offender has prior conviction under this section</t>
  </si>
  <si>
    <t>21-6420(a)(6) - Promoting the Sale of Sexual Relations; Knowingly procuring a person 18 or older selling sexual relations for a patron offender has no prior convictions under this section</t>
  </si>
  <si>
    <t>21-6420(a)(6) - Promoting the Sale of Sexual Relations; Knowingly procuring a person 18 or older selling sexual relations for a patron offender has prior conviction under this section</t>
  </si>
  <si>
    <t>21-6420(a)(3) - Promoting the Sale of Sexual Relations; Knowingly procuring a person 18 or older selling sexual relations for a place where sexual relations are sold; offender has no prior convictions under this section</t>
  </si>
  <si>
    <t>21-6420(a)(3) - Promoting the Sale of Sexual Relations; Knowingly procuring a person 18 or older selling sexual relations for a place where sexual relations are sold; offender has prior conviction under this section</t>
  </si>
  <si>
    <t>21-6420(a)(5) - Promoting the Sale of Sexual Relations; Knowingly soliciting a patron for a person 18 or older selling sexual relations or a place where sexual relations are sold offender has no prior convictions under this section</t>
  </si>
  <si>
    <t>21-6420(a)(5) - Promoting the Sale of Sexual Relations; Knowingly soliciting a patron for a person 18 or older selling sexual relations or a place where sexual relations are sold offender has prior conviction under this section</t>
  </si>
  <si>
    <t>21-6420(a)(7) - Promoting the Sale of Sexual Relations; Knowingly transporting a person 18 or older within the state for promoting or assisting the selling of sexual relations offender has no prior convictions under this section</t>
  </si>
  <si>
    <t>21-6420(a)(7) - Promoting the Sale of Sexual Relations; Knowingly transporting a person 18 or older within the state for promoting or assisting the selling of sexual relations offender has prior conviction under this section</t>
  </si>
  <si>
    <t>21-5924(a)(1) - Protection Orders; Knowingly violate a protection from abuse order</t>
  </si>
  <si>
    <t>21-5924(a)(6) - Protection Orders; Knowingly violate a protection from stalking order</t>
  </si>
  <si>
    <t>21-5924(a)(2) - Protection Orders; Knowingly violate a protective order issued by a court or tribunal of any state or Indian tribe</t>
  </si>
  <si>
    <t>21-5924(a)(3) - Protection Orders; Knowingly violate a restraining order</t>
  </si>
  <si>
    <t>21-5924(b)(2) - Protection Orders; Knowingly violate an extended protective order of abuse or stalking</t>
  </si>
  <si>
    <t>21-5924(a)(4) - Protection Orders; Knowingly violate an order issued as a condition of pretrial release, diversion, probation, suspended sentence or postrelease supervision</t>
  </si>
  <si>
    <t>21-5924(a)(5) - Protection Orders; Knowingly violate an order issued as a condition of release after conviction or as a condition of a supersedes bond pending disposition of an appeal</t>
  </si>
  <si>
    <t>74-5349(c) - Psychologists; Intentionally represent to the public that one is endorsed in a specialty if not so endorsed</t>
  </si>
  <si>
    <t>74-5371(b) - Psychologists; Practice masters level psychology or hold oneself out as a licensed clinical psychotherapist without holding such license</t>
  </si>
  <si>
    <t>74-5371(a) - Psychologists; Practice masters level psychology or hold oneself out as a licensed masters level psychologist without holding a valid license</t>
  </si>
  <si>
    <t>74-5340 - Psychologists; Represent oneself to be a psychologist without a valid, existing license as a psychologist issued by the board</t>
  </si>
  <si>
    <t>74-4905(f) - Public Employees Retirement Systems; Serving on the board while knowingly obtaining substantial interests in any nonpublicly traded investment with moneys of the fund</t>
  </si>
  <si>
    <t>65-6b08(b) - Public Health; Amygdalin (Laetrile); distributing amygdalin (laetrile) at wholesale without permit</t>
  </si>
  <si>
    <t>65-6b08(a) - Public Health; Amygdalin (Laetrile); manufacturing amygdalin (laetrile) without registration</t>
  </si>
  <si>
    <t>65-6b08(d) - Public Health; Amygdalin (Laetrile); sell, offer for sale or distribute amygdalin (laetrile) to the public without a valid prescription of a physician</t>
  </si>
  <si>
    <t>65-6b08(c) - Public Health; Amygdalin (Laetrile); sell, offer for sale or distribute amygdalin (laetrile) to the public, except by a physician, without a currently effective permit</t>
  </si>
  <si>
    <t>65-5605 - Public Health; Confidential Communications &amp; Information; Willful violation of the patient's confidentiality</t>
  </si>
  <si>
    <t>65-5414(a) - Public Health; Unauthorized representation as occupational therapist or occupational therapy assistant</t>
  </si>
  <si>
    <t>65-905 - Public Health; Use of Dead Bodies by Medical School; penalty for violation of provisions of act</t>
  </si>
  <si>
    <t>19-27,151 - Public Improvements; Penalty for any violation of rules and regulations</t>
  </si>
  <si>
    <t>19-2779 - Public Improvements; Willful neglect or failure of director to perform duties imposed</t>
  </si>
  <si>
    <t>19-2780 - Public Improvements; Wrongfully injure, destroy or impair usefulness of any work or improvement</t>
  </si>
  <si>
    <t>47-1010(a)(1) - Public Livestock Markets; Assume or attempt to act as a public livestock market operator without a license</t>
  </si>
  <si>
    <t>47-1010(a)(3) - Public Livestock Markets; Fail to account promptly, correctly and fully for any livestock sold or handled and properly to make settlements therefore</t>
  </si>
  <si>
    <t>47-1010(a)(6) - Public Livestock Markets; Fail to comply with this act and any and all lawful rules, regulations and orders of the commissioner issued and promulgated hereunder</t>
  </si>
  <si>
    <t>47-1010(a)(2) - Public Livestock Markets; Impose false charges for handling or services in connection with livestock handled, sold or offered for sale at a public livestock market</t>
  </si>
  <si>
    <t>47-1010(a)(5) - Public Livestock Markets; Make any false or misleading statements as to the health or physical condition of the livestock or quantity of livestock shipped or sold</t>
  </si>
  <si>
    <t>47-1010(a)(4) - Public Livestock Markets; Make false or misleading statements as to market conditions at any public livestock market by its owner or employees</t>
  </si>
  <si>
    <t>21-6204(a) - Public Nuisance; Maintaining a Public Nuisance; Knowingly causing or permitting condition to exist which injures or endangers the public health, safety or welfare</t>
  </si>
  <si>
    <t>21-6204 - Public Nuisance; Maintaining; Permitting</t>
  </si>
  <si>
    <t>21-6204(b) - Public Nuisance; Permitting a Public Nuisance; Knowingly permitting property under offender's control to be used to maintain a public nuisance</t>
  </si>
  <si>
    <t>75-4315d(g) - Public Officers &amp; Employees; Appointments; Unauthorized intentional disclosure of personal information of appointees</t>
  </si>
  <si>
    <t>75-1232 - Public Officers &amp; Employees; Architectural Services; knowingly permit the use of, using or occupying a mobile home in violation of the provisions of this act</t>
  </si>
  <si>
    <t>75-1223(a) - Public Officers &amp; Employees; Architectural Services; penalty for violation of act</t>
  </si>
  <si>
    <t>75-2957 - Public Officers &amp; Employees; Civil Service; penalty for violation of act</t>
  </si>
  <si>
    <t>75-2953(a) - Public Officers &amp; Employees; Civil Service; State employee using authority or official influence to compel another state employee to apply for or become member of organization, pay or promise to pay assessment or contribution or take part in political activity</t>
  </si>
  <si>
    <t>75-53,105(f) - Public Officers &amp; Employees; Department for Children and Families; Unauthorized discloseure of records from KBI and FBI</t>
  </si>
  <si>
    <t>75-5226(a) - Public Officers &amp; Employees; Department of Corrections; unlawful use of inmate labor</t>
  </si>
  <si>
    <t>75-5145 - Public Officers &amp; Employees; Department of Revenue; unlawful for debt collection agency to utilize or divulge certain information</t>
  </si>
  <si>
    <t>75-5133(a) - Public Officers &amp; Employees; Department of Revenue; unlawful to divulge licensure, registration and tax information</t>
  </si>
  <si>
    <t>75-4228 - Public Officers &amp; Employees; Liability of Treasurer and Director of Accounts and Reports</t>
  </si>
  <si>
    <t>75-1130 - Public Officers &amp; Employees; Municipal Accounting Board; penalties for violation of act</t>
  </si>
  <si>
    <t>75-1128 - Public Officers &amp; Employees; Municipal Accounting Board; unlawfully acting as licensed public accountant</t>
  </si>
  <si>
    <t>75-2207 - Public Officers &amp; Employees; State Capitol; unauthorized removal of property from hall of house of representatives</t>
  </si>
  <si>
    <t>75-2749(a) - Public Officers &amp; Employees; State Historical Society; failure to comply with notification requirements herein pertaining to a violation of K.S.A. 75-2748</t>
  </si>
  <si>
    <t>75-2749(b) - Public Officers &amp; Employees; State Historical Society; failure to comply with notification requirements herein pertaining to discovery of human skeletal remains</t>
  </si>
  <si>
    <t>75-2748 - Public Officers &amp; Employees; State Historical Society; Human skeletal remains violations</t>
  </si>
  <si>
    <t>75-7313(b) - Public Officers &amp; Employees; State Long-Term Care Ombudsman; discriminatory, disciplinary or retaliatory action against individuals for communications with ombudsman prohibited</t>
  </si>
  <si>
    <t>75-7313(a) - Public Officers &amp; Employees; State Long-Term Care Ombudsman; interference with lawful action or activity of ombudsman</t>
  </si>
  <si>
    <t>75-4229 - Public Officers &amp; Employees; State moneys; criminal liability of board members</t>
  </si>
  <si>
    <t>75-4313 - Public Officers &amp; Employees; Unauthorized disbursement of funds</t>
  </si>
  <si>
    <t>75-4316(b) - Public Officers &amp; Employees; Unlawful discharge of public employee declaring or subjected to bankruptcy, wage earners' plan or similar proceeding</t>
  </si>
  <si>
    <t>75-4314 - Public Officers &amp; Employees; Unlawful receipt of funds by a public official</t>
  </si>
  <si>
    <t>75-4306(a) - Public Officers &amp; Employees; Violation of K.S.A. 75-4304 or 75-4305, and amendments thereto, or failure to make any disclosure of substantial interests required by K.S.A. 75-4302a</t>
  </si>
  <si>
    <t>75-4508(a) - Public Officers &amp; Employees; Violation of K.S.A. 75-4505, 75-4506 or 75-4507 or rules and regulations thereunder</t>
  </si>
  <si>
    <t>45-407(d) - Public Records Preservation; Unauthorized disclosure of confidential information prohibited</t>
  </si>
  <si>
    <t>66-1203 - Public Utilities; Demurrage rates prohibited</t>
  </si>
  <si>
    <t>66-137 - Public Utilities; Powers of State Corporation Commission; falsifying or destroying accounts/records</t>
  </si>
  <si>
    <t>21-5838(a) - Pyramid Promotional Scheme; Knowingly establish, operate, advertise or promote scheme</t>
  </si>
  <si>
    <t>65-7303(c) - Radiologic Technologists Practice Act; Depicting oneself as holder of a license without such license</t>
  </si>
  <si>
    <t>65-7303(a) - Radiologic Technologists Practice Act; Perform radiologic technology procedures on humans for diagnostic or therapeutic purposes without a valid license</t>
  </si>
  <si>
    <t>65-7303(b) - Radiologic Technologists Practice Act; Unauthorized use of radioactive substances/equipment</t>
  </si>
  <si>
    <t>48-16a11(a) - Radon Certification Law; Willful violation</t>
  </si>
  <si>
    <t>66-274 - Railroad Companies; Any railroad company or corporation operating a line of railroad in Kansas failing or neglecting to comply with K.S.A. 66-273</t>
  </si>
  <si>
    <t>66-228 - Railroad Companies; Fail to restore crossing with time allowed</t>
  </si>
  <si>
    <t>66-273 - Railroad Companies; Requirements for permitting trains, engines or cars to stand on public highway</t>
  </si>
  <si>
    <t>58-4103(a)(3) - Real Estate Appraisers; Advertise of otherwise represent that such person is a state certified or license appraiser</t>
  </si>
  <si>
    <t>58-4103(a)(2) - Real Estate Appraisers; Assume or use the title of state certified or licensed appraiser without certification or licensure</t>
  </si>
  <si>
    <t>58-4103(a)(1) - Real Estate Appraisers; Engage in any written appraisal in connection with a federally related transaction without certification or licensure</t>
  </si>
  <si>
    <t>58-3073 - Real Estate Brokers' &amp; Salespersons' License Act; File statement required under K.S.A. 58-3066 to 58-3071 which is false or untrue or contains any material misstatement of fact</t>
  </si>
  <si>
    <t>58-3065(a) - Real Estate Brokers' &amp; Salespersons' License Act; Penalty for violation of act</t>
  </si>
  <si>
    <t>21-6323(a) - Refusal to Yield a Telephone Party Line in Emergency</t>
  </si>
  <si>
    <t>44-619 - Regulation of Labor &amp; Industry; Induce violation of act or orders</t>
  </si>
  <si>
    <t>65-1693(a) - Regulation of Pharmacists; Knowingly fail to submit prescription monitoring information as a dispenser to the board as required or submit incorrect prescription monitoring information</t>
  </si>
  <si>
    <t>65-1693(b) - Regulation of Pharmacists; Person authorized to have prescription monitoring information pursuant to the act who knowingly discloses such information in violation of the state Pharmacy Act</t>
  </si>
  <si>
    <t>65-1693(c) - Regulation of Pharmacists; Person authorized to have prescription monitoring information pursuant to the act who knowingly uses such information in a manner or for a purpose in violation of the state Pharmacy Act</t>
  </si>
  <si>
    <t>65-1693(d) - Regulation of Pharmacists; Person unauthorized to have prescription monitoring information pursuant to the state Pharmacy Act who knowingly obtains or attempts to obtain the same</t>
  </si>
  <si>
    <t>55-1504(a) - Regulations of Equipment/Crude Oil/Products; Failure of person possessing crude oil to produce the required documentation</t>
  </si>
  <si>
    <t>55-1502(a) - Regulations of Equipment/Crude Oil/Products; Failure of records to contain required information</t>
  </si>
  <si>
    <t>55-1503(a) - Regulations of Equipment/Crude Oil/Products; Failure to permit inspection of equipment or materials being transported</t>
  </si>
  <si>
    <t>55-1502(b) - Regulations of Equipment/Crude Oil/Products; Failure to retain records as required</t>
  </si>
  <si>
    <t>55-1505 - Regulations of Equipment/Crude Oil/Products; Tamper with field equipment identification</t>
  </si>
  <si>
    <t>39-1402(a) - Reporting Abuse, Neglect or Exploitation of Certain Persons; Failure to report abuse, neglect or exploitation of residents</t>
  </si>
  <si>
    <t>39-1431(a) - Reporting Abuse, Neglect or Exploitation of Certain Persons; Failure to report abuse, neglect or exploitation or need of protective services</t>
  </si>
  <si>
    <t>65-1,209(a) - Residential Childhood Lead Poisoning Prevention Act; 1st violation of act</t>
  </si>
  <si>
    <t>65-1,209(b) - Residential Childhood Lead Poisoning Prevention Act; 2nd or subs. violation of act</t>
  </si>
  <si>
    <t>65-5514(a) - Respiratory Therapy Practice Act; Unauthorized representation as respiratory therapist</t>
  </si>
  <si>
    <t>79-3606(iii) - Retailers' Sales Tax; 501(c)(3) Charitable Organization; contractor use of or disposal of materials purchased under tax exempt certificate for purpose not authorized by certificate without payment of tax</t>
  </si>
  <si>
    <t>79-3606(xxx) - Retailers' Sales Tax; Booth Theatre Foundation; contractor use of or disposal of materials purchased under tax exempt certificate for purpose not authorized by certificate without payment of tax</t>
  </si>
  <si>
    <t>79-3606(sss) - Retailers' Sales Tax; Catholic charities or Youthville; contractor use of or disposal of materials purchased under tax exempt certificate for purpose not authorized by certificate without payment of tax</t>
  </si>
  <si>
    <t>79-3606(e) - Retailers' Sales Tax; Federal Projects; contractor use of or disposal of materials purchased under tax exempt certificate for purpose not authorized by certificate without payment of tax</t>
  </si>
  <si>
    <t>79-3606(uuu) - Retailers' Sales Tax; Kansas Children's Service League; contractor use of or disposal of materials purchased under tax exempt certificate for purpose not authorized by certificate without payment of tax</t>
  </si>
  <si>
    <t>79-3606e - Retailers' Sales Tax; Kiowa County Disaster; contractor use of or disposal of materials purchased under tax exempt certificate for purpose not authorized by certificate without payment of tax</t>
  </si>
  <si>
    <t>79-3606(cc) - Retailers' Sales Tax; Manufacturing, non-manufacturing, or retail business exemption for construction, remodeling or expansion pursuant to requirements of K.S.A. 74-50,115; contractor use of or disposal of materials purchased under tax exempt certificate for purpose not authorized by certificate without payment of tax</t>
  </si>
  <si>
    <t>79-3606(hhhh) - Retailers' Sales Tax; NAICS subsectors; contractor use or disposal of materials purchased under tax exempt certification for purpose not authorized without payment of tax</t>
  </si>
  <si>
    <t>79-3606(ttt) - Retailers' Sales Tax; Nonprofit Museum; contractor use of or disposal of materials purchased under tax exempt certificate for purpose not authorized by certificate without payment of tax</t>
  </si>
  <si>
    <t>79-3606(ccc) - Retailers' Sales Tax; Nonprofit Primary Care Clinic or Health Center; contractor use of or disposal of materials purchased under tax exempt certificate for purpose not authorized by certificate without payment of tax</t>
  </si>
  <si>
    <t>79-3606(aaa) - Retailers' Sales Tax; Nonprofit Religious Organization; contractor use of or disposal of materials purchased under tax exempt certificate for purpose not authorized by certificate without payment of tax</t>
  </si>
  <si>
    <t>79-3606(xx) - Retailers' Sales Tax; Nonprofit Zoo; contractor use of or disposal of materials purchased under tax exempt certificate for purpose not authorized by certificate without payment of tax</t>
  </si>
  <si>
    <t>79-3606(d) - Retailers' Sales Tax; Public Buildings; contractor use of or disposal of materials purchased under tax exempt certificate for purpose not authorized by certificate without payment of tax</t>
  </si>
  <si>
    <t>79-3606(ffff) - Retailers' Sales Tax; Sheltered Living, Inc.; contractor use of or disposal of materials purchased under tax exempt certificate for purpose not authorized by certificate without payment of tax</t>
  </si>
  <si>
    <t>79-3606(yyy) - Retailers' Sales Tax; TLC Charities Foundation Inc.; contractor use of or disposal of materials purchased under tax exempt certificate for purpose not authorized by certificate without payment of tax</t>
  </si>
  <si>
    <t>79-3606(qqq) - Retailers' Sales Tax; TLC for Children and Families Inc.; contractor use of or disposal of materials purchased under tax exempt certificate for purpose not authorized by certificate without payment of tax</t>
  </si>
  <si>
    <t>79-3606(iiii) - Retailers' Sales Tax; Wichita Children's Home; contractor use or disposal of materials purchased under tax exempt certification for purpose not authorized without payment of tax</t>
  </si>
  <si>
    <t>79-3651(g) - Retailers' Sales Tax; Willfully and intentionally refuse to pay tax to retailer for purchase of tangible personal property or services</t>
  </si>
  <si>
    <t>16a-5-301(1) - Revised Uniform Consumer Credit Code; Intentional violation of the act; 2nd or subs.</t>
  </si>
  <si>
    <t>16a-5-301(3) - Revised Uniform Consumer Credit Code; Intentional Violations; engage in consumer credit transactions and undertake collection of payments or enforcement of rights without complying with provisions pertaining to notification or payment of fees</t>
  </si>
  <si>
    <t>16a-5-301(1) - Revised Uniform Consumer Credit Code; Remedies and Penalties; intentional violation of the act; 2nd or subs.</t>
  </si>
  <si>
    <t>21-6329(a)(2) - RICO Act; Acquire or maintain an interest or control of any enterprise or real property through a pattern of racketeering activity or collection of unlawful debt</t>
  </si>
  <si>
    <t>21-6329(a)(3) - RICO Act; Conduct or participate in any enterprise through a pattern of racketeering activity or collection of unlawful debt</t>
  </si>
  <si>
    <t>21-6329(a)(1) - RICO Act; Receive, with criminal intent, proceeds of a racketeering activity or collection of unlawful debt, in order to use or invest such proceeds in the acquisition of real property or operation of any enterprise</t>
  </si>
  <si>
    <t>21-6201(a)(2) - Riot; Five or more persons acting together and without lawful authority engaging in any; Threat to use force or violence against any person or property if accompanied by power or apparent power of immediate execution</t>
  </si>
  <si>
    <t>21-6201(a)(1) - Riot; Five or more persons acting together and without lawful authority engaging in any; Use of force of violence which produces a breach of peace</t>
  </si>
  <si>
    <t>68-534 - Roads &amp; Bridges; County &amp; Township Roads; make a false return of the number of miles dragged, time spent on other work, or amount of work done for compensation; officer who neglects or refuses to enforce the provisions of this section as related to the dragging of roads or highways</t>
  </si>
  <si>
    <t>68-557 - Roads &amp; Bridges; County &amp; Township Roads; neglect or refusal of any officer charged with the administration of this act to enforce or comply with the provisions herein</t>
  </si>
  <si>
    <t>68-548 - Roads &amp; Bridges; County &amp; Township Roads; officer's violation of act or failure to perform duty as required</t>
  </si>
  <si>
    <t>68-549 - Roads &amp; Bridges; County &amp; Township Roads; penalty for violation of act</t>
  </si>
  <si>
    <t>68-545 - Roads &amp; Bridges; County &amp; Township Roads; unlawful obstructions, excavations, removal of materials, dumping trash or other materials or plowing of roads</t>
  </si>
  <si>
    <t>68-2106 - Roads &amp; Bridges; Destroy or remove barricades, warning signs, or drive on closed hard-surfaced highway</t>
  </si>
  <si>
    <t>68-2107 - Roads &amp; Bridges; Fail, neglect or refuse to comply with the provisions of this act</t>
  </si>
  <si>
    <t>68-127 - Roads &amp; Bridges; Injure or destroy, or leave open any gate constructed under the provisions of K.S.A. 68-126, at a time when such gate or gates are to remain closed</t>
  </si>
  <si>
    <t>68-167 - Roads &amp; Bridges; Install, construct, erect, maintain or operate within fifty (50) feet of the right of way of any federal, state or federal and state highway or any turnpike project a flashing or revolving sign, light or reflector which is red or amber in color when lighted or when light rays are focused on it</t>
  </si>
  <si>
    <t>68-2215 - Roads &amp; Bridges; Junkyard &amp; Salvage Control Act; unlawful junkyard maintenance</t>
  </si>
  <si>
    <t>68-1129 - Roads &amp; Bridges; Move engines or heavy vehicles on bridge or culvert and fail to lay planks required</t>
  </si>
  <si>
    <t>68-1115 - Roads &amp; Bridges; Penalty for premature opening of bids</t>
  </si>
  <si>
    <t>68-134 - Roads &amp; Bridges; Remove, ride or drive upon any portion of sidewalk</t>
  </si>
  <si>
    <t>68-406(f) - Roads &amp; Bridges; State Highways; fail or neglect to comply with the provisions of this subsection</t>
  </si>
  <si>
    <t>68-433 - Roads &amp; Bridges; State Highways; penalty for violation of act</t>
  </si>
  <si>
    <t>21-5420(a) - Robbery; Knowingly take property from person or presence of another by force or by threat of bodily harm</t>
  </si>
  <si>
    <t>69-103 - Sabbath; Penalty for procuring adjournment for trial on Saturday</t>
  </si>
  <si>
    <t>69-102 - Sabbath; Penalty for serving process made returnable on that day</t>
  </si>
  <si>
    <t>65-3803 - Safety Materials; Knowingly install, cause installation or consent to installation of glazing materials other than safety glazing materials in any hazardous location</t>
  </si>
  <si>
    <t>65-3802(a) - Safety Materials; Safety glazing material labeling required</t>
  </si>
  <si>
    <t>21-5834(a) - Sale of Recut or Regrooved Tires</t>
  </si>
  <si>
    <t>70a-101 - Sand &amp; Gravel; Taking materials from rivers and islands belonging to state</t>
  </si>
  <si>
    <t>19-3707(a) - Sanitation Controls; Penalty for any violation of code</t>
  </si>
  <si>
    <t>19-3709 - Sanitation Controls; Violation of licensing resolutions pertaining to septic tank cleaning and hauling of sewage</t>
  </si>
  <si>
    <t>17-5412 - Savings &amp; Loans Code; Capital; declaration of dividends</t>
  </si>
  <si>
    <t>17-5811 - Savings &amp; Loans Code; Misc.; accept payment when capital impaired</t>
  </si>
  <si>
    <t>17-5812 - Savings &amp; Loans Code; Misc.; Fraudulent Acts</t>
  </si>
  <si>
    <t>72-89b04(a) - School Safety &amp; Security Act; Willful and knowing failure to make a report; prevent or interfere with the making of a report as required by subsection (b)(1) of K.S.A. 72-89b03</t>
  </si>
  <si>
    <t>72-89b04(b) - School Safety &amp; Security Act; Willful and knowing failure to transmit reports made by school employees to the appropriate state or local law enforcement agency; prevent or interfere with the transmission of reports as required by subsection (b)(1) of K.S.A. 72-89b03</t>
  </si>
  <si>
    <t>72-5019 - Schools; Driver Training; use a driver training motor vehicle for purposes other than instruction</t>
  </si>
  <si>
    <t>72-8314 - Schools; Transportation of Students; operate motor vehicle used to transport students in violation of act</t>
  </si>
  <si>
    <t>50-6,111 - Scrap Metal Dealers; Intentional purchase without receipt of required information; records maintained</t>
  </si>
  <si>
    <t>50-6,111 - Scrap Metal Dealers; Intentional purchase without receipt of required information; records maintained; 2nd violation within 2-yr period</t>
  </si>
  <si>
    <t>50-6,111 - Scrap Metal Dealers; Intentional purchase without receipt of required information; records maintained; 3rd or subs. violation within 2-yr period</t>
  </si>
  <si>
    <t>50-6,110 - Scrap Metal Dealers; Intentional sale without receipt of required information</t>
  </si>
  <si>
    <t>50-6,110 - Scrap Metal Dealers; Intentional sale without receipt of required information; 2nd violation within 2-yr period</t>
  </si>
  <si>
    <t>50-6,110 - Scrap Metal Dealers; Intentional sale without receipt of required information; 3rd or subs. violation within 2-yr period</t>
  </si>
  <si>
    <t>65-1,106 - Sec. of Health &amp; Environment, Activities; Breach in confidentiality of Statewide program for sickle cell anemia testing</t>
  </si>
  <si>
    <t>65-171j(b) - Sec. of Health &amp; Environment, Activities; Discharge of substances containing mercury into waters of state</t>
  </si>
  <si>
    <t>65-153c - Sec. of Health &amp; Environment, Activities; Duty of physician and others</t>
  </si>
  <si>
    <t>65-1,109(a) - Sec. of Health &amp; Environment, Activities; Failure of person testing human breath for law enforcement purposes to comply with procedures and use appropriate equipment</t>
  </si>
  <si>
    <t>65-169 - Sec. of Health &amp; Environment, Activities; Failure to comply with requirements of secretary</t>
  </si>
  <si>
    <t>65-173 - Sec. of Health &amp; Environment, Activities; Inspections; violation of any rules or regulations made to safeguard the public health and to prevent the spread of contagious or infectious diseases</t>
  </si>
  <si>
    <t>65-153b - Sec. of Health &amp; Environment, Activities; Newly born infant; treatment of eyes</t>
  </si>
  <si>
    <t>65-179 - Sec. of Health &amp; Environment, Activities; Penalty for unauthorized disclosure of data in violation of the provisions of this act</t>
  </si>
  <si>
    <t>65-153e - Sec. of Health &amp; Environment, Activities; Penalty for violating 65-153b to 65-153e</t>
  </si>
  <si>
    <t>65-116g - Sec. of Health &amp; Environment, Activities; Penalty for violations of act or regulations</t>
  </si>
  <si>
    <t>65-153h - Sec. of Health &amp; Environment, Activities; Penalty for willful violation of this act</t>
  </si>
  <si>
    <t>65-1,108(a) - Sec. of Health &amp; Environment, Activities; Perform certain tests outside an approved laboratory</t>
  </si>
  <si>
    <t>65-1,117 - Sec. of Health &amp; Environment, Activities; Unauthorized disclosure of confidential information obtained pursuant to K.S.A. 65-1,115</t>
  </si>
  <si>
    <t>65-1,108a(a) - Sec. of Health &amp; Environment, Activities; Unauthorized disclosure of confidential information obtained through certain tests conducted by approved laboratories</t>
  </si>
  <si>
    <t>65-129d - Sec. of Health &amp; Environment, Activities; Unlawful discharge from employment</t>
  </si>
  <si>
    <t>65-129 - Sec. of Health &amp; Environment, Activities; Violate, refuse or neglect to obey rules and regulations pertaining to the prevention, suppression and control of infectious or contagious diseases; leave any isolation area of a hospital or other quarantined area without consent; evade/break quarantine; knowingly conceal a case of infectious or contagious disease</t>
  </si>
  <si>
    <t>50-1207 - Second Amendment Protection Act; U.S. Government agent enforce or attempt to enforce any U.S. laws regarding firearms, accessories or ammunition manufactured and owned in Kansas</t>
  </si>
  <si>
    <t>21-5902(a) - Sedition; Advocating the overthrow or reformation of the existing form of government of this state by violence or unlawful means</t>
  </si>
  <si>
    <t>21-6320(a) - Sell Beverage Containers with Detachable Tabs; Knowingly sell or offer for sale such containers; Pertaining to sealed cans containing beer, cereal malt beverages, mineral waters, soda water and similar soft drinks</t>
  </si>
  <si>
    <t>21-6419(a)(3) - Selling Sexual Relations; Manual or other bodily stimulation of the genitals for hire</t>
  </si>
  <si>
    <t>21-6419(a)(1) - Selling Sexual Relations; Sexual intercourse for hire</t>
  </si>
  <si>
    <t>21-6419(a)(2) - Selling Sexual Relations; Sodomy for hire</t>
  </si>
  <si>
    <t>19-27a02(n)(1) - Sewer Districts; Penalty for violation of any rule, regulation, standard, limitation or requirement adopted by the Board of county Commissioners</t>
  </si>
  <si>
    <t>21-5510(a)(1) - Sexual Exploitation of Child; Commit, attempt, conspire or solicit to commit; Employ child less than 14 to engage in sexually explicit conduct; offender 18 or older</t>
  </si>
  <si>
    <t>21-5510(a)(4) - Sexual Exploitation of Child; Commit, attempt, conspire or solicit to commit; promote performance of child less than 14; offender 18 or older</t>
  </si>
  <si>
    <t>21-5510(a)(1) - Sexual Exploitation of Child; Employ child less than 18, or child offender believes to be less than 18, to engage in sexually explicit conduct</t>
  </si>
  <si>
    <t>21-5510(a)(3) - Sexual Exploitation of Child; Parent, guardian or one with custody, knowingly permit child less than 18 to engage in sexually explicit conduct</t>
  </si>
  <si>
    <t>21-5510(a)(2) - Sexual Exploitation of Child; Possess visual medium of child less than 18 engaging in sexually explicit conduct</t>
  </si>
  <si>
    <t>21-5510(a)(4) - Sexual Exploitation of Child; Promote performance of child less than 18, or child offender believes to be less than 18</t>
  </si>
  <si>
    <t>68-2255(b) - Sexually-Oriented Signs - violation of provisions</t>
  </si>
  <si>
    <t>21-5907(a)(1) - Simulating the Legal Process; Distributing any document which simulates, purports to be, or is designed to cause others to believe it to be, a summons, petition, complaint, or other legal process, with the intent to mislead the recipient and cause the recipient to take action in reliance thereon</t>
  </si>
  <si>
    <t>21-5907(a)(2) - Simulating the Legal Process; Print or distribute any such document in K.S.A. 2011 Supp. 21-5907(a)(1), knowing that it shall be so used</t>
  </si>
  <si>
    <t>31-163 - Smoke Detector Act; Failure to place or maintain a smoke detector as provided in Act</t>
  </si>
  <si>
    <t>65-6303(a) - Social Workers; Engage in the practice of social work for compensation or hold forth as performing the services of a social worker without such license; Participate in the delivery of social work service without supervision of a person licensed under this act</t>
  </si>
  <si>
    <t>65-6310(b) - Social Workers; Knowingly make a false statement in connection with an application under this act</t>
  </si>
  <si>
    <t>65-6310(c) - Social Workers; Knowingly making a false statement on any form promulgated by the board</t>
  </si>
  <si>
    <t>65-6310(a) - Social Workers; Obtain or attempt to obtain a license or certificate or renewal thereof by bribery or fraudulent representation</t>
  </si>
  <si>
    <t>65-6307(a) - Social Workers; Use of title by person not licensed under this act</t>
  </si>
  <si>
    <t>65-6308(a) - Social Workers; Violation of limitations on private practice of social work</t>
  </si>
  <si>
    <t>2-2808(d) - Soil Amendment Act; Distribute a soil amendment that is adulterated</t>
  </si>
  <si>
    <t>2-2808(c) - Soil Amendment Act; Distribute a soil amendment that is misbranded</t>
  </si>
  <si>
    <t>2-2808(b) - Soil Amendment Act; Distribute a soil amendment that is not labeled</t>
  </si>
  <si>
    <t>2-2808(a) - Soil Amendment Act; Distribute a soil amendment that is not registered with the secretary</t>
  </si>
  <si>
    <t>2-2808(e) - Soil Amendment Act; Fail to comply with a stop sale, use or removal order</t>
  </si>
  <si>
    <t>73-202 - Soldiers, Sailors &amp; Patriotic Emblems; Officers; knowing and willful failure to obey provisions of this act</t>
  </si>
  <si>
    <t>73-204 - Soldiers, Sailors &amp; Patriotic Emblems; Veterans' Preference; knowing and willful violation of act</t>
  </si>
  <si>
    <t>73-710 - Soldiers, Sailors &amp; Patriotic Emblems; Violation of K.S.A. 73-705 through 73-710</t>
  </si>
  <si>
    <t>65-3441(a)(10) - Solid &amp; Hazardous Wastes; Add, mix or blend any hazardous waste with fuel oil or any other fuel intended for use by residential consumers or sell such blended fuel to a residential consumer</t>
  </si>
  <si>
    <t>65-3409(a)(4) - Solid &amp; Hazardous Wastes; Conduct any solid waste burning operations in violation of the provisions of the Kansas air quality act</t>
  </si>
  <si>
    <t>65-3441(a)(2) - Solid &amp; Hazardous Wastes; Construct, modify or operate a hazardous waste facility without a permit or other required written approval</t>
  </si>
  <si>
    <t>65-3441(a)(7) - Solid &amp; Hazardous Wastes; Destroy, alter or conceal any record required to be maintained under this act</t>
  </si>
  <si>
    <t>65-3441(a)(1) - Solid &amp; Hazardous Wastes; Dump or deposit, or permit such, any hazardous waste regulated by this act into any unauthorized facility</t>
  </si>
  <si>
    <t>65-3441(a)(8) - Solid &amp; Hazardous Wastes; Failure to designate on a manifest a facility authorized to operate under the federal hazardous waste program or under an approved state hazardous waste program</t>
  </si>
  <si>
    <t>65-3441(a)(10) - Solid &amp; Hazardous Wastes; Knowingly add, mix or blend any hazardous waste with fuel oil or any other fuel intended for use by residential consumers or sell such blended fuel to a residential consumer</t>
  </si>
  <si>
    <t>65-3441(a)(2) - Solid &amp; Hazardous Wastes; Knowingly construct, modify or operate a hazardous waste facility without a permit or other required written approval</t>
  </si>
  <si>
    <t>65-3441(a)(7) - Solid &amp; Hazardous Wastes; Knowingly destroy, alter or conceal any record required to be maintained under this act</t>
  </si>
  <si>
    <t>65-3441(a)(1) - Solid &amp; Hazardous Wastes; Knowingly dump or deposit, or permit such, any hazardous waste regulated by this act into any unauthorized facility</t>
  </si>
  <si>
    <t>65-3441(a)(8) - Solid &amp; Hazardous Wastes; Knowingly fail to designate on a manifest, a facility authorized to operate under the federal hazardous waste program or under an approved state hazardous waste program</t>
  </si>
  <si>
    <t>65-3441(a)(6) - Solid &amp; Hazardous Wastes; Knowingly make false material statement or representation in any application, label, manifest, record, report, permit or other document filed, maintained or used in compliance with this act</t>
  </si>
  <si>
    <t>65-3441(a)(12) - Solid &amp; Hazardous Wastes; Knowingly operate a hazardous waste transfer facility at which hazardous waste is transferred from one or more containers to one or more different containers</t>
  </si>
  <si>
    <t>65-3441(a)(5) - Solid &amp; Hazardous Wastes; Knowingly refuse or hinder entry, inspection, sampling and the examination or copying of records related to this act by an agent/employee of the secretary after identification of such agent/employee and gives notice of their purpose</t>
  </si>
  <si>
    <t>65-3441(a)(4) - Solid &amp; Hazardous Wastes; Knowingly store, collect, treat or dispose of hazardous waste contrary to the rules and regulations, standards or orders of the secretary</t>
  </si>
  <si>
    <t>65-3441(a)(11) - Solid &amp; Hazardous Wastes; Knowingly transport and dispose of, or cause the transportation and disposition of, hazardous waste in a manner contrary to the rules and regulations, standards or orders of the secretary</t>
  </si>
  <si>
    <t>65-3441(a)(9) - Solid &amp; Hazardous Wastes; Knowingly transport hazardous waste to a facility not authorized to operate under the federal hazardous waste program or under an approved state hazardous waste program</t>
  </si>
  <si>
    <t>65-3441(a)(3) - Solid &amp; Hazardous Wastes; Knowingly violate any condition of any permit issued by the secretary</t>
  </si>
  <si>
    <t>65-3441(a)(6) - Solid &amp; Hazardous Wastes; Making false material statement or representation in any application, label, manifest, record, report, permit or other document filed, maintained or used in compliance with this act</t>
  </si>
  <si>
    <t>65-3441(a)(12) - Solid &amp; Hazardous Wastes; Operate a hazardous waste transfer facility at which hazardous waste is transferred from one or more containers to one or more different containers</t>
  </si>
  <si>
    <t>65-3409(a)(6) - Solid &amp; Hazardous Wastes; Refuse or hinder entry, inspection, sampling and the examination or copying of records related to the purposes of this act by an identified agent or employee of the secretary after receiving notice of their purpose</t>
  </si>
  <si>
    <t>65-3441(a)(5) - Solid &amp; Hazardous Wastes; Refuse or hinder entry, inspection, sampling and the examination or copying of records related to this act by an identified agent/employee of the secretary after receiving notice of their purpose</t>
  </si>
  <si>
    <t>65-3409(a)(5) - Solid &amp; Hazardous Wastes; Store, collect, transport, process, treat or dispose of solid waste contrary to the rules and regulations, standards or orders of the secretary or in such a manner as to create a public nuisance</t>
  </si>
  <si>
    <t>65-3441(a)(4) - Solid &amp; Hazardous Wastes; Store, collect, treat or dispose of hazardous waste contrary to the rules and regulations, standards or orders of the secretary</t>
  </si>
  <si>
    <t>65-3441(a)(11) - Solid &amp; Hazardous Wastes; Transport and dispose of, or cause the transportation and disposition of, hazardous waste in a manner contrary to the rules and regulations, standards or orders of the secretary</t>
  </si>
  <si>
    <t>65-3441(a)(9) - Solid &amp; Hazardous Wastes; Transport hazardous waste to a facility not authorized to operate under the federal hazardous waste program or under an approved state hazardous waste program</t>
  </si>
  <si>
    <t>65-3409(a)(2) - Solid &amp; Hazardous Wastes; Unauthorized constructing, altering or operating a solid waste processing or disposal facility, or acting as a waste tire transporter or mobile waste tire processor without a permit; violation of the rules and regulations, standards or orders of the secretary</t>
  </si>
  <si>
    <t>65-3409(a)(1) - Solid &amp; Hazardous Wastes; Unauthorized disposal of any solid waste by open dumping</t>
  </si>
  <si>
    <t>65-3409(a)(8) - Solid &amp; Hazardous Wastes; Unauthorized division of a solid waste disposal area, which has been issued a permit pursuant to K.S.A. 65-3407, into 2 or more parcels of real property for the purpose of selling or transferring a portion of the permitted area to a new owner</t>
  </si>
  <si>
    <t>65-3415f(e) - Solid &amp; Hazardous Wastes; Unauthorized transfer or expenditure of moneys in a special fund provided for by this section</t>
  </si>
  <si>
    <t>65-3441(a)(3) - Solid &amp; Hazardous Wastes; Violate any condition of any permit issued by the secretary</t>
  </si>
  <si>
    <t>65-3409(a)(3) - Solid &amp; Hazardous Wastes; Violate any condition of any permit issued under K.S.A. 65-3407 or 65-3424b</t>
  </si>
  <si>
    <t>65-3409(a)(7) - Solid &amp; Hazardous Wastes; Violation of subsection (b) of K.S.A. 65-3424a, subsection (c) of K.S.A. 65-3424b or K.S.A. 65-3424i</t>
  </si>
  <si>
    <t>65-6504(b) - Speech-Language Pathologists &amp; Audiologists; Engage in the practice of dispensing and fitting hearing aids without a license or certificate of endorsement</t>
  </si>
  <si>
    <t>65-6504(a) - Speech-Language Pathologists &amp; Audiologists; Practice speech-language pathology or audiology without a valid license; hold oneself out as a speech professional without appropriate license</t>
  </si>
  <si>
    <t>21-6507(a)(2) - Sports Bribery; Confer, offer or agree to confer, benefit upon a sports official</t>
  </si>
  <si>
    <t>21-6507(a)(1) - Sports Bribery; Confer, offer or agree to confer, benefit upon sports participant</t>
  </si>
  <si>
    <t>21-6507(a)(4) - Sports Bribery; Sports officials accepting, agreeing to accept or soliciting a sports bribe</t>
  </si>
  <si>
    <t>21-6507(a)(3) - Sports Bribery; Sports participants accepting, agreeing to accept or soliciting a sports bribe</t>
  </si>
  <si>
    <t>21-5427(a)(3) - Stalking; After notice of protective order prohibiting contact with a targeted person, recklessly engaging in conduct listed in (f)(1) that violates the order and would cause a reasonable person in targeted person's circumstances to fear for such person's or immediate family's safety and targeted person actually placed in such fear; 1st conviction</t>
  </si>
  <si>
    <t>21-5427(a)(3) - Stalking; After notice of protective order prohibiting contact with a targeted person, recklessly engaging in conduct listed in (f)(1) that violates the order and would cause a reasonable person in targeted person's circumstances to fear for such person's or immediate family's safety and targeted person actually placed in such fear; 2nd or subs. conviction</t>
  </si>
  <si>
    <t>21-5427(a)(2) - Stalking; Engaging in a course of conduct targeted at specific person which individual knows will place targeted person in fear for such person's or immediate family member's safety; 1st conviction</t>
  </si>
  <si>
    <t>21-5427(a)(2) - Stalking; Engaging in a course of conduct targeted at specific person which individual knows will place targeted person in fear for such person's or immediate family member's safety; 2nd or subs. conviction</t>
  </si>
  <si>
    <t>21-5427(a)(1) - Stalking; Recklessly engaging in a course of conduct targeted at specific person which would cause a reasonable person in the targeted person's circumstances to fear for such person's or immediate family member's safety and targeted person actually placed in such fear; 1st conviction</t>
  </si>
  <si>
    <t>21-5427(a)(1) - Stalking; Recklessly engaging in a course of conduct targeted at specific person which would cause a reasonable person in the targeted person's circumstances to fear for such person's or immediate family member's safety and targeted person actually placed in such fear; 2nd or subs. conviction</t>
  </si>
  <si>
    <t>74-7029(a)(8) - State Board of Technical Professionals; Any other violation of provisions of this act</t>
  </si>
  <si>
    <t>74-7029(a)(6) - State Board of Technical Professionals; Falsely advertise as a licensed practitioner or as the holder of a certificate of authorization</t>
  </si>
  <si>
    <t>74-7029(a)(3) - State Board of Technical Professionals; Falsely impersonate any other practitioner of like or different name</t>
  </si>
  <si>
    <t>74-7029(a)(4) - State Board of Technical Professionals; Give false or forged evidence to the board or any member thereof in obtaining a license or certificate of authorization</t>
  </si>
  <si>
    <t>74-7029(a)(1) - State Board of Technical Professionals; Practice, offer to practice, or hold oneself out as entitled to practice any technical profession without being duly licensed or holding a certificate of authorization issued under K.S.A. 74-7036</t>
  </si>
  <si>
    <t>74-7029(a)(2) - State Board of Technical Professionals; Present or attempt to use, as such person's own, the license, certificate of authorization or seal of another</t>
  </si>
  <si>
    <t>74-7029(a)(7) - State Board of Technical Professionals; Unauthorized use of any title or description intended to convey the impression that a person is a licensed practitioner or holds a certificate of authorization</t>
  </si>
  <si>
    <t>74-7029(a)(5) - State Board of Technical Professionals; Use or attempt to use a license or certificate of authorization that has expired or been suspended or revoked</t>
  </si>
  <si>
    <t>66-1,140(a) - State Corporation Commission; Commission required to make rules and regulations governing registration and fees for certain vehicles used temporarily</t>
  </si>
  <si>
    <t>66-1,140(b) - State Corporation Commission; Commission required to make rules and regulations governing vehicles entering state on occasional trips</t>
  </si>
  <si>
    <t>66-1,157d(a) - State Corporation Commission; Destruction of pipeline signs or markers</t>
  </si>
  <si>
    <t>66-1,139(d) - State Corporation Commission; Fail to comply with form of application requirements</t>
  </si>
  <si>
    <t>74-621 - State Corporation Commission; Intentionally violate any provision of the system of priorities for the allocation of available energy resources or for the curtailment of the consumption of such energy resources, or both, during any energy resources emergency proclaimed by the governor</t>
  </si>
  <si>
    <t>66-1,139(b) - State Corporation Commission; Intrastate carriers as defined by K.S.A. 8-126 required to register with corporation commission</t>
  </si>
  <si>
    <t>66-195 - State Corporation Commission; Penalty for failure to comply with order</t>
  </si>
  <si>
    <t>66-1,139(c) - State Corporation Commission; Registration and payment of regulatory fees required</t>
  </si>
  <si>
    <t>66-1,139(a) - State Corporation Commission; Registration of interstate carriers in base state required pursuant to 49 U.S.C. 14504</t>
  </si>
  <si>
    <t>66-1,139(e) - State Corporation Commission; Remittance of moneys, requirements</t>
  </si>
  <si>
    <t>66-1,140(c) - State Corporation Commission; Superintendent of the highway patrol designated as issuing agent, required to acknowledge special registrations</t>
  </si>
  <si>
    <t>66-126 - State Corporation Commission; Unlawful securities</t>
  </si>
  <si>
    <t>66-1,130(a) - State Corporation Commission; Violation of act except K.S.A. 66-1,111 or 66-1,128</t>
  </si>
  <si>
    <t>66-1,126 - State Corporation Commission; Violation of act relating to certificate, license, permit or report; failure to comply with certain commission orders</t>
  </si>
  <si>
    <t>66-1,130(b)(2) - State Corporation Commission; Violation of Motor Carrier Safety Rules and Regulations, K.S.A. 66-1,129 as specified in Subsection (b)(2) of K.S.A. 66-1,130</t>
  </si>
  <si>
    <t>66-150 - State Corporation Commission; Willfully obstruct commission, or any member thereof, in the performance of the commission's duties</t>
  </si>
  <si>
    <t>2-201 - State Fair; Holding/conducting a state fair in Kansas or any exhibition or display of any livestock or agricultural products under a designation, publicity or advertisement as a state fair</t>
  </si>
  <si>
    <t>46-287(b) - State Gov. Ethics; Advertising to influence legislative action; broadcast by any radio/ television station any paid advertisement promoting/opposing action or nonaction by the legislature on any legislative matter without including that such was an advertisement, together with the name of the chairperson of the organization or other individual responsible for such</t>
  </si>
  <si>
    <t>46-287(a) - State Gov. Ethics; Advertising to influence legislative action; Publishing in any newspaper, periodical, insert, or flyer any paid advertisement promoting/opposing action or nonaction by the legislature on any legislative matter without the word "advertisement" or the abbreviation "adv." together with the name of the chairperson of the organization or other individual responsible for such</t>
  </si>
  <si>
    <t>46-275(2) - State Gov. Ethics; Giving false lobbying information; intentionally making a false or incomplete report under K.S.A. 46-268 and 46-269</t>
  </si>
  <si>
    <t>46-275(1) - State Gov. Ethics; Giving false lobbying information; intentionally making a false or incomplete statement on any registration paper under K.S.A. 46-265</t>
  </si>
  <si>
    <t>46-239(g)(1) - State Gov. Ethics; Intentionally fail to file a disclosure statement as required by this section</t>
  </si>
  <si>
    <t>46-251(a) - State Gov. Ethics; Intentionally fail to file a statement of substantial interests as required</t>
  </si>
  <si>
    <t>46-239(g)(2) - State Gov. Ethics; Intentionally file a disclosure statement containing material misrepresentation or false or fraudulent statement</t>
  </si>
  <si>
    <t>46-251(b) - State Gov. Ethics; Intentionally file a statement of substantial interests that contains any false statement</t>
  </si>
  <si>
    <t>46-274(2) - State Gov. Ethics; Unlawful lobbying; lobbying when a current report under K.S.A. 46-268 and 46-269, has not been filed and is past due</t>
  </si>
  <si>
    <t>46-274(1) - State Gov. Ethics; Unlawful lobbying; lobbying without being registered</t>
  </si>
  <si>
    <t>46-259 - State Gov. Ethics; Violation of a provision of this section or confidentiality provision of K.S.A. 46-256</t>
  </si>
  <si>
    <t>46-276 - State Gov. Ethics; Violation of any provision of K.S.A. 46-232, 46-233, 46-235 to 46-238, 46-240, 46-241, 46-242, 46-267 and 46-271 to 46-273, inclusive, and K.S.A. 46-286</t>
  </si>
  <si>
    <t>76-12b10(a) - State Institutions for the Intellectually Disabled; Willful deprivation of any of the rights protected by this section</t>
  </si>
  <si>
    <t>74-8716(d) - State Lottery; Conflict of interest; holder of license issued by KS racing and gaming commission prohibited from serving as executive director or as a member of commission or being employed by KS lottery</t>
  </si>
  <si>
    <t>74-8716(c) - State Lottery; Conflict of interest; persons prohibited from serving as executive director; interest holders or certain prior employees</t>
  </si>
  <si>
    <t>74-8716(a)(2) - State Lottery; Conflict of interest; prohibited acts of executive director, a member of the commission or any employee of the Kansas lottery, or any person residing in the household thereof; accepting certain items or services</t>
  </si>
  <si>
    <t>74-8716(a)(1) - State Lottery; Conflict of interest; prohibited acts of executive director, a member of the commission or any employee of the Kansas lottery, or any person residing in the household thereof; having interest in certain businesses</t>
  </si>
  <si>
    <t>74-8716(b) - State Lottery; Conflict of interest; prohibited acts of lottery retailer, applicant for lottery retailer or person contracting or seeking to contract with the state to supply gaming equipment, materials, tickets or consulting services for use in the lottery; offering certain items or services</t>
  </si>
  <si>
    <t>74-8716(g) - State Lottery; Conflict of interest; unauthorized acceptance of compensation, gifts, etc. from licensee pursuant to KS parimutuel racing act</t>
  </si>
  <si>
    <t>74-8716(f) - State Lottery; Conflict of interest; unauthorized acceptance of compensation, gifts, etc. from lottery facility manager and agents thereof</t>
  </si>
  <si>
    <t>74-8716(e) - State Lottery; Conflict of interest; unauthorized financial interest in race horse or jockey or greyhound</t>
  </si>
  <si>
    <t>74-8717(a) - State Lottery; Forgery of lottery ticket</t>
  </si>
  <si>
    <t>74-8718(a)(4) - State Lottery; Sell a lottery ticket at retail by electronic mail, the internet or telephone; 1st offense</t>
  </si>
  <si>
    <t>74-8718(a)(4) - State Lottery; Sell a lottery ticket at retail by electronic mail, the internet or telephone; 2nd or subs. offense</t>
  </si>
  <si>
    <t>74-8718(a)(1) - State Lottery; Sell a lottery ticket or share at a price other than that fixed by rules and regulations adopted pursuant to this act; 1st offense</t>
  </si>
  <si>
    <t>74-8718(a)(1) - State Lottery; Sell a lottery ticket or share at a price other than that fixed by rules and regulations adopted pursuant to this act; 2nd or subs. offense</t>
  </si>
  <si>
    <t>74-8718(a)(2) - State Lottery; Sell a lottery ticket or share by any person other than a lottery retailer authorized by the Kansas lottery; 1st offense</t>
  </si>
  <si>
    <t>74-8718(a)(2) - State Lottery; Sell a lottery ticket or share by any person other than a lottery retailer authorized by the Kansas lottery; 2nd or subs. offense</t>
  </si>
  <si>
    <t>74-8718(a)(3) - State Lottery; Sell a lottery ticket or share to any person known to be under 18 yrs of age; 1st offense</t>
  </si>
  <si>
    <t>74-8718(a)(3) - State Lottery; Sell a lottery ticket or share to any person known to be under 18 yrs of age; 2nd or subs. offense</t>
  </si>
  <si>
    <t>74-8719(a)(4) - State Lottery; Unlawful for a person who resides in the same household as persons described by subsection (a)(1) or (2) of K.S.A. 74-8719 to purchase lottery ticket or share in winnings; 1st offense</t>
  </si>
  <si>
    <t>74-8719(a)(4) - State Lottery; Unlawful for a person who resides in the same household as persons described by subsection (a)(1) or (2) of K.S.A. 74-8719 to purchase lottery ticket or share in winnings; 2nd or subs. offense</t>
  </si>
  <si>
    <t>74-8719(a)(2) - State Lottery; Unlawful for an officer or employee of a vendor contracting with the Kansas lottery to supply gaming equipment or tickets to the Kansas lottery to purchase lottery ticket or share in winnings; 1st offense</t>
  </si>
  <si>
    <t>74-8719(a)(2) - State Lottery; Unlawful for an officer or employee of a vendor contracting with the Kansas lottery to supply gaming equipment or tickets to the Kansas lottery to purchase lottery ticket or share in winnings; 2nd or subs. offense</t>
  </si>
  <si>
    <t>74-8719(a)(3) - State Lottery; Unlawful for certain relatives of persons described by subsection (a)(1) or (2) of K.S.A. 74-8719 to purchase lottery ticket or share in winnings; 1st offense</t>
  </si>
  <si>
    <t>74-8719(a)(3) - State Lottery; Unlawful for certain relatives of persons described by subsection (a)(1) or (2) of K.S.A. 74-8719 to purchase lottery ticket or share in winnings; 2nd or subs. offense</t>
  </si>
  <si>
    <t>74-8719(a)(1) - State Lottery; Unlawful for the executive director, a member of the commission or an employee of the Kansas lottery to purchase lottery ticket or share in winnings; 1st offense</t>
  </si>
  <si>
    <t>74-8719(a)(1) - State Lottery; Unlawful for the executive director, a member of the commission or an employee of the Kansas lottery to purchase lottery ticket or share in winnings; 2nd or subs. offense</t>
  </si>
  <si>
    <t>65-34,109(b)(1) - Storage Tank Act; Construct, install, modify or operate a storage tank without required permit or other written approval or otherwise be in violation of rules/regulations, standards or orders of the secretary</t>
  </si>
  <si>
    <t>65-34,109(b)(6) - Storage Tank Act; Deposit, store or dispense any regulated substance into any noncompliant storage tank after written notice such storage tanks are noncompliant</t>
  </si>
  <si>
    <t>65-34,109(b)(5) - Storage Tank Act; Knowingly allow a release, fail to report a release or fail to take corrective action in response to a release of a regulated substance in violation of this act, rules and regulations</t>
  </si>
  <si>
    <t>65-34,109(b)(4) - Storage Tank Act; Knowingly destroy, alter or conceal any record required to be maintained by this act or rules and regulations promulgated hereunder</t>
  </si>
  <si>
    <t>65-34,109(b)(3) - Storage Tank Act; Knowingly make any false material statement or representation in any application, record, report, permit or other document filed, maintained or used for compliance with this act</t>
  </si>
  <si>
    <t>65-34,110(a) - Storage Tank Act; Licensure of tank installers and contractors required</t>
  </si>
  <si>
    <t>65-34,109(b)(2) - Storage Tank Act; Prevent or hinder an authorized person agent from entering/inspecting/sampling at a facility on which a storage tank is located or from copying certain records</t>
  </si>
  <si>
    <t>65-34,109(a) - Storage Tank Act; Unlawful to deposit, store or dispense, or permit anyone to deposit, store or dispense, any regulated substance into any noncompliant storage tank</t>
  </si>
  <si>
    <t>21-5816(a)(5) - Tampering with a Landmark; Alter, remove, damage or destroy any public land survey corner or accessory in noncompliance with K.S.A. 58-2011</t>
  </si>
  <si>
    <t>21-5816(a)(3) - Tampering with a Landmark; Cut down or remove any tree, post or other monument bearing marks made for such purpose, with intent to destroy the designating marks</t>
  </si>
  <si>
    <t>21-5816(a)(4) - Tampering with a Landmark; Deface or alter any inscription on any such marker or monument</t>
  </si>
  <si>
    <t>21-5816(a)(2) - Tampering with a Landmark; Deface or alter marks upon any tree, post or other monument, made for the purpose of designating any point on such boundary</t>
  </si>
  <si>
    <t>21-5816(a)(1) - Tampering with a Landmark; Remove any monument of stone or other durable material, established or created for the purpose of designating the corner of or any other point upon the boundary of any lot or tract of land, or of the state, or any legal subdivision thereof</t>
  </si>
  <si>
    <t>21-5818(a) - Tampering with a Pipeline; Intentional and unauthorized alteration of or interference with any part of a pipeline</t>
  </si>
  <si>
    <t>21-5921(a) - Tampering with a Public Notice; Knowingly and without authority alter, destroy, deface, remove or conceal a public notice posted according to law</t>
  </si>
  <si>
    <t>21-5920(a) - Tampering with a Public Record; Knowingly and without authority alter, destroy, deface, remove or conceal a public record</t>
  </si>
  <si>
    <t>21-6508(a) - Tampering with a Sports contest</t>
  </si>
  <si>
    <t>21-5817(a) - Tampering with a Traffic Signal; Knowingly manipulate, alter, destroy or remove</t>
  </si>
  <si>
    <t>21-6322(a) - Tampering with Electronic Monitoring Equipment; Knowingly and without authorization</t>
  </si>
  <si>
    <t>79-1119(b) - Tax; Banks, Banking Businesses, Trust Companies &amp; Savings &amp; Loan Assoc.; unlawful disclosure of information obtained under article 11, chapter 79 of the K.S.A.'s; unlawful employment for employees administering tax under article 11, chapter 79 of the K.S.A.'s</t>
  </si>
  <si>
    <t>79-3228(e) - Tax; Income Tax; Fail to pay any tax or to make, render or sign any return, or to supply any information, within the time required by or under the provisions of this act, if done with fraudulent intent</t>
  </si>
  <si>
    <t>79-3299 - Tax; Income Tax; Intentional failure of employer, payer, person or organization deducting and withholding tax to furnish a statement to an employee or payee as required</t>
  </si>
  <si>
    <t>79-3234(b) - Tax; Income Tax; Unauthorized disclosure of information obtained under the Kansas income tax act; unlawful employment for employees administering tax under provisions of the Kansas Income Tax Act</t>
  </si>
  <si>
    <t>79-3234(c) - Tax; Income Tax; Unauthorized disclosure of information to certain specified entities and individual</t>
  </si>
  <si>
    <t>79-2808 - Tax; Judicial Foreclosure &amp; Sale of Real Estate By County; willful certification to the director of accounts and reports any amount for which the county is not entitled to credit by any county treasurer</t>
  </si>
  <si>
    <t>12-1694(d) - Tax; Levied and collected pursuant to K.S.A. 12-1693; unauthorized disclosure of confidential information in monthly reports by a city or county officer or employee</t>
  </si>
  <si>
    <t>12-1698(d) - Tax; Levied and collected pursuant to K.S.A. 12-1697; unauthorized disclosure of confidential information in monthly reports by a city or county officer or employee</t>
  </si>
  <si>
    <t>79-1966 - Tax; Limitations on Tax Levies; penalty for violation of act by officer</t>
  </si>
  <si>
    <t>79-1015 - Tax; Merchants, Manufacturers, Motor Vehicle Dealers &amp; Certain Contractors; fail to register as required; fail to execute the bond before beginning the performance of any contract; violation of any other provision of this act</t>
  </si>
  <si>
    <t>79-1426 - Tax; Property Valuation, Equalizing Assessments, Appraisers &amp; Assessment of Property; Failure of officer to list or properly value, assess or equalize property for taxation</t>
  </si>
  <si>
    <t>79-1437g - Tax; Property Valuation, Equalizing Assessments, Appraisers &amp; Assessment of Property; Falsifying the value of real estate transferred</t>
  </si>
  <si>
    <t>79-1420 - Tax; Property Valuation, Equalizing Assessments, Appraisers &amp; Assessment of Property; Fraudulent listing or evasion by taxpayer</t>
  </si>
  <si>
    <t>79-1473 - Tax; Property Valuation, Equalizing Assessments, Appraisers &amp; Assessment of Property; Penalty for neglect of duty by county appraiser or employee</t>
  </si>
  <si>
    <t>79-1408 - Tax; Property Valuation, Equalizing Assessments, Appraisers &amp; Assessment of Property; Willfully refuse to answer questions and interrogatories and take and subscribe the oath</t>
  </si>
  <si>
    <t>79-3228(f) - Taxation; Income Tax; willfully sign a fraudulent return</t>
  </si>
  <si>
    <t>79-5208 - Taxation; Marijuana &amp; Controlled substances; dealer distributing or possessing marijuana or controlled substances without affixing the appropriate stamps, labels or other indicia</t>
  </si>
  <si>
    <t>79-3464e(a)(9) - Taxation; Motor Vehicle Fuel Taxes; Aid and abet in violations contained in paragraphs (1) through (8)</t>
  </si>
  <si>
    <t>79-3464e(a)(18) - Taxation; Motor Vehicle Fuel Taxes; aid and abet in violations contained in paragraphs (10) through (17)</t>
  </si>
  <si>
    <t>79-3464e(a)(15) - Taxation; Motor Vehicle Fuel Taxes; deliver or accept delivery of any motor fuel with  intent to evade the obligation of collecting, remitting or accounting for motor fuel tax to this state, knowing that such fuel was intended to be delivered to a tax exempt entity or to a location outside the state of Kansas</t>
  </si>
  <si>
    <t>79-3464e(a)(4) - Taxation; Motor Vehicle Fuel Taxes; Fail, neglect or refuse to keep and maintain or to make fully and freely accessible during business hours to certain people, all books, papers and records as required</t>
  </si>
  <si>
    <t>79-3464e(a)(3) - Taxation; Motor Vehicle Fuel Taxes; Fail, neglect or refuse to pay the director, any tax, taxes, interest or penalties for which such person is liable, within the time required</t>
  </si>
  <si>
    <t>79-3464e(a)(2) - Taxation; Motor Vehicle Fuel Taxes; Fail, neglect or refuse to render to the director at the director's office, any report or statement required, within the time required</t>
  </si>
  <si>
    <t>79-3464e(a)(14) - Taxation; Motor Vehicle Fuel Taxes; falsify, forge or alter any documents associated with the use, sale, manufacture or delivery of any motor fuels</t>
  </si>
  <si>
    <t>79-3464e(a)(10) - Taxation; Motor Vehicle Fuel Taxes; falsify, forge or willfully conceal any required books, papers, or records</t>
  </si>
  <si>
    <t>79-3464e(a)(12) - Taxation; Motor Vehicle Fuel Taxes; knowingly make any false/forged application for a refund permit or claim for refund; knowingly make any false statement in application for a refund permit, or in any claim for a refund</t>
  </si>
  <si>
    <t>79-3464e(a)(11) - Taxation; Motor Vehicle Fuel Taxes; knowingly submit a false or forged application for licensure</t>
  </si>
  <si>
    <t>79-34,103 - Taxation; Motor Vehicle Fuel Taxes; Penalty for violation of act</t>
  </si>
  <si>
    <t>79-3464e(a)(13) - Taxation; Motor Vehicle Fuel Taxes; Present, or cause to be presented, to the director for credit, or for refund, any false, forged or altered invoice of refund</t>
  </si>
  <si>
    <t>79-3464e(a)(7) - Taxation; Motor Vehicle Fuel Taxes; Sell or hold for sale dyed fuel that such person knows or has reason to know will not be used for a nontaxable purpose</t>
  </si>
  <si>
    <t>79-3464e(a)(6) - Taxation; Motor Vehicle Fuel Taxes; Sell, receive or transport motor fuels without proper and correct manifests</t>
  </si>
  <si>
    <t>79-3464e(a)(5) - Taxation; Motor Vehicle Fuel Taxes; Use any motor fuels purchased as exempt in a taxable manner</t>
  </si>
  <si>
    <t>79-3464e(a)(16) - Taxation; Motor Vehicle Fuel Taxes; use dyed fuel other than for a nontaxable use</t>
  </si>
  <si>
    <t>79-3464e(a)(1) - Taxation; Motor Vehicle Fuel Taxes; Use, sell, manufacture or deliver any motor-vehicle fuels or special fuels at any place without having a valid, unsuspended and unrevoked license</t>
  </si>
  <si>
    <t>79-3464e(a)(8) - Taxation; Motor Vehicle Fuel Taxes; Violate any other provision of this act not specified in this section</t>
  </si>
  <si>
    <t>79-3464e(a)(17) - Taxation; Motor Vehicle Fuel Taxes; willfully alter/attempt to alter, the strength or composition of any dye in any dyed fuel</t>
  </si>
  <si>
    <t>79-34,122 - Taxation; Motor Vehicle Fuel Taxes; Willfully make a false statement or knowingly present a fraudulent receipt for the sale of motor fuel, for the purpose of obtaining or attempting to obtain a credit or refund or reduction of liability for taxes</t>
  </si>
  <si>
    <t>79-5114a - Taxation; Motor Vehicles; failing, with fraudulent intent, to pay the tax imposed pursuant to K.S.A. 79-5101</t>
  </si>
  <si>
    <t>21-5421(a)(3) - Terrorism; Commit, attempt, conspire or solicit to commit any felony with intent to affect the operation of any unit of government</t>
  </si>
  <si>
    <t>21-5421(a)(2) - Terrorism; Commit, attempt, conspire or solicit to commit any felony with intent to influence government policy by intimidation or coercion</t>
  </si>
  <si>
    <t>21-5421(a)(1) - Terrorism; Commit, attempt, conspire or solicit to commit any felony with intent to intimidate or coerce civilians</t>
  </si>
  <si>
    <t>21-5805(a) - Theft Detection Shielding Device; Manufacture or distribute a theft detection shielding device</t>
  </si>
  <si>
    <t>21-5805(d) - Theft Detection Shielding Device; Possession of a sales receipt or universal product code label with intent to cheat or defraud retailer</t>
  </si>
  <si>
    <t>21-5805(b) - Theft Detection Shielding Device; Possession of a theft detection shielding device with intent to commit theft</t>
  </si>
  <si>
    <t>21-5805(c) - Theft Detection Shielding Device; Possession of tool or device to remove a theft detection device without consent</t>
  </si>
  <si>
    <t>21-5802(a) - Theft of Property Lost, Mislaid or Delivered by Mistake; By one who knows owner, fails to return property to owner and intends to permanently deprive; Value $100,000 or more</t>
  </si>
  <si>
    <t>21-5802(a) - Theft of Property Lost, Mislaid or Delivered by Mistake; By one who knows owner, fails to return property to owner and intends to permanently deprive; Value at least $1,000 but less than $25,000</t>
  </si>
  <si>
    <t>21-5802(a) - Theft of Property Lost, Mislaid or Delivered by Mistake; By one who knows owner, fails to return property to owner and intends to permanently deprive; Value at least $25,000 but less than $100,000</t>
  </si>
  <si>
    <t>21-5802(a) - Theft of Property Lost, Mislaid or Delivered by Mistake; By one who knows owner, fails to return property to owner and intends to permanently deprive; value less than $1,000</t>
  </si>
  <si>
    <t>21-5801(a)(2) - Theft of Property or Services; By deception; $100,000 or more</t>
  </si>
  <si>
    <t>21-5801(a)(2) - Theft of Property or Services; By deception; at least $1,500 but less than $25,000</t>
  </si>
  <si>
    <t>21-5801(a)(2) - Theft of Property or Services; By deception; at least $25,000 but less than $100,000</t>
  </si>
  <si>
    <t>21-5801(a)(2) - Theft of Property or Services; By deception; property is a firearm of value less than $25,000</t>
  </si>
  <si>
    <t>21-5801(a)(2) - Theft of Property or Services; By deception; value less than $1,000 and committed by a person who has been convicted of theft 2 or more times</t>
  </si>
  <si>
    <t>21-5801(a)(2) - Theft of Property or Services; By deception; value less than $1,500</t>
  </si>
  <si>
    <t>21-5801(a)(2) - Theft of Property or Services; By deception; value less than $1,500 from 3 separate establishments within 72 hours as part of the same act or transaction, or in 2 or more acts, or transactions constituting a common scheme or course of conduct</t>
  </si>
  <si>
    <t>21-5801(a)(3) - Theft of Property or Services; By threat; $100,000 or more</t>
  </si>
  <si>
    <t>21-5801(a)(3) - Theft of Property or Services; By threat; at least $1,500 but less than $25,000</t>
  </si>
  <si>
    <t>21-5801(a)(3) - Theft of Property or Services; By threat; at least $25,000 but less than $100,000</t>
  </si>
  <si>
    <t>21-5801(a)(3) - Theft of Property or Services; By threat; property is a firearm of value less than $25,000</t>
  </si>
  <si>
    <t>21-5801(a)(3) - Theft of Property or Services; By threat; property of the value of less than $1,500, from 3 separate establishments within 72 hours as part of the same act or transaction or in 2 or more acts, or transactions constituting a common scheme or course of conduct</t>
  </si>
  <si>
    <t>21-5801(a)(3) - Theft of Property or Services; By threat; value less than $1,500</t>
  </si>
  <si>
    <t>21-5801(a)(3) - Theft of Property or Services; By threat; value less than $1,500 and committed by a person who has within five years immediately preceeding commission of the crime, been convicted of theft 2 or more times</t>
  </si>
  <si>
    <t>21-5801(a)(5) - Theft of Property or Services; Knowingly dispensing motor fuel at a retail establishment and leaving without making payment for such fuel; $100,000 or more</t>
  </si>
  <si>
    <t>21-5801(a)(5) - Theft of Property or Services; Knowingly dispensing motor fuel at a retail establishment and leaving without making payment for such fuel; at least $1,500 but less than $25,000</t>
  </si>
  <si>
    <t>21-5801(a)(5) - Theft of Property or Services; Knowingly dispensing motor fuel at a retail establishment and leaving without making payment for such fuel; at least $25,000 but less than $100,000</t>
  </si>
  <si>
    <t>21-5801(a)(5) - Theft of Property or Services; Knowingly dispensing motor fuel at a retail establishment and leaving without making payment for such fuel; value less than $1,500 and committed by a person who has been within five years immediately proceeding comission of the crime, excluding any period of imprisonment, convicted of theft 2 or more times</t>
  </si>
  <si>
    <t>21-5801(a)(5) - Theft of Property or Services; Knowingly dispensing motor fuel at a retail establishment and leaving without making payment for such fuel; value of less than $1,500, from three separate establishments within 72 hours as part of the same act or transaction or in 2 or more acts or transactions constituting a common scheme or course of conduct</t>
  </si>
  <si>
    <t>21-5801(a)(1) - Theft of Property or Services; Obtain or exert unauthorized control; $100,000 or more</t>
  </si>
  <si>
    <t>21-5801(a)(1) - Theft of Property or Services; Obtain or exert unauthorized control; at least $1,500 but less than $25,000</t>
  </si>
  <si>
    <t>21-5801(a)(1) - Theft of Property or Services; Obtain or exert unauthorized control; at least $25,000 but less than $100,000</t>
  </si>
  <si>
    <t>21-5801(a)(1) - Theft of Property or Services; Obtain or exert unauthorized control; property is a firearm of value less than $25,000</t>
  </si>
  <si>
    <t>21-5801(a)(1) - Theft of Property or Services; Obtain or exert unauthorized control; value less than $1,500</t>
  </si>
  <si>
    <t>21-5801(a)(1) - Theft of Property or Services; Obtain or exert unauthorized control; value less than $1,500 and committed by a person who has within five years immediately preceding commission of the crime; excluding any period of imprisonment, been convicted of theft 2 or more times</t>
  </si>
  <si>
    <t>21-5801(a)(1) - Theft of Property or Services; Obtain or exert unauthorized control; value less than $1,500, from 3 establishments within 72 hours as part of the same act or transaction or, in 2 or more acts or transactions, constituting a common scheme or course of conduct</t>
  </si>
  <si>
    <t>21-5801(a)(5) - Theft of Property or Services; Of motor fuel; value less than $1,500</t>
  </si>
  <si>
    <t>21-5801(a)(4) - Theft of Property or Services; Possession of stolen property or services; value less than $1,500</t>
  </si>
  <si>
    <t>21-5801(a)(4) - Theft of Property or Services; Stolen property; knowing the property to have been stolen by another; $100,000 or more</t>
  </si>
  <si>
    <t>21-5801(a)(4) - Theft of Property or Services; Stolen property; knowing the property to have been stolen by another; at least $1,500 but less than $25,000</t>
  </si>
  <si>
    <t>21-5801(a)(4) - Theft of Property or Services; Stolen property; knowing the property to have been stolen by another; at least $25,000 but less than $100,000</t>
  </si>
  <si>
    <t>21-5801(a)(4) - Theft of Property or Services; Stolen property; knowing the property to have been stolen by another; property is a firearm of value less than $25,000</t>
  </si>
  <si>
    <t>21-5801(a)(4) - Theft of Property or Services; Stolen property; knowing the property to have been stolen by another; property of the value of less than $1,500, from 3 separate establishments within 72 hours as part of the same act or transaction or in 2 or more acts or transactions constituting a common scheme or course of conduct</t>
  </si>
  <si>
    <t>21-5801(a)(4) - Theft of Property or Services; Stolen property; knowing the property to have been stolen by another; value less than $1,500 and committed by a person who has within five years immediately proceeding commission of the crime, excluding any period of imprisonment, been convicted of theft 2 or more times</t>
  </si>
  <si>
    <t>21-5819(a)(2) - Throwing or Casting Rocks; Recklessly throw/push/pitch or cast any rock, stone or other objects onto street, road, highway or railroad right-of-way or  upon any vehicle, train or any other conveyance thereon causing damage to vehicle or train or other conveyance</t>
  </si>
  <si>
    <t>21-5819(a)(1) - Throwing or Casting Rocks; Recklessly throw/push/pitch or cast any rock, stone or other objects onto street, road, highway or railroad right-of-way or  upon any vehicle, train or any other conveyance thereon- no damage results</t>
  </si>
  <si>
    <t>21-5819(a)(3) - Throwing or Casting Rocks; Recklessly throw/push/pitch/or cast any rock, stone or other objects onto street, road, highway or railroad right-of-way or upon any vehicle, train or any other conveyance thereon; causing injury to another person upon such street, road, highway or railroad right-of-way</t>
  </si>
  <si>
    <t>21-5819(a)(4) - Throwing or Casting Rocks; Recklessly throw/push/pitch/or cast any rock, stone or other objects onto street, road, highway or railroad right-of-way or upon any vehicle, train or any other conveyance thereon; damaging a vehicle/train or other conveyance thereon and injuring a person as a result of the cast or thrown object or as a result of damage to the vehicle in which a person was a passenger when struck by such object</t>
  </si>
  <si>
    <t>80-408 - Townships &amp; Township Officers; Penalty for failure of treasurer or trustee to make statement or to perform duty</t>
  </si>
  <si>
    <t>80-409 - Townships &amp; Township Officers; Penalty for taking down or destroying statement</t>
  </si>
  <si>
    <t>80-411 - Townships &amp; Township Officers; Penalty for violation of act</t>
  </si>
  <si>
    <t>80-1208 - Townships &amp; Township Officers; Prairie Dogs, Moles &amp; Gophers; penalty for trustee or board of county commissioners failure to perform duties</t>
  </si>
  <si>
    <t>21-2802 - Trading Stamps; Redeeming for cash prohibited</t>
  </si>
  <si>
    <t>21-2801 - Trading Stamps; Redeeming for merchandise prohibited</t>
  </si>
  <si>
    <t>21-6324(a)(4) - Traffic Control Signal Preemption Device; Knowing and unauthorized purchase of device</t>
  </si>
  <si>
    <t>21-6324(a)(3) - Traffic Control Signal Preemption Device; Knowing and unauthorized sale of device</t>
  </si>
  <si>
    <t>21-6324(a)(2) - Traffic Control Signal Preemption Device; Knowing and unauthorized use of device</t>
  </si>
  <si>
    <t>21-6324(a)(2) - Traffic Control Signal Preemption Device; Knowing and unauthorized use of device; resulting in traffic accident causing death</t>
  </si>
  <si>
    <t>21-6324(a)(2) - Traffic Control Signal Preemption Device; Knowing and unauthorized use of device; resulting in traffic accident causing injury to any person or damage to any vehicle or other property</t>
  </si>
  <si>
    <t>21-5914(a)(4) - Trafficking in Contraband in Correctional Institution or Care and Treatment Facility; Distribute any firearm, ammunition, explosive or controlled substance within any correctional institution or care and treatment facility</t>
  </si>
  <si>
    <t>21-5914(a)(4) - Trafficking in Contraband in Correctional Institution or Care and Treatment Facility; Distribute any firearm, ammunition, explosive or controlled substance within any correctional institution or care and treatment facility; if done by employee of such institution or facility</t>
  </si>
  <si>
    <t>21-5914(a)(4) - Trafficking in Contraband in Correctional Institution or Care and Treatment Facility; Distribute any item defined as contraband by commissioner of juvenile justice authority within any juvenile correctional facility; if done by employee of such facility</t>
  </si>
  <si>
    <t>21-5914(a)(4) - Trafficking in Contraband in Correctional Institution or Care and Treatment Facility; Distribute any item defined as contraband by secretary of corrections within any state correctional institution or facility; if done by employee such institution or facility</t>
  </si>
  <si>
    <t>21-5914(a)(4) - Trafficking in Contraband in Correctional Institution or Care and Treatment Facility; Distribute any item defined as contraband by secretary of SRS within any care and treatment facility; if done by employee of such facility</t>
  </si>
  <si>
    <t>21-5914(a)(4) - Trafficking in Contraband in Correctional Institution or Care and Treatment Facility; Distribute any item within any correctional institution or care and treatment facility</t>
  </si>
  <si>
    <t>21-5914(a)(6) - Trafficking in Contraband in Correctional Institution or Care and Treatment Facility; Introduce into an institution in which a person is confined any object or thing adapted or designed for use in making an escape</t>
  </si>
  <si>
    <t>21-5914(a)(6) - Trafficking in Contraband in Correctional Institution or Care and Treatment Facility; Introduce into an institution in which a person is confined any object or thing adapted or designed for use in making an escape; If introduced by employee or volunteer of the department of corrections, or employee or volunteer of a contractor under contract to provide services to the department of corrections</t>
  </si>
  <si>
    <t>21-5914(a)(6) - Trafficking in Contraband in Correctional Institution or Care and Treatment Facility; Introduce into an institution in which a person is confined any object or thing adapted or designed for use in making an escape; If item defined as contraband by commissioner of juvenile justice authority into a juvenile correctional facility by an employee of such facility</t>
  </si>
  <si>
    <t>21-5914(a)(6) - Trafficking in Contraband in Correctional Institution or Care and Treatment Facility; Introduce into an institution in which a person is confined any object or thing adapted or designed for use in making an escape; If item defined as contraband by secretary of corrections in a state correctional institution or facility and introduced by employee of such institution or facility</t>
  </si>
  <si>
    <t>21-5914(a)(6) - Trafficking in Contraband in Correctional Institution or Care and Treatment Facility; Introduce into an institution in which a person is confined any object or thing adapted or designed for use in making an escape; If item defined as contraband by secretary of SRS in a care and treatment facility and introduced by employee of such facility</t>
  </si>
  <si>
    <t>21-5914(a)(6) - Trafficking in Contraband in Correctional Institution or Care and Treatment Facility; Introduce into an institution in which a person is confined any object or thing adapted or designed for use in making an escape; If such is a firearm, ammunition, explosive or controlled substance</t>
  </si>
  <si>
    <t>21-5914(a)(6) - Trafficking in Contraband in Correctional Institution or Care and Treatment Facility; Introduce into an institution in which a person is confined any object or thing adapted or designed for use in making an escape; if such item is a firearm, ammunition, explosive or controlled substance in a correctional institution or care and treatment facility and introduced by employee of such institution or facility</t>
  </si>
  <si>
    <t>21-5914(a)(1) - Trafficking in Contraband in Correctional Institution or Care and Treatment Facility; Introduce or attempt to introduce any firearms, ammunition, explosives or controlled substance</t>
  </si>
  <si>
    <t>21-5914(a)(1) - Trafficking in Contraband in Correctional Institution or Care and Treatment Facility; Introduce or attempt to introduce any firearms, ammunition, explosives or controlled substance; introduced by employee of correctional institution or in a care and treatment facility by employee of such</t>
  </si>
  <si>
    <t>21-5914(a)(1) - Trafficking in Contraband in Correctional Institution or Care and Treatment Facility; Introduce or attempt to introduce any item defined as contraband by commissioner of juvenile justice authority into a juvenile correctional facility by an employee of such facility</t>
  </si>
  <si>
    <t>21-5914(a)(1) - Trafficking in Contraband in Correctional Institution or Care and Treatment Facility; Introduce or attempt to introduce any item defined as contraband by secretary of corrections into a state correctional institution or facility by an employee of such institution or facility</t>
  </si>
  <si>
    <t>21-5914(a)(1) - Trafficking in Contraband in Correctional Institution or Care and Treatment Facility; Introduce or attempt to introduce any item defined as contraband by secretary of SRS into a care and treatment facility by an employee of such facility</t>
  </si>
  <si>
    <t>21-5914(a)(1) - Trafficking in Contraband in Correctional Institution or Care and Treatment Facility; Introduce or attempt to introduce any item into or upon the grounds of institution or facility</t>
  </si>
  <si>
    <t>21-5914(a)(5) - Trafficking in Contraband in Correctional Institution or Care and Treatment Facility; Supplying to another who is in lawful custody any object or thing adapted or designed for use in making an escape</t>
  </si>
  <si>
    <t>21-5914(a)(5) - Trafficking in Contraband in Correctional Institution or Care and Treatment Facility; Supplying to another who is in lawful custody any object or thing adapted or designed for use in making an escape; if item defined as contraband by commissioner of juvenile justice authority in a juvenile correctional facility and supplied by employee of such facility</t>
  </si>
  <si>
    <t>21-5914(a)(5) - Trafficking in Contraband in Correctional Institution or Care and Treatment Facility; Supplying to another who is in lawful custody any object or thing adapted or designed for use in making an escape; if item defined as contraband by secretary of corrections in a state correctional institution or facility and supplied by employee of such institution or facility</t>
  </si>
  <si>
    <t>21-5914(a)(5) - Trafficking in Contraband in Correctional Institution or Care and Treatment Facility; Supplying to another who is in lawful custody any object or thing adapted or designed for use in making an escape; if item defined as contraband by secretary of SRS in a care and treatment facility and supplied by employee of such facility</t>
  </si>
  <si>
    <t>21-5914(a)(5) - Trafficking in Contraband in Correctional Institution or Care and Treatment Facility; Supplying to another who is in lawful custody any object or thing adapted or designed for use in making an escape; if such item is a firearm, ammunition, explosive or controlled substance</t>
  </si>
  <si>
    <t>21-5914(a)(5) - Trafficking in Contraband in Correctional Institution or Care and Treatment Facility; Supplying to another who is in lawful custody any object or thing adapted or designed for use in making an escape; if such item is a firearm, ammunition, explosive or controlled substance in a correctional institution or care and treatment facility and supplied by employee of such institution or facility</t>
  </si>
  <si>
    <t>21-5914(a)(5) - Trafficking in Contraband in Correctional Institution or Care and Treatment Facility; Supplying to another who is in lawful custody any object or thing adapted or designed for use in making an escape; if supplied by employee or volunteer of the department of corrections, or employee or volunteer of a contractor under contract to provide services to the department of corrections</t>
  </si>
  <si>
    <t>21-5914(a)(2) - Trafficking in Contraband in Correctional Institution or Care and Treatment Facility; Taking, sending or attempting to take or send a firearm, ammunition, explosive or controlled substance from correctional institution or care and treatment facility; if done by employee of such facility</t>
  </si>
  <si>
    <t>21-5914(a)(2) - Trafficking in Contraband in Correctional Institution or Care and Treatment Facility; Taking, sending or attempting to take or send any item defined as contraband by commissioner of juvenile justice authority from juvenile correctional facility; if done by employee of such facility</t>
  </si>
  <si>
    <t>21-5914(a)(2) - Trafficking in Contraband in Correctional Institution or Care and Treatment Facility; Taking, sending or attempting to take or send any item defined as contraband by secretary of corrections from state correctional institution or facility; if done by employee of such institution or facility</t>
  </si>
  <si>
    <t>21-5914(a)(2) - Trafficking in Contraband in Correctional Institution or Care and Treatment Facility; Taking, sending or attempting to take or send any item defined as contraband by secretary of SRS from care or treatment facility; if done by employee of such facility</t>
  </si>
  <si>
    <t>21-5914(a)(2) - Trafficking in Contraband in Correctional Institution or Care and Treatment Facility; Taking, sending or attempting to take or send any item from institution or facility</t>
  </si>
  <si>
    <t>21-5914(a)(2) - Trafficking in Contraband in Correctional Institution or Care and Treatment Facility; Taking, sending or attempting to take or send firearm, ammunition, explosive or controlled substance from institution or facility</t>
  </si>
  <si>
    <t>21-5914(a)(3) - Trafficking in Contraband in Correctional Institution or Care and Treatment Facility; Unauthorized possession of any firearm, ammunition, explosive or controlled substance while in any correctional institution or care and treatment facility</t>
  </si>
  <si>
    <t>21-5914(a)(3) - Trafficking in Contraband in Correctional Institution or Care and Treatment Facility; Unauthorized possession of any firearm, ammunition, explosive or controlled substance while in any correctional institution or care and treatment facility; if done by employee of such facility</t>
  </si>
  <si>
    <t>21-5914(a)(3) - Trafficking in Contraband in Correctional Institution or Care and Treatment Facility; Unauthorized possession of any item defined as contraband by commissioner of juvenile justice authority while in any juvenile correctional facility; if done by employee of such facility</t>
  </si>
  <si>
    <t>21-5914(a)(3) - Trafficking in Contraband in Correctional Institution or Care and Treatment Facility; Unauthorized possession of any item defined as contraband by secretary of corrections while in any correctional institution or facility; if done by employee of such facility</t>
  </si>
  <si>
    <t>21-5914(a)(3) - Trafficking in Contraband in Correctional Institution or Care and Treatment Facility; Unauthorized possession of any item defined as contraband by secretary of SRS while in care and treatment facility; if done by employee of such facility</t>
  </si>
  <si>
    <t>21-5914(a)(3) - Trafficking in Contraband in Correctional Institution or Care and Treatment Facility; Unauthorized possession of any item while in any correctional institution or care and treatment facility</t>
  </si>
  <si>
    <t>65-4167(a) - Trafficking; Counterfeit Drugs; value $25,000 or more</t>
  </si>
  <si>
    <t>65-4167(a) - Trafficking; Counterfeit Drugs; value at least $500 but less than $25,000</t>
  </si>
  <si>
    <t>65-4167(a) - Trafficking; Counterfeit Drugs; value less than $500</t>
  </si>
  <si>
    <t>21-5901(a) - Treason; Levying war against the state, adhering to its enemies, or giving them aid and comfort</t>
  </si>
  <si>
    <t>21-5809(a)(1) - Trespass on Railroad Property; Entering or remaining on property without consent of owner</t>
  </si>
  <si>
    <t>21-5809(a)(1) - Trespass on Railroad Property; Knowingly trespass on railroad property without consent; damage more than $1,500</t>
  </si>
  <si>
    <t>21-5809(a)(2) - Trespass on Railroad Property; Recklessly causing derailment of a train, railroad car or rail-mounted work equipment; damage more than $1,500</t>
  </si>
  <si>
    <t>2-140 - Trespassing; On fairgrounds</t>
  </si>
  <si>
    <t>74-9809(b)(3) - Tribal Gaming Oversight; Executive director or employee of the state gaming agency knowingly accepting compensation, gift, loan, entertainment, favor or service from person or entity licensed pursuant to a tribal-state gaming compact, unless exception applies</t>
  </si>
  <si>
    <t>74-9809(b)(2) - Tribal Gaming Oversight; Executive director or employee of the state gaming agency knowingly participating as an owner, operator, manager or consultant in tribal gaming in Kansas</t>
  </si>
  <si>
    <t>74-9809(b)(1) - Tribal Gaming Oversight; Executive director or employee of the state gaming agency knowingly placing a wager or betting or playing an electronic game of chance at a tribal gaming facility</t>
  </si>
  <si>
    <t>74-9809(c)(2) - Tribal Gaming Oversight; Executive director or employee of the state gaming agency, or certain relatives thereof, entering into any business dealing, venture or contract with owner/operator of a tribal gaming facility other than as required to complete duties of the compact</t>
  </si>
  <si>
    <t>74-9809(c)(1) - Tribal Gaming Oversight; Executive director or employee of the state gaming agency, or certain relatives thereof, holding any license issued pursuant to a tribal-state gaming compact</t>
  </si>
  <si>
    <t>74-9809(a) - Tribal Gaming Oversight; Having financial interest in tribal gaming while the executive director or employee of the state gaming agency or during 5 yrs immediately following termination of such employment</t>
  </si>
  <si>
    <t>74-9809(d) - Tribal Gaming Oversight; Holder of a license issued pursuant to a tribal-state gaming compact allowing any person, to place a wager or play any class III game, gaming device or electronic game of chance at a tribal gaming facility, knowing such person to be under 21 yrs of age</t>
  </si>
  <si>
    <t>74-9809(k)(1) - Tribal Gaming Oversight; Knowingly conduct, carry on, operate, deal or allow to be conducted, carried on or dealt, any cheating or thieving class III game or device</t>
  </si>
  <si>
    <t>74-9809(k)(2) - Tribal Gaming Oversight; Knowingly deal, conduct, carry on, operate or expose for play, any class III game or games played with cards, dice or any mechanical or electronic device, or any combination of such, which have been marked or tampered with, placed in a condition, or operated in a manner, which results in public deception, or alters normal chance or results of the game</t>
  </si>
  <si>
    <t>74-9809(h)(1) - Tribal Gaming Oversight; Knowingly use bogus or counterfeit chips or gaming billets; knowingly substitute and use in any game, cards or dice that have been marked, loaded or tampered with</t>
  </si>
  <si>
    <t>74-9809(l) - Tribal Gaming Oversight; Knowingly use or possess any marked cards, loaded dice, plugged or tampered with machines or devices</t>
  </si>
  <si>
    <t>74-9809(h)(2) - Tribal Gaming Oversight; Knowingly use other than a lawful coin or legal tender of the U.S.A., or one of a denomination not intended to be used in an electronic game of chance</t>
  </si>
  <si>
    <t>74-9809(m) - Tribal Gaming Oversight; Possess any device, equipment or material known to have been manufactured, distributed, sold, tampered with or serviced in violation of the provisions of a tribal-state gaming compact</t>
  </si>
  <si>
    <t>74-9805(m)(3) - Tribal Gaming Oversight; Unauthorized disclosure of confidential information</t>
  </si>
  <si>
    <t>74-9809(i) - Tribal Gaming Oversight; Unauthorized possession or use of any cheating or thieving device</t>
  </si>
  <si>
    <t>74-9809(j) - Tribal Gaming Oversight; Unauthorized possession or use of any key or device designed for the purpose of or suitable for opening or entering any electronic game of chance or similar gaming device or drop box</t>
  </si>
  <si>
    <t>74-9809(e) - Tribal Gaming Oversight; Use or conspire to use any device for the purpose of effecting the outcome of game</t>
  </si>
  <si>
    <t>74-9809(n) - Tribal Gaming Oversight; Win money, property or representative of either, by any trick or sleight of hand performance, or by fraud or fraudulent scheme, cards, dice or device; or reduce or attempt to reduce a losing wager, in connection with tribal gaming in a value of less than $100</t>
  </si>
  <si>
    <t>74-9809(h)(3) - Tribal Gaming Oversight; Win or attempt to win by any trick or sleight of hand performance, or by a fraud or fraudulent scheme, cards, dice or device, money or property or a representative of either, or reduce or attempt to reduce a losing wager, in connection with tribal gaming in a value of $100 or greater</t>
  </si>
  <si>
    <t>74-9809(g) - Tribal Gaming; Person 18 or older but less than 21 yrs of age, placing any wager or playing any class III game, gaming device or electronic game of chance at a tribal gaming facility</t>
  </si>
  <si>
    <t>21-5832(a) - Unauthorized Delivery of Stored Goods</t>
  </si>
  <si>
    <t>50-503(h) - Unfair Trade &amp; Consumer Protection; Extend credit to a retail dealer beyond the normal periods of payment commonly prevailing in the business territory of the sale</t>
  </si>
  <si>
    <t>50-503(d) - Unfair Trade &amp; Consumer Protection; Fail, neglect, or refuse to remove, repossess or institute an appropriate replevin action to recover any fixture or equipment sold to any retail dealer or consumer under a conditional sales contract or secured by chattel mortgage as authorized by the provisions of this act, if such retail dealer or consumer has been in default of any payment for more than 90 days</t>
  </si>
  <si>
    <t>50-503(c) - Unfair Trade &amp; Consumer Protection; Furnish or provide for the mechanical or electrical servicing of any fixtures or equipment used in connection with the sale or consumption of dairy products by a retail dealer or consumer</t>
  </si>
  <si>
    <t>50-503(a) - Unfair Trade &amp; Consumer Protection; Furnish, give, rent, lease, or lend to a retail dealer any money, equipment, fixtures, ice cream cabinets or bulk milk dispensers, supplies, or other things having a real or substantial value, or any expendable supplies commonly provided in connection with sales of dairy products to the consumer</t>
  </si>
  <si>
    <t>50-503(m) - Unfair Trade &amp; Consumer Protection; Grant to any retail dealer any secret discount, make any rebate, or permit any deviation from the price at which such person furnishes dairy products of the same quality, brand and quantity to other retail dealers in the same city, unincorporated town, or immediate vicinity thereof</t>
  </si>
  <si>
    <t>50-503(g) - Unfair Trade &amp; Consumer Protection; Make, guarantee or procure another to guarantee any loan or the payment of any financial obligation of a retail dealer</t>
  </si>
  <si>
    <t>50-503(i) - Unfair Trade &amp; Consumer Protection; Offer or give any bonus, premium, or compensation to a retail dealer, directly or indirectly, through or to an officer, employee, associate, relative or representative of a retail dealer</t>
  </si>
  <si>
    <t>50-503(f) - Unfair Trade &amp; Consumer Protection; Pay or credit a retail dealer for the use of any floor space, shelf space or equipment within or at such person's place of business</t>
  </si>
  <si>
    <t>50-503(e) - Unfair Trade &amp; Consumer Protection; Pay to or credit a retail dealer or pay for or on behalf of or for the benefit of a retail dealer for any advertising, display or distribution service, unless exception herein applies</t>
  </si>
  <si>
    <t>50-503(n) - Unfair Trade &amp; Consumer Protection; Permit any retail dealer to do for or on behalf of such wholesaler, processor or distributor any of the acts hereby made unlawful to be done</t>
  </si>
  <si>
    <t>50-503(l) - Unfair Trade &amp; Consumer Protection; Sell any products, unit or combination thereof, for less than cost to the wholesaler, processor or distributor at the point of delivery; sell to any retail dealer any expendable supplies for less than cost to any such wholesaler, processor or distributor at the point of delivery plus a markup of 6% of such cost as a proportionate share of the cost of doing business</t>
  </si>
  <si>
    <t>50-503(b) - Unfair Trade &amp; Consumer Protection; Sell to any retail dealer or consumer any fixtures or equipment other than ice cream cabinets or bulk milk dispensers, or sell to any retail dealer or consumer any ice cream cabinets or bulk milk dispensers at unauthorized price</t>
  </si>
  <si>
    <t>50-503(j) - Unfair Trade &amp; Consumer Protection; Sell, offer for sale, or contract to sell dairy products to any retail dealer on consignment, or with the privilege of return, or on any basis other than a bona fide sale</t>
  </si>
  <si>
    <t>50-503(k) - Unfair Trade &amp; Consumer Protection; Use or employ any device or scheme to subsidize any retail dealer</t>
  </si>
  <si>
    <t>8-1749a(e) - Uniform Act Regulating Traffic; 1-way glass and sun screening devices; headlamps</t>
  </si>
  <si>
    <t>8-1749a(a) - Uniform Act Regulating Traffic; 1-way glass and sun screening devices; windows</t>
  </si>
  <si>
    <t>8-2107(b) - Uniform Act Regulating Traffic; Applying for a replacement or new DL prior to the return of such person's original license which has been deposited in lieu of bond under this section</t>
  </si>
  <si>
    <t>8-1525(b) - Uniform Act Regulating Traffic; Disobeying restrictions stated on official traffic-control devices on a controlled-access highway or facility; 1st violation</t>
  </si>
  <si>
    <t>8-1910(a) - Uniform Act Regulating Traffic; Fail or refuse to weigh vehicle; 1st violation</t>
  </si>
  <si>
    <t>8-1746(b) - Uniform Act Regulating Traffic; Fail to comply with rules and regulations pertaining to transportation of hazardous materials</t>
  </si>
  <si>
    <t>8-1746(c) - Uniform Act Regulating Traffic; Fail to place marks or placards on vehicle as required</t>
  </si>
  <si>
    <t>8-1759a(a) - Uniform Act Regulating Traffic; Failure of driver to stop and submit vehicle to an inspection and test upon request of highway patrol officer</t>
  </si>
  <si>
    <t>8-1759a(c) - Uniform Act Regulating Traffic; Failure to comply with highway patrol officers order to cease driving hazardous, defective vehicle or to drive to nearest garage or other place of safety</t>
  </si>
  <si>
    <t>8-2110(a) - Uniform Act Regulating Traffic; Failure to comply with traffic citation</t>
  </si>
  <si>
    <t>8-1746(d) - Uniform Act Regulating Traffic; Failure to properly equip vehicle with fire extinguishers of a type, size and number approved by the secretary</t>
  </si>
  <si>
    <t>8-1759(a) - Uniform Act Regulating Traffic; Failure to stop at a spot inspection by highway patrol</t>
  </si>
  <si>
    <t>8-1759a(b) - Uniform Act Regulating Traffic; Highway patrol officer required to give a written notice of any defect to the driver</t>
  </si>
  <si>
    <t>-141135 - Uniform Act Regulating Traffic; Interference with official traffic control devices/railroad signs; 1st violation</t>
  </si>
  <si>
    <t>-130178 - Uniform Act Regulating Traffic; Pedestrians under the influence of Drugs or Alcohol; 1st violation</t>
  </si>
  <si>
    <t>8-1565(a) - Uniform Act Regulating Traffic; Racing on highways</t>
  </si>
  <si>
    <t>8-1566(a) - Uniform Act Regulating Traffic; Reckless driving</t>
  </si>
  <si>
    <t>8-1743(d) - Uniform Act Regulating Traffic; Replace any glass or glazing materials in certain locations with any material other than safety glazing material</t>
  </si>
  <si>
    <t>8-1743(a) - Uniform Act Regulating Traffic; Sale of new passenger vehicle without safety glazing material</t>
  </si>
  <si>
    <t>8-1742a - Uniform Act Regulating Traffic; Sell unsafe tires</t>
  </si>
  <si>
    <t>8-1743(b) - Uniform Act Regulating Traffic; Sell, or affix to a motor vehicle, any truck-camper manufactured or assembled after July 1, 1968, without safety glazing material</t>
  </si>
  <si>
    <t>8-1599(b) - Uniform Act Regulating Traffic; Transporting Alcoholic beverage in an open container</t>
  </si>
  <si>
    <t>79107 - Uniform Act Regulating Traffic; Violation of act not in K.S.A. 8-2118; 1st violation</t>
  </si>
  <si>
    <t>79107 - Uniform Act Regulating Traffic; Violation of act not in K.S.A. 8-2118; 2nd violation with 1 yr of 1st</t>
  </si>
  <si>
    <t>79107 - Uniform Act Regulating Traffic; Violation of act not in K.S.A. 8-2118; 3rd violation with 1 yr of 1st</t>
  </si>
  <si>
    <t>-144788 - Uniform Act Regulating Traffic; Willful failure or refusal to comply with lawful order/direction of any police officer or fireman with authority to direct, control or regulate traffic; 1st violation</t>
  </si>
  <si>
    <t>65-3236 - Uniform Anatomical Gift Act; Intentionally falsify, forge, conceal, deface or obliterate a document of gift or amendment or revocation of such, or refusal, for financial gain</t>
  </si>
  <si>
    <t>65-3235(a) - Uniform Anatomical Gift Act; Knowingly purchase or sell a body part for transplantation or therapy</t>
  </si>
  <si>
    <t>8-2,153(a) - Uniform Commercial Drivers' License Act; Any violation of Act - unless otherwise prescribed by Act</t>
  </si>
  <si>
    <t>58-3304(2) - Uniform Land Sales Practices Act; Dispose of interest in subdivided lands without a current public offering statement provided to purchaser</t>
  </si>
  <si>
    <t>58-3304(1) - Uniform Land Sales Practices Act; Offer or dispose of any interest in subdivided lands prior to registration</t>
  </si>
  <si>
    <t>58-3315 - Uniform Land Sales Practices Act; Penalty for willful violation of act</t>
  </si>
  <si>
    <t>65-2438(a) - Uniform Vital Statistics Act; Knowingly refuse or omit to provide notice to a person transporting dead body for disposition that the deceased had an infectious or contagious disease</t>
  </si>
  <si>
    <t>65-2438(b) - Uniform Vital Statistics Act; Knowingly refuse or omit to provide notice to embalmer, funeral director or other person taking possession of body that the deceased had an infectious or contagious disease</t>
  </si>
  <si>
    <t>65-2434(b) - Uniform Vital Statistics Act; Knowingly transports or accepts for transportation, a dead body located in this state to a location outside the boundaries of this state without an accompanying permit</t>
  </si>
  <si>
    <t>65-2438(d) - Uniform Vital Statistics Act; Unauthorized disclosure of confidential information pertaining to a deceased persons infectious or contagious disease</t>
  </si>
  <si>
    <t>65-2434 - Uniform Vital Statistics Act; Vital records identity fraud related to birth, death, marriage and divorce certificates prosecuted pursuant to K.S.A. 21-5918</t>
  </si>
  <si>
    <t>21-6105(a) - Unjustifiably Exposing a Convicted or Charged Person; Communicating or threatening to communicate information that a person has been charged with or convicted of a felony, with intent to interfere with the employment or business of such person</t>
  </si>
  <si>
    <t>21-5836(a) - Unlawful Acts Concerning Certificates of Title; Knowingly fail to show complete chain of title</t>
  </si>
  <si>
    <t>21-5425(a) - Unlawful Administration of a Substance; Administration to another without consent and with intent to impair</t>
  </si>
  <si>
    <t>21-6202(a)(1)(A) - Unlawful Assembly; Meeting or coming together of not less than 5 persons with intent to engage in disorderly conduct</t>
  </si>
  <si>
    <t>21-6202(a)(1)(B) - Unlawful Assembly; Meeting or coming together of not less than 5 persons with intent to engage in riot</t>
  </si>
  <si>
    <t>21-6202(b) - Unlawful Assembly; Remaining at an unlawful assembly; Intentionally failing to depart as directed by law enforcement</t>
  </si>
  <si>
    <t>21-6202(a)(2) - Unlawful Assembly; When lawful assembly of not less than 5 persons, agreeing to engage in conduct constituting disorderly conduct or riot</t>
  </si>
  <si>
    <t>21-6308a - Unlawful Discharge of a Firearm; Reckless discharge of a firearm within city limits</t>
  </si>
  <si>
    <t>21-5923(a) - Unlawful Disclosure of Authorized Interception of Wire</t>
  </si>
  <si>
    <t>21-6413(a) - Unlawful Disposition of Animals; Knowingly raffling or giving as a prize or premium living rabbits or chickens, ducklings or goslings</t>
  </si>
  <si>
    <t>21-6310(a)(2) - Unlawful Endangerment; Knowingly protect or attempt to protect the manufacture or cultivation of a controlled substance with a device or weapon which causes bodily harm</t>
  </si>
  <si>
    <t>21-6310(a)(1) - Unlawful Endangerment; Knowingly protect or attempt to protect the manufacture or cultivation of a controlled substance with a device or weapon which causes great bodily harm</t>
  </si>
  <si>
    <t>21-6310(a)(3) - Unlawful Endangerment; Knowingly protect or attempt to protect the manufacture or cultivation of a controlled substance with a device or weapon which causes or is intended to cause bodily harm to another person</t>
  </si>
  <si>
    <t>21-5608(a) - Unlawful Hosting; Minors consuming alcoholic liquor or cereal malt beverage; recklessly permitting a person's residence, land, building, structure or room owned, occupied or procured by such person to be used in such a manner that results in the possession or consumption of alcoholic liquor or cereal malt beverages by a minor</t>
  </si>
  <si>
    <t>21-6325(a)(1) - Unlawful Interference with a Firefighter; Knowingly interfering while firefighter is engaged in performance of duties</t>
  </si>
  <si>
    <t>21-6325(a)(2) - Unlawful Interference with a Firefighter; Knowingly obstructing, interfering with or impeding the efforts of firefighter to reach the location of fire or other emergency</t>
  </si>
  <si>
    <t>21-6326(a)(1) - Unlawful Interference with EMS Attendant; Knowingly interfere while attendant is engaged in performance of duties</t>
  </si>
  <si>
    <t>21-6326(a)(2) - Unlawful Interference with EMS Attendant; Knowingly obstruct, interfere with or impede efforts of attendant to reach location of the emergency</t>
  </si>
  <si>
    <t>21-5829(a) - Unlawful Manufacture or Disposal of False Tokens</t>
  </si>
  <si>
    <t>21-6324(a)(1) - Unlawful Possession of a Traffic Control Preemption Device</t>
  </si>
  <si>
    <t>21-5610(a) - Unlawful possession of a visual depiction of a child; Knowingly possession a visual depiction of a child 12 years of age or older but less than 16 years of age in a state of nudity, if committed by a person less than 19 years of age, and the possessor of such visual depiction received such directly and exclusively from the child who is the subject of such visual depiction.</t>
  </si>
  <si>
    <t>21-6108(a)(2) - Unlawful Possession/Use of Reencoder; With intent to defraud, having possession of or using a reencoder to place encoded information on the a computer chip or magnetic strip or stripe of a payment card or any electronic medium that allows an authorized transaction to occur</t>
  </si>
  <si>
    <t>21-6108(a)(1) - Unlawful Possession/Use of Scanning Device; With intent to defraud, having possession of or using a scanning device to access, read, obtain, memorize or store, either temporarily or permanently, information encoded on a computer chip or magnetic strip or stripe of a payment card</t>
  </si>
  <si>
    <t>21-5820(a) - Unlawful Posting of Political Pictures and Political Advertisements</t>
  </si>
  <si>
    <t>21-6106(a)(1) - Unlawful Public Demonstration at a Funeral; Engaging in public demonstration within 150 feet of any entrance to cemetery, church, mortuary or other funeral location, within one hour prior to scheduled commencement of funeral, during funeral or within 2 hours following completion of funeral</t>
  </si>
  <si>
    <t>21-6106(a)(3) - Unlawful Public Demonstration at a Funeral; Knowingly impede vehicles which are part of a funeral procession</t>
  </si>
  <si>
    <t>21-6106(a)(2) - Unlawful Public Demonstration at a Funeral; Knowingly obstruct, hinder, impede or block another person's entry to or exit from a funeral</t>
  </si>
  <si>
    <t>21-5512(a)(11) - Unlawful Sexual Relations; Consensual; between Community Correctional Officer or contract employee and person 16 or older and under supervision</t>
  </si>
  <si>
    <t>21-5512(a)(10) - Unlawful Sexual Relations; Consensual; between Court Services Officer or contract employee and person 16 or older and under supervision</t>
  </si>
  <si>
    <t>21-5512(a)(5) - Unlawful Sexual Relations; Consensual; between JJA staff or contract staff and inmate 16 or older</t>
  </si>
  <si>
    <t>21-5512(a)(6)(A)(ii) and (B) - Unlawful Sexual Relations; Consensual; between JJA staff or contract staff and person 16 or older who has been placed in the custody of JJA under the supervision or control of JJA or a juvenile community supervision agency and offender has knowledge person is currently under supervision</t>
  </si>
  <si>
    <t>21-5512(a)(6)(A)(i) and (B) - Unlawful Sexual Relations; Consensual; between JJA staff or contract staff and person 16 or older who has been under conditional release supervision of JJA or a juvenile community supervision agency and offender has knowledge person is currently under supervision</t>
  </si>
  <si>
    <t>21-5512(a)(1) - Unlawful Sexual Relations; Consensual; between KDOC staff, volunteer or contract staff and inmate 16 or older</t>
  </si>
  <si>
    <t>21-5512(a)(3) - Unlawful Sexual Relations; Consensual; between LEO, jail staff or contract staff and inmate 16 or older</t>
  </si>
  <si>
    <t>21-5512(a)(4) - Unlawful Sexual Relations; Consensual; between LEO, Juvenile Detention officer or contract staff and inmate 16 or older</t>
  </si>
  <si>
    <t>21-5512(a)(2) - Unlawful Sexual Relations; Consensual; between parole officer, volunteer or contract staff and a person 16 or older who is an inmate or person under supervision</t>
  </si>
  <si>
    <t>21-5512(a)(8) - Unlawful Sexual Relations; Consensual; between person in a position of authority in family foster home licensed by KDHE and person 16 or older who is a foster child in the home</t>
  </si>
  <si>
    <t>21-5512(a)(7) - Unlawful Sexual Relations; Consensual; between SRS staff or contract staff and patient 16 or older</t>
  </si>
  <si>
    <t>21-5512(a)(9) - Unlawful Sexual Relations; Consensual; between teacher/other person in authority and student 16 or older</t>
  </si>
  <si>
    <t>21-5611(a) - Unlawful transmission of a visual depiction of a child; Knowingly transmitting a visual depiction of a child 12 or more years of age but less than 18 years of age in a state of nudity when the offender is less than 19 years of age.</t>
  </si>
  <si>
    <t>21-5611(a) - Unlawful transmission of a visual depiction of a child; Knowingly transmitting a visual depiction of a child 12 or more years of age but less than 18 years of age in a state of nudity when the offender is less than 19 years of age; 2nd or subsequent</t>
  </si>
  <si>
    <t>21-5806(a)(2) - Unlawful Use of Recordings; Distributing or possessing with intent to distribute any item in (a)(1) knowing the item was illegally produced; less than 7 audio visual recordings or fewer than 100 sound recordings within 180 days</t>
  </si>
  <si>
    <t>21-5806(a)(2) - Unlawful Use of Recordings; Distributing or possessing with intent to distribute any item in K.S.A. 2011 Supp. 21-5806(a)(1) knowing the item was illegally produced; at least 7 or more audio/visual or 100 or more sound recordings within 180 days</t>
  </si>
  <si>
    <t>21-5806(a)(4) - Unlawful Use of Recordings; Knowingly selling, renting, possessing, transporting or manufacturing an item in which sounds or images may be stored unless outside cover, box or jacket discloses manufacturer; at least 7 or more audio/visual or 100 or more sound recordings within 180 days</t>
  </si>
  <si>
    <t>21-5806(a)(4) - Unlawful Use of Recordings; Knowingly selling, renting, possessing, transporting or manufacturing an item in which sounds or images may be stored unless outside cover, box or jacket discloses manufacturer; less than 7 audio visual recordings or fewer than 100 sound recordings within 180 days</t>
  </si>
  <si>
    <t>21-5806(a)(1) - Unlawful Use of Recordings; Piracy of recordings; knowingly and without consent duplicating sound recordings with intent to sell, rent or cause to be sold or rented or given away as part of a promotion</t>
  </si>
  <si>
    <t>21-5806(a)(3) - Unlawful Use of Recordings; Possessing any article produced in violation of (a)(1) knowing that it was produced illegally</t>
  </si>
  <si>
    <t>21-6006(a) - Unlawful Use of State Postage</t>
  </si>
  <si>
    <t>21-5507(a)(1)(C) - Unlawful Voluntary Sexual Relations; Lewd fondling/touching of a child 14 or 15 by a person less than 19 and less than four yrs older than the child</t>
  </si>
  <si>
    <t>21-5507(a)(1)(A) - Unlawful Voluntary Sexual Relations; Sexual intercourse between a child 14 or 15 and a person less than 19 and less than four yrs older than the child</t>
  </si>
  <si>
    <t>21-5507(a)(1)(B) - Unlawful Voluntary Sexual Relations; Sodomy between a child 14 or 15 and a person less than 19 and less than four yrs older than the child</t>
  </si>
  <si>
    <t>21-5406(a) - Vehicular Homicide; Killing by operation of a vehicle in a manner which creates an unreasonable risk of injury and which constitutes a material deviation from the reasonable standard of care</t>
  </si>
  <si>
    <t>47-834(b) - Veterinary Practice Act; Unlawful operation or management of veterinary premises</t>
  </si>
  <si>
    <t>47-834(a) - Veterinary Practice Act; Unlawful practice of veterinary medicine</t>
  </si>
  <si>
    <t>40-5013 - Viatical Settlements Act; Violation of Act; contract is $25,000 or more</t>
  </si>
  <si>
    <t>40-5013 - Viatical Settlements Act; Violation of Act; contract is at least $1,000 but less than $25,000</t>
  </si>
  <si>
    <t>40-5013 - Viatical Settlements Act; Violation of act; contract is less than $1,000</t>
  </si>
  <si>
    <t>40-5013 - Viatical Settlements Act; Violation of Act; contract is less than $1,000 but committed by a person who has been convicted of this crime two or more times within 5 yrs preceding the commission of this crime</t>
  </si>
  <si>
    <t>21-5918(b)(2) - Vital Records; Identity Fraud; Make, counterfeit, alter, amend or mutilate any certified copy of a vital record without lawful authority and with intent to deceive</t>
  </si>
  <si>
    <t>21-5918(b)(3) - Vital Records; Identity Fraud; Obtain, possess, use, sell or furnish or attempt to obtain, possess or furnish to another a certified copy of a vital record with the intent to deceive</t>
  </si>
  <si>
    <t>21-5918(b)(1) - Vital Records; Identity Fraud; Supply false information to obtain a certified copy of a vital record</t>
  </si>
  <si>
    <t>21-5831(a)(3) - Warehouse Receipt Fraud; Make, draw, issue or deliver; a duplicate or additional negotiable receipt for goods with knowledge that a former negotiable receipt for the same goods or any part thereof is outstanding and uncanceled, without plainly placing "duplicate" on the face thereof</t>
  </si>
  <si>
    <t>21-5831(a)(2) - Warehouse Receipt Fraud; Make, draw, issue or deliver; a negotiable receipt for good with knowledge that the receipt contains a false statement</t>
  </si>
  <si>
    <t>21-5831(a)(1) - Warehouse Receipt Fraud; Make, draw, issue or deliver; a negotiable receipt for goods with knowledge that the goods have not actually been received</t>
  </si>
  <si>
    <t>82-170 - Warehouses; Warehouse Receipts; warehousemen; penalty for violation of act</t>
  </si>
  <si>
    <t>12-3602(c) - Water Conditioning Contractors Act; Engage in business in Kansas without insurance and bond as required</t>
  </si>
  <si>
    <t>12-3602(a) - Water Conditioning Contractors Act; Engage in business without registration</t>
  </si>
  <si>
    <t>19-3519(b)(1) - Water Supply and Distribution Districts; Fraudulent claims less than $1000</t>
  </si>
  <si>
    <t>82a-732(b) - Waters &amp; Watercourses; Appropriation of Water for Beneficial Use; file water use report or other documents required knowing it to contain any false information as to a material matter</t>
  </si>
  <si>
    <t>82a-728(a) - Waters &amp; Watercourses; Appropriation of Water for Beneficial Use; unauthorized appropriation of water</t>
  </si>
  <si>
    <t>82a-1423 - Waters &amp; Watercourses; Conduct a weather modification activity without license and permit; knowingly make a false statement in an application for a license or permit; fail to file any report or reports as required; conduct any weather modification activity after a license is revoked or a permit is denied, revoked, modified or temporarily suspended; violation of any other provisions of this act</t>
  </si>
  <si>
    <t>82a-1214 - Waters &amp; Watercourses; Groundwater Exploration &amp; Protection; penalty for violations of act</t>
  </si>
  <si>
    <t>82a-305a - Waters &amp; Watercourses; Obstructions in Streams; penalty for violation of act</t>
  </si>
  <si>
    <t>2-1327(1) - Weeds; Bringing certain machinery into the state without freeing equipment from weed seed and litter</t>
  </si>
  <si>
    <t>2-1327(2) - Weeds; Moving certain machines from a field/farm infested with any noxious weed without freeing equipment of all weed seed and litter</t>
  </si>
  <si>
    <t>-209616 - Weeds; Unlawful disposal of nursery stock, plants, packing materials, animal fertilizer and soil or sod for landscaping or fertilizer uses containing or infested with noxious weed plant material or seeds</t>
  </si>
  <si>
    <t>-209981 - Weeds; Unlawful disposal of screening or offal material containing noxious weed seeds</t>
  </si>
  <si>
    <t>-208520 - Weeds; Unlawful feeding of unprocessed livestock feed material</t>
  </si>
  <si>
    <t>-208886 - Weeds; Unlawful sale of unprocessed, infested livestock feed material</t>
  </si>
  <si>
    <t>83-410 - Weights &amp; Measures; Dispensing Devices; violate or fail to comply with any of the provisions of K.S.A. 83-401 through 83-410</t>
  </si>
  <si>
    <t>83-155 - Weights &amp; Measures; Fail to comply with requirements pertaining to scale ticket or written record relating to weights</t>
  </si>
  <si>
    <t>83-154 - Weights &amp; Measures; Falsely making or altering scale ticket or other written records</t>
  </si>
  <si>
    <t>83-311 - Weights &amp; Measures; Scales; Violate or fail to comply with any of the provisions of K.S.A. 83-301 through 83-311 and K.S.A. 83-321 through 83-325</t>
  </si>
  <si>
    <t>83-208 - Weights &amp; Measures; Standards &amp; Enforcement; interfere with an inspection; fail to produce, upon demand, all weights, measures, balances or measuring devices for use in manufacture or trade</t>
  </si>
  <si>
    <t>83-220 - Weights &amp; Measures; Standards &amp; Enforcement; violation of any of the provisions of article 2 of chapter 83 of the Kansas Statutes Annotated</t>
  </si>
  <si>
    <t>83-149 - Weights &amp; Measures; Violation of any of the provisions of article 1 of chapter 83 of the Kansas Statutes Annotated</t>
  </si>
  <si>
    <t>32-1034(a) - Wildlife Parks &amp; Tourism; 2nd conviction for obstruction or impeding of lawful activities</t>
  </si>
  <si>
    <t>32-1004(a)(5) - Wildlife Parks &amp; Tourism; Cause to be shipped within, from or into this state any illegally taken or possessed wildlife</t>
  </si>
  <si>
    <t>32-1005(d) - Wildlife Parks &amp; Tourism; Commercialization of wildlife; value less than $1,000</t>
  </si>
  <si>
    <t>32-1015(a)(1) - Wildlife Parks &amp; Tourism; Destroy any muskrat house, beaver dam, mink run or any hole, den or runway of any furbearing animal, or cut down or destroy any tree that is the home, habitat or refuge of any furbearing animal</t>
  </si>
  <si>
    <t>32-1015(a)(3) - Wildlife Parks &amp; Tourism; Do any act or engage in any activity within any state park, state lake, recreational ground, wildlife area or sanctuary, natural area or other area under the control of the secretary which is in violation of or contrary to law or rules and regulations of the secretary</t>
  </si>
  <si>
    <t>32-1001(a)(4)(A) - Wildlife Parks &amp; Tourism; Fail to carry card or other evidence required pursuant to K.S.A. 32-980 while participating or engaging in fishing or hunting</t>
  </si>
  <si>
    <t>32-1001(a)(2) - Wildlife Parks &amp; Tourism; Failure to carry license, stamp or permit on person</t>
  </si>
  <si>
    <t>32-1049a(a) - Wildlife Parks &amp; Tourism; Failure to Comply with a Citation</t>
  </si>
  <si>
    <t>32-932(c) - Wildlife Parks &amp; Tourism; Falsely obtaining or using a physical disability, crossbow permit</t>
  </si>
  <si>
    <t>32-933(c) - Wildlife Parks &amp; Tourism; Falsely obtaining or using a physical or visual disability, assistance permit</t>
  </si>
  <si>
    <t>32-1032(a)(1) - Wildlife Parks &amp; Tourism; First or Second violation of Wildlife Parks &amp; Tourism Laws or rules and regulations of the Secretary</t>
  </si>
  <si>
    <t>32-1003(a)(5) - Wildlife Parks &amp; Tourism; Fish by placing in or upon any lake, pond, river, creek, stream or any other water, bordering on or within the state of Kansas, any deleterious substance or fishberries</t>
  </si>
  <si>
    <t>32-906 - Wildlife Parks &amp; Tourism; Fishing licenses required</t>
  </si>
  <si>
    <t>32-911 - Wildlife Parks &amp; Tourism; Fur harvester license required</t>
  </si>
  <si>
    <t>32-1015(a)(2) - Wildlife Parks &amp; Tourism; Hunt deer or elk in an area where a firearms season for the taking of deer or elk is occurring without wearing appropriate protective clothing as prescribed by rules and regulations adopted by the secretary pursuant to K.S.A. 32-805</t>
  </si>
  <si>
    <t>32-920 - Wildlife Parks &amp; Tourism; Hunter education; certificate of completion</t>
  </si>
  <si>
    <t>32-1004(a)(6) - Wildlife Parks &amp; Tourism; Intentionally import into this state, or possess or release in this state, any species of wildlife prohibited pursuant to K.S.A. 32-956</t>
  </si>
  <si>
    <t>32-1001(a)(5) - Wildlife Parks &amp; Tourism; Making false statement to secure license, stamp or permit</t>
  </si>
  <si>
    <t>32-1014(a) - Wildlife Parks &amp; Tourism; Obstruction or impeding of lawful activities</t>
  </si>
  <si>
    <t>32-1001(a)(1) - Wildlife Parks &amp; Tourism; Participate in activity requiring license, stamp or permit without having such</t>
  </si>
  <si>
    <t>32-1032(a) - Wildlife Parks &amp; Tourism; Penalty for Big game and wild turkey violations</t>
  </si>
  <si>
    <t>32-1032(a)(2) - Wildlife Parks &amp; Tourism; Penalty for Big game and wild turkey violations; 3rd conviction</t>
  </si>
  <si>
    <t>32-1032(a)(3) - Wildlife Parks &amp; Tourism; Penalty for Big game and wild turkey violations; 4th conviction</t>
  </si>
  <si>
    <t>32-1032(a)(4) - Wildlife Parks &amp; Tourism; Penalty for Big game and wild turkey violations; 5th or subs. conviction</t>
  </si>
  <si>
    <t>32-1003(a)(6) - Wildlife Parks &amp; Tourism; Place or explode any dynamite, giant powder, lime, nitroglycerine or any other explosive of any character or kind in any waters of the state of Kansas with the intent to take or stun fish</t>
  </si>
  <si>
    <t>32-1015(a)(6) - Wildlife Parks &amp; Tourism; Place, erect, or cause such, any seine, screen, net, weir, fish dam or other obstruction in or across any of the waters, rivers, creeks, ponds, streams, sloughs or other watercourses within the jurisdiction of this state so as to obstruct free passage of fish up, down and through such watercourses</t>
  </si>
  <si>
    <t>32-1004(a)(3) - Wildlife Parks &amp; Tourism; Possess a carcass of a big game animal or wild turkey, taken within this state, unless a check station tag, if required and issued by the secretary, is attached to it, in accordance with rules and regulations adopted by the secretary.</t>
  </si>
  <si>
    <t>32-1004(a)(1) - Wildlife Parks &amp; Tourism; Possess a carcass of a big game animal, taken within this state, unless a carcass tag, issued by the secretary, is attached to it, in accordance with rules and regulations adopted by the secretary.</t>
  </si>
  <si>
    <t>32-1004(a)(2) - Wildlife Parks &amp; Tourism; Possess a carcass of a wild turkey, taken within this state, unless a carcass tag, if required and issued by the secretary, is attached to it, in accordance with rules and regulations adopted by the secretary.</t>
  </si>
  <si>
    <t>32-1004(a)(4) - Wildlife Parks &amp; Tourism; Possess any wildlife unlawfully killed or otherwise unlawfully taken outside this state</t>
  </si>
  <si>
    <t>32-1003(a)(2) - Wildlife Parks &amp; Tourism; Provide or receive information concerning the location of any game animal or furbearing animal by radio or other mechanical device for purposes of taking such bird or animal</t>
  </si>
  <si>
    <t>32-1007(a) - Wildlife Parks &amp; Tourism; Public display of coyote carcasses</t>
  </si>
  <si>
    <t>32-1004(a)(7) - Wildlife Parks &amp; Tourism; Refuse to allow any conservation officer, deputy conservation officer or any law enforcement officer to inspect and count any wildlife in such person's possession</t>
  </si>
  <si>
    <t>32-1004(a)(8) - Wildlife Parks &amp; Tourism; Refuse to allow any conservation officer, deputy conservation officer or law enforcement officer to inspect any devices or facilities used in taking, possessing, transporting, storing or processing any wildlife subject to the wildlife and parks &amp; tourism laws of this state or rules and regulations of the secretary</t>
  </si>
  <si>
    <t>32-1001(a)(3) - Wildlife Parks &amp; Tourism; Refuse to allow examination of license, stamp or permit</t>
  </si>
  <si>
    <t>32-1001(a)(4)(B) - Wildlife Parks &amp; Tourism; Refuse to allow inspection of card or other evidence required pursuant to K.S.A. 32-980 while participating or engaging in fishing or hunting</t>
  </si>
  <si>
    <t>32-1015(a)(5) - Wildlife Parks &amp; Tourism; Remove fish from a private water fishing impoundment without consent</t>
  </si>
  <si>
    <t>32-1008(b) - Wildlife Parks &amp; Tourism; Take, buy, sell or offer to sell any migratory bird or birds in Kansas unless authorized/permitted by federal regulations provided by the migratory bird treaty act</t>
  </si>
  <si>
    <t>32-1008(c) - Wildlife Parks &amp; Tourism; Take, buy, sell or offer to sell any migratory waterfowl in Kansas unless authorized or permitted by 16 U.S.C.A. § 718a</t>
  </si>
  <si>
    <t>32-1009 - Wildlife Parks &amp; Tourism; Take, possess, transport, export, process, sell or offer for sale or ship nongame species deemed to be in need of conservation pursuant to K.S.A. 32-959; unlawful for any common carrier knowingly to transport or receive for shipment such nongame species</t>
  </si>
  <si>
    <t>32-1003(a)(1) - Wildlife Parks &amp; Tourism; Taking any game animal or furbearing animal from a motorboat, airplane, motor vehicle or other water, air or land vehicle unless holding a valid handicapped hunting and fishing permit issued pursuant to K.S.A. 32-931</t>
  </si>
  <si>
    <t>32-1013(a) - Wildlife Parks &amp; Tourism; Taking wildlife without permission on land posted "by written permission only"</t>
  </si>
  <si>
    <t>32-1003(a)(7) - Wildlife Parks &amp; Tourism; Throw or cast the rays of a spotlight, headlight or other artificial light on any highway, roadway, field, grassland, woodland or forest for the purpose of spotting, locating or taking any wildlife while having in possession or control, either singly or as one of a group of persons, any rifle, pistol, shotgun, bow or other implement whereby wildlife could be taken</t>
  </si>
  <si>
    <t>32-1002(a)(1) - Wildlife Parks &amp; Tourism; Unauthorized hunting, fishing, fur harvesting or taking any wildlife in this state</t>
  </si>
  <si>
    <t>32-1002(a)(5) - Wildlife Parks &amp; Tourism; Unauthorized possession of any seine, trammel net, hoop net, fyke net, fish gig, fish spear, fish trap or other device, contrivance or material for the purpose of taking wildlife</t>
  </si>
  <si>
    <t>32-1002(a)(2) - Wildlife Parks &amp; Tourism; Unauthorized possession of, any wildlife, dead or alive, at any time or in any number, in this state</t>
  </si>
  <si>
    <t>32-1002(a)(3) - Wildlife Parks &amp; Tourism; Unauthorized purchase, sell, exchange, ship or offer for sale, exchange or shipment any wildlife in this state</t>
  </si>
  <si>
    <t>32-1002(a)(4) - Wildlife Parks &amp; Tourism; Unauthorized taking of any wildlife in this state for sale, exchange or other commercial purposes</t>
  </si>
  <si>
    <t>32-1002(a)(6) - Wildlife Parks &amp; Tourism; Unauthorized taking or using, at any time or in any manner, any game bird, game animal, coyote or furbearing animal, whether pen-raised or wild, in any field trial or for training dogs</t>
  </si>
  <si>
    <t>32-1003(a)(4) - Wildlife Parks &amp; Tourism; Unauthorized use of poison, poisonous gas, smoke or ferrets, or any smoke gun or other device for forcing smoke or any other asphyxiating or deadly gas or liquid into the holes, dens, runways or houses of wildlife</t>
  </si>
  <si>
    <t>32-1003(a)(3) - Wildlife Parks &amp; Tourism; Unauthorized use of sodium fluoroacetate, commonly called formula 1080</t>
  </si>
  <si>
    <t>32-1010 - Wildlife Parks &amp; Tourism; Unlawful taking of a threatened species</t>
  </si>
  <si>
    <t>32-1011 - Wildlife Parks &amp; Tourism; Unlawful taking of an endangered species</t>
  </si>
  <si>
    <t>32-1006(b) - Wildlife Parks &amp; Tourism; Unlawful taking of coyotes, moles, gophers</t>
  </si>
  <si>
    <t>32-1033 - Wildlife Parks &amp; Tourism; Unlawful taking of endangered species</t>
  </si>
  <si>
    <t>32-1015(a)(4) - Wildlife Parks &amp; Tourism; Use any manner or means of taking fish which may escape from a private water fishing impoundment and kill or endanger fish in another such impoundment or in public waters</t>
  </si>
  <si>
    <t>32-1063(a) - Wildlife Violator Compact; Knowingly hunt, fish, trap, possess, or transport wildlife in violation of Act</t>
  </si>
  <si>
    <t>32-1063(b) - Wildlife Violator Compact; Knowingly purchase or possess a license to fish, trap, hunt possess or transport wildlife in violation of Act</t>
  </si>
  <si>
    <t>60-1208(a) - Witnesses; Disobey subpoena, or refuse to answer any proper question propounded by the attorney general, assistant attorney general, or county attorney, at inquiry</t>
  </si>
  <si>
    <t>44-5,125(a)(1)(i) - Worker's Comp. Fraud; Amount received as a benefit, less than $1,000</t>
  </si>
  <si>
    <t>44-5,125(a)(1)(E) - Worker's Comp. Fraud; Attempt to Gain Benefits; conspire with another person to commit any act described by paragraph (1) of this subsection (a); $1,000 to $25,000</t>
  </si>
  <si>
    <t>44-5,125(a)(1)(E) - Worker's Comp. Fraud; Attempt to Gain Benefits; conspire with another person to commit any act described by paragraph (1) of this subsection (a); $100,000 or more</t>
  </si>
  <si>
    <t>44-5,125(a)(1)(E) - Worker's Comp. Fraud; Attempt to Gain Benefits; conspire with another person to commit any act described by paragraph (1) of this subsection (a); $25,000 to $50,000</t>
  </si>
  <si>
    <t>44-5,125(a)(1)(E) - Worker's Comp. Fraud; Attempt to Gain Benefits; conspire with another person to commit any act described by paragraph (1) of this subsection (a); $50,000 to $100,000</t>
  </si>
  <si>
    <t>44-5,125(a)(1)(C) - Worker's Comp. Fraud; Attempt to Gain Benefits; fabricate, alter, conceal or destroy a document; $100,000 or more</t>
  </si>
  <si>
    <t>44-5,125(a)(1)(C) - Worker's Comp. Fraud; Attempt to Gain Benefits; fabricate, alter, conceal or destroy a document; $1000 to $25,000</t>
  </si>
  <si>
    <t>44-5,125(a)(1)(C) - Worker's Comp. Fraud; Attempt to Gain Benefits; fabricate, alter, conceal or destroy a document; $25,000 to $50,000</t>
  </si>
  <si>
    <t>44-5,125(a)(1)(C) - Worker's Comp. Fraud; Attempt to Gain Benefits; fabricate, alter, conceal or destroy a document; $50,000 to $100,000</t>
  </si>
  <si>
    <t>44-5,125(a)(1)(A) - Worker's Comp. Fraud; Attempt to Gain Benefits; false or misleading statement; $1,000 to $25,000</t>
  </si>
  <si>
    <t>44-5,125(a)(1)(A) - Worker's Comp. Fraud; Attempt to Gain Benefits; false or misleading statement; $100,000 or more</t>
  </si>
  <si>
    <t>44-5,125(a)(1)(A) - Worker's Comp. Fraud; Attempt to Gain Benefits; false or misleading statement; $25,000 to $50,000</t>
  </si>
  <si>
    <t>44-5,125(a)(1)(A) - Worker's Comp. Fraud; Attempt to Gain Benefits; false or misleading statement; $50,000 to $100,000</t>
  </si>
  <si>
    <t>44-5,125(a)(1)(B) - Worker's Comp. Fraud; Attempt to Gain Benefits; misrepresent/conceal a material fact; $1,000 to $25,000</t>
  </si>
  <si>
    <t>44-5,125(a)(1)(B) - Worker's Comp. Fraud; Attempt to Gain Benefits; misrepresent/conceal a material fact; $100,000 or more</t>
  </si>
  <si>
    <t>44-5,125(a)(1)(B) - Worker's Comp. Fraud; Attempt to Gain Benefits; misrepresent/conceal a material fact; $25,000 to $50,000</t>
  </si>
  <si>
    <t>44-5,125(a)(1)(B) - Worker's Comp. Fraud; Attempt to Gain Benefits; misrepresent/conceal a material fact; $50,000 to $100,000</t>
  </si>
  <si>
    <t>44-5,125(a)(1)(D) - Worker's Comp. Fraud; Attempt to Gain Benefits; receive temporary total disability benefits or permanent total disability benefits, not entitled to, while employed; $1,000 to $25,000</t>
  </si>
  <si>
    <t>44-5,125(a)(1)(D) - Worker's Comp. Fraud; Attempt to Gain Benefits; receive temporary total disability benefits or permanent total disability benefits, not entitled to, while employed; $100,000 or more</t>
  </si>
  <si>
    <t>44-5,125(a)(1)(D) - Worker's Comp. Fraud; Attempt to Gain Benefits; receive temporary total disability benefits or permanent total disability benefits, not entitled to, while employed; $25,000 to $50,000</t>
  </si>
  <si>
    <t>44-5,125(a)(1)(D) - Worker's Comp. Fraud; Attempt to Gain Benefits; receive temporary total disability benefits or permanent total disability benefits, not entitled to, while employed; $50,000 to $100,000</t>
  </si>
  <si>
    <t>44-5,125(d)(4) - Worker's Comp. Fraud; Attempt to Obtain Better Premium than Entitled; conspire with another person or persons to commit the acts described in clause (1), (2) or (3)</t>
  </si>
  <si>
    <t>44-5,125(d)(3) - Worker's Comp. Fraud; Attempt to Obtain Better Premium than Entitled; fabricate, conceal or destroy a document</t>
  </si>
  <si>
    <t>44-5,125(d)(1) - Worker's Comp. Fraud; Attempt to Obtain Better Premium than Entitled; false or misleading statement</t>
  </si>
  <si>
    <t>44-5,125(d)(2) - Worker's Comp. Fraud; Attempt to Obtain Better Premium than Entitled; misrepresent/conceal a material fact</t>
  </si>
  <si>
    <t>44-5,125(c) - Worker's Comp. Fraud; Health Care Worker; submit claim for care not provided</t>
  </si>
  <si>
    <t>44-5,125(b) - Worker's Comp. Fraud; Submit false claim that worker is covered by act</t>
  </si>
  <si>
    <t>44-532(b) - Worker's Compensation; Knowing and intentional failure of an employer to secure the payment of workers compensation to the employer's employees as required</t>
  </si>
  <si>
    <t>21-5602(a)(2) - Abuse of a Child; Knowingly inflicting cruel and inhuman corporal punishment upon any child under the age of 18 years</t>
  </si>
  <si>
    <t>21-5602(a)(1) - Abuse of a Child; Knowingly torture or cruelly beating or shaking any child under the age of 18 years which results in great bodily harm to the child</t>
  </si>
  <si>
    <t>21-5504(b)(2) - Aggravated Criminal Sodomy; Causing child under 14 to engage in sodomy with person or animal; offender less than 18</t>
  </si>
  <si>
    <t>21-5504(b)(2) - Aggravated Criminal Sodomy; Commit, attempt, conspire or solicit to commit; Cause child under 14 to engage in sodomy with person or animal; offender 18 or older</t>
  </si>
  <si>
    <t>21-5504(b)(1) - Aggravated Criminal Sodomy; Commit, attempt, conspire or solicit to commit; With child under 14; offender 18 or older</t>
  </si>
  <si>
    <t>21-5504(b)(1) - Aggravated Criminal Sodomy; Committed with child under 14; offender less than 18</t>
  </si>
  <si>
    <t>21-5504(b)(3)(A) - Aggravated Criminal Sodomy; Nonconsensual; victim overcome by force or fear</t>
  </si>
  <si>
    <t>21-5504(b)(3)(B) - Aggravated Criminal Sodomy; Nonconsensual; victim unconscious or physically powerless</t>
  </si>
  <si>
    <t>21-5504(b)(3)(C) - Aggravated Criminal Sodomy; Victim incapable of consent due to mental deficiency or disease, or apparently under the effects of alcoholic liquor, narcotic, drug or other substance</t>
  </si>
  <si>
    <t>21-5601(b)(3) - Aggravated Endangering a Child; Cause or permit a child to be in an environment where drug paraphernalia or volatile, toxic or flammable chemicals are stored for manufacturing methamphetamine</t>
  </si>
  <si>
    <t>21-5601(b)(2) - Aggravated Endangering a Child; Cause or permit a child to be in an environment where methamphetamine is distributed or possessed with intent to distribute, manufactured or attempted to be manufactured</t>
  </si>
  <si>
    <t>21-5601(b)(1) - Aggravated Endangering a Child; Recklessly cause or permit a child under 18 to be in a situation where the child's life, body or health is endangered</t>
  </si>
  <si>
    <t>21-5604(b)(2)(B) - Aggravated Incest; Lewd fondling/touching with a relative 16 or 17</t>
  </si>
  <si>
    <t>21-5604(b)(1) - Aggravated Incest; Marriage to a person who is less than 18 and a known relative</t>
  </si>
  <si>
    <t>21-5604(b)(2)(A) - Aggravated Incest; Sexual intercourse or sodomy with a person who is 16 or more years of age but under 18 years of age and who is known to the offender to be related to the offender as any of the following biological, step or adoptive relatives: Child, grandchild of any degree, brother, sister, half-brother, half-sister, uncle, aunt, nephew or niece</t>
  </si>
  <si>
    <t>21-5604(b)(2)(A) - Aggravated Incest; Sexual intercourse or sodomy with a person who is 16 or more years of age but under 18 years of age and who is known to the offender to be related to the offender as any of the following biological, step or adoptive relatives: Child, grandchild of any degree, brother, sister, half-brother, half-sister, uncle, aunt, nephew or niece; victim is offender's biological, step or adoptive child</t>
  </si>
  <si>
    <t>21-5506(b)(2)(B) - Aggravated Indecent Liberties with a Child; Causing child to engage in lewd fondling/touching without consent; child 14 or more but less than 16</t>
  </si>
  <si>
    <t>21-5506(b)(3)(A) - Aggravated Indecent Liberties with a Child; Commit, attempt, conspire or solicit to commit; Lewd fondling/touching; child less than 14; offender 18 or older</t>
  </si>
  <si>
    <t>21-5506(b)(3)(B) - Aggravated Indecent Liberties with a Child; Commit, attempt, conspire or solicit to commit; Soliciting the child to engage in any lewd fondling/touching; child less than 14; offender 18 or older</t>
  </si>
  <si>
    <t>21-5506(b)(3)(A) - Aggravated Indecent Liberties with a Child; Lewd fondling/touching; child less than 14; offender less than 18</t>
  </si>
  <si>
    <t>21-5506(b)(2)(A) - Aggravated Indecent Liberties with a Child; Nonconsensual lewd fondling/touching; child 14 or more but less than 16</t>
  </si>
  <si>
    <t>21-5506(b)(1) - Aggravated Indecent Liberties with a Child; Sexual intercourse; child 14 or more but less than 16</t>
  </si>
  <si>
    <t>21-5506(b)(3)(B) - Aggravated Indecent Liberties with a Child; Soliciting the child to engage in any lewd fondling/touching; child less than 14; offender less than 18</t>
  </si>
  <si>
    <t>21-5508(b)(2) - Aggravated Indecent Solicitation of a Child; Inviting to enter secluded place; child less than 14</t>
  </si>
  <si>
    <t>21-5508(b)(1) - Aggravated Indecent Solicitation of a Child; To commit or submit to unlawful sexual act; child less than 14</t>
  </si>
  <si>
    <t>21-5505(b)(3) - Aggravated Sexual Battery; Intentional nonconsensual touching; child 16 or more; victim incapable of giving consent because of mental deficiency or disease or under effect of any alcoholic liquor, narcotic, drug or other substance</t>
  </si>
  <si>
    <t>21-5505(b)(1) - Aggravated Sexual Battery; Intentional nonconsensual touching; child 16 or more; victim overcome by force or fear</t>
  </si>
  <si>
    <t>21-5505(b)(2) - Aggravated Sexual Battery; Intentional nonconsensual touching; child 16 or more; victim unconscious or physically powerless</t>
  </si>
  <si>
    <t>21-5401(a)(3) - Capital Murder; Intentional and premeditated killing by an inmate or prisoner while confined or in custody</t>
  </si>
  <si>
    <t>21-5401(a)(2) - Capital Murder; Intentional and premeditated killing by contract or agreement</t>
  </si>
  <si>
    <t>21-5401(a)(1) - Capital Murder; Intentional and premeditated killing in the commission of a kidnapping, or aggravated kidnapping, for ransom</t>
  </si>
  <si>
    <t>21-5401(a)(4) - Capital Murder; Intentional and premeditated killing in the commission of or subs. to rape, criminal sodomy, aggravated criminal sodomy, or any attempt of such</t>
  </si>
  <si>
    <t>21-5401(a)(5) - Capital Murder; Intentional and premeditated killing of a law enforcement officer</t>
  </si>
  <si>
    <t>21-5401(a)(7) - Capital Murder; Intentional and premeditated killing of child under 14 in commission of kidnapping, or aggravated kidnapping, with intent to commit sex offense</t>
  </si>
  <si>
    <t>21-5401(a)(6) - Capital Murder; Intentional and premeditated killing of more than one person as a part of the same act or transaction or in two or more acts that constitute a common scheme or course of conduct</t>
  </si>
  <si>
    <t>8-2,144(a)(1) - Commercial DUI; Alcohol concentration in the person's blood or breath is .04 or more; 1st conviction</t>
  </si>
  <si>
    <t>8-2,144(a)(1) - Commercial DUI; Alcohol concentration in the person's blood or breath is .04 or more; 2nd conviction</t>
  </si>
  <si>
    <t>8-2,144(a)(1) - Commercial DUI; Alcohol concentration in the person's blood or breath is .04 or more; 3rd or subs conviction</t>
  </si>
  <si>
    <t>8-2,144(a)(2) - Commercial DUI; Alcohol concentration in the person's blood or breath, as measured within three hours of the time of driving a commercial motor vehicle, is .04 or more; 1st conviction</t>
  </si>
  <si>
    <t>8-2,144(a)(2) - Commercial DUI; Alcohol concentration in the person's blood or breath, as measured within three hours of the time of driving a commercial motor vehicle, is .04 or more; 2nd conviction</t>
  </si>
  <si>
    <t>8-2,144(a)(2) - Commercial DUI; Alcohol concentration in the person's blood or breath, as measured within three hours of the time of driving a commercial motor vehicle, is .04 or more; 3rd or subs conviction</t>
  </si>
  <si>
    <t>8-2,144(a)(3) - Commercial DUI; Committing a violation of subsection (a) of K.S.A. 8-1567, or the ordinance of a city or resolution of a county which prohibits any of the acts prohibited there under; 3rd or subs conviction</t>
  </si>
  <si>
    <t>8-2,144(a)(3) - Commercial DUI; Committing a violation of subsection (a) of K.S.A. 8-1567, or the ordinance of a city or resolution of a county which prohibits any of the acts prohibited thereunder; 1st conviction</t>
  </si>
  <si>
    <t>8-2,144(a)(3) - Commercial DUI; Committing a violation of subsection (a) of K.S.A. 8-1567, or the ordinance of a city or resolution of a county which prohibits any of the acts prohibited thereunder; 2nd conviction</t>
  </si>
  <si>
    <t>21-5504(a)(2) - Criminal Sodomy; Between a person and an animal</t>
  </si>
  <si>
    <t>21-5504(a)(1) - Criminal Sodomy; Between persons 16 or older and members of same sex</t>
  </si>
  <si>
    <t>21-5504(a)(4) - Criminal Sodomy; Causing child 14 or more but less than 16 to engage in sodomy with person or animal</t>
  </si>
  <si>
    <t>21-5504(a)(3) - Criminal Sodomy; Committed with child 14 or more but less than 16</t>
  </si>
  <si>
    <t>8-1567(a)(2) - DUI; Alcohol concentration as measured within three hours of the time of operating or attempting to operate a vehicle, is .08 or more; 1st conviction</t>
  </si>
  <si>
    <t>8-1567(a)(2) - DUI; Alcohol concentration as measured within three hours of the time of operating or attempting to operate a vehicle, is .08 or more; 2nd conviction</t>
  </si>
  <si>
    <t>8-1567(a)(2) - DUI; Alcohol concentration as measured within three hours of the time of operating or attempting to operate a vehicle, is .08 or more; 3rd conviction, if no prior convictions within preceding 10 years</t>
  </si>
  <si>
    <t>8-1567(a)(2) - DUI; Alcohol concentration as measured within three hours of the time of operating or attempting to operate a vehicle, is .08 or more; 3rd conviction, if prior within the preceding 10 yrs</t>
  </si>
  <si>
    <t>8-1567(a)(2) - DUI; Alcohol concentration as measured within two hours of the time of operating or attempting to operate a vehicle, is .08 or more; 4th or subs. conviction</t>
  </si>
  <si>
    <t>8-1567(a)(1) - DUI; Alcohol concentration is .08 or more; 1st conviction</t>
  </si>
  <si>
    <t>8-1567(a)(1) - DUI; Alcohol concentration is .08 or more; 2nd conviction</t>
  </si>
  <si>
    <t>8-1567(a)(1) - DUI; Alcohol concentration is .08 or more; 3rd conviction, if no prior convictions within preceding 10 years</t>
  </si>
  <si>
    <t>8-1567(a)(1) - DUI; Alcohol concentration is .08 or more; 3rd conviction, if prior within the preceding 10 yrs</t>
  </si>
  <si>
    <t>8-1567(a)(1) - DUI; Alcohol concentration is .08 or more; 4th or subs. conviction</t>
  </si>
  <si>
    <t>8-1567(a)(5) - DUI; Driving under the influence of a combination of alcohol and any drug or drugs to a degree that renders the person incapable of safely driving a vehicle; 1st conviction</t>
  </si>
  <si>
    <t>8-1567(a)(5) - DUI; Driving under the influence of a combination of alcohol and any drug or drugs to a degree that renders the person incapable of safely driving a vehicle; 2nd conviction</t>
  </si>
  <si>
    <t>8-1567(a)(5) - DUI; Driving under the influence of a combination of alcohol and any drug or drugs to a degree that renders the person incapable of safely driving a vehicle; 3rd conviction, if no prior convictions within preceding 10 years</t>
  </si>
  <si>
    <t>8-1567(a)(5) - DUI; Driving under the influence of a combination of alcohol and drug(s) to a degree that renders the person incapable of safely driving a vehicle; 4th or subs. conviction</t>
  </si>
  <si>
    <t>8-1567(a)(4) - DUI; Driving under the influence of a drug or combination of drugs to a degree that renders the person incapable of safely driving a vehicle; 3rd conviction, if prior within the preceding 10 yrs</t>
  </si>
  <si>
    <t>8-1567(a)(3) - DUI; Driving under the influence of alcohol to a degree that renders the person incapable of safely driving a vehicle; 1st conviction</t>
  </si>
  <si>
    <t>8-1567(a)(3) - DUI; Driving under the influence of alcohol to a degree that renders the person incapable of safely driving a vehicle; 2nd conviction</t>
  </si>
  <si>
    <t>8-1567(a)(3) - DUI; Driving under the influence of alcohol to a degree that renders the person incapable of safely driving a vehicle; 3rd conviction, if no prior convictions within preceding 10 years</t>
  </si>
  <si>
    <t>8-1567(a)(3) - DUI; Driving under the influence of alcohol to a degree that renders the person incapable of safely driving a vehicle; 3rd conviction, if prior within the preceding 10 yrs</t>
  </si>
  <si>
    <t>8-1567(a)(3) - DUI; Driving under the influence of alcohol to a degree that renders the person incapable of safely driving a vehicle; 4th or subs. conviction</t>
  </si>
  <si>
    <t>8-1567(a)(4) - DUI; Driving under the influence of any drug or combination of drugs to a degree that renders the person incapable of safely driving a vehicle; 1st conviction</t>
  </si>
  <si>
    <t>8-1567(a)(4) - DUI; Driving under the influence of any drug or combination of drugs to a degree that renders the person incapable of safely driving a vehicle; 2nd conviction</t>
  </si>
  <si>
    <t>8-1567(a)(4) - DUI; Driving under the influence of any drug or combination of drugs to a degree that renders the person incapable of safely driving a vehicle; 3rd conviction, if no prior convictions within preceding 10 years</t>
  </si>
  <si>
    <t>8-1567(a)(4) - DUI; Driving under the influence of any drug or combination of drugs to a degree that renders the person incapable of safely driving a vehicle; 4th or subs. conviction</t>
  </si>
  <si>
    <t>8-1567(a)(5) - DUI; Driving under the influence of combination of alcohol &amp; drug(s) to a degree that renders the person incapable of safely driving a vehicle; 3rd conviction, if prior within the preceding 10 yrs</t>
  </si>
  <si>
    <t>-319373 - DUI; Test Refusal; 1st conviction</t>
  </si>
  <si>
    <t>-319373 - DUI; Test Refusal; 2nd conviction if no priors within preceding 10 years</t>
  </si>
  <si>
    <t>-319373 - DUI; Test Refusal; 2nd conviction, if prior within the preceding 10 years</t>
  </si>
  <si>
    <t>-319373 - DUI; Test Refusal; 3rd or subs. conviction</t>
  </si>
  <si>
    <t>21-5601(a) - Endangering a Child; Knowingly and unreasonably cause or permit a child less than 18 yrs of age to be placed in situation in which child's life, body or health may be endangered</t>
  </si>
  <si>
    <t>21-5506(a)(1) - Indecent Liberties with a Child; Lewd fondling/touching; child 14 or more but less than 16</t>
  </si>
  <si>
    <t>21-5506(a)(2) - Indecent Liberties with a Child; Soliciting the child to engage in any lewd fondling/touching; child 14 or more but less than 16</t>
  </si>
  <si>
    <t>21-5508(a)(1) - Indecent Solicitation of Child; Commit or submit to unlawful sexual act; child 14 or more but less than 16</t>
  </si>
  <si>
    <t>21-5508(a)(2) - Indecent Solicitation of Child; Inviting to enter secluded place; child 14 or more but less than 16</t>
  </si>
  <si>
    <t>21-5405(a)(4) - Involuntary Manslaughter; In commission of lawful act in unlawful manner</t>
  </si>
  <si>
    <t>21-5405(a)(3) - Involuntary Manslaughter; In the commission, attempted commission, or flight from DUI</t>
  </si>
  <si>
    <t>21-5405(a)(2) - Involuntary Manslaughter; In the commission, attempted commission, or flight from other felonies excluding DUI</t>
  </si>
  <si>
    <t>21-5405(a)(1) - Involuntary Manslaughter; Recklessly</t>
  </si>
  <si>
    <t>21-5402(a)(2) - Murder; 1st Degree; in the commission of, attempt to commit, or flight from an inherently dangerous felony as defined in K.S.A. 21-5402(c)</t>
  </si>
  <si>
    <t>21-5402(a)(1) - Murder; 1st Degree; intentionally and with premeditation</t>
  </si>
  <si>
    <t>21-5403(a)(1) - Murder; 2nd Degree; intentional killing</t>
  </si>
  <si>
    <t>21-5403(a)(2) - Murder; 2nd Degree; unintentionally but recklessly, under circumstances manifesting extreme indifference to human life</t>
  </si>
  <si>
    <t>21-5503(a)(3) - Rape; Commit, attempt, conspire or solicit to commit; Sexual intercourse with child under 14; offender 18 or older</t>
  </si>
  <si>
    <t>21-5503(a)(2) - Rape; Knowingly engage in nonconsensual sexual intercourse; victim incapable of consent due to mental deficiency or disease, or apparently under the effects of alcoholic liquor, narcotic, drug or other substance</t>
  </si>
  <si>
    <t>21-5503(a)(1)(A) - Rape; Knowingly engage in nonconsensual sexual intercourse; victim overcome by force or fear</t>
  </si>
  <si>
    <t>21-5503(a)(1)(B) - Rape; Knowingly engage in nonconsensual sexual intercourse; victim unconscious or physically powerless</t>
  </si>
  <si>
    <t>21-5503(a)(3) - Rape; Sexual intercourse with a child under 14; offender less than 18</t>
  </si>
  <si>
    <t>21-5503(a)(5) - Rape; Sexual intercourse; Consent obtained through knowing misrepresentation that sexual intercourse is legally required within scope of authority</t>
  </si>
  <si>
    <t>21-5503(a)(4) - Rape; Sexual intercourse; Consent obtained through knowing misrepresentation that sexual intercourse is medically or therapeutically necessary</t>
  </si>
  <si>
    <t>21-5505(a) - Sexual Battery; Touching victim who is not a spouse of offender, who is 16 or more, without consent and with intent to arouse or satisfy desires</t>
  </si>
  <si>
    <t>21-5404(a)(1) - Voluntary Manslaughter; Knowingly killing upon sudden quarrel or in heat of passion</t>
  </si>
  <si>
    <t>21-5404(a)(2) - Voluntary Manslaughter; Knowingly killing upon unreasonable but honest belief that use of deadly force was justified</t>
  </si>
  <si>
    <t>21-3502</t>
  </si>
  <si>
    <t>(a) Rape is: 
(1) Sexual intercourse with a person who does not consent to the sexual intercourse, under any of the following circumstances:
(A) When the victim is overcome by force or fear;
(B) when the victim is unconscious or physically powerless; or
(C) when the victim is incapable of giving consent because of mental deficiency or disease, or when the victim is incapable of giving consent because of the effect of any alcoholic liquor, narcotic, drug or other substance, which condition was known by the offender or was reasonably apparent to the offender;
(2) sexual intercourse with a child who is under 14 years of age;
(3) sexual intercourse with a victim when the victim's consent was obtained through a knowing misrepresentation made by the offender that the sexual intercourse was a medically or therapeutically necessary procedure; or
(4) sexual intercourse with a victim when the victim's consent was obtained through a knowing misrepresentation made by the offender that the sexual intercourse was a legally required procedure within the scope of the offender's authority.
(b) It shall be a defense to a prosecution of rape under subsection (a)(2) that the child was married to the accused at the time of the offense.
(c) Except as provided further, rape as described in subsection (a)(1) or (2) is a severity level 1, person felony. Rape as described in subsection (a)(2) or attempt, conspiracy or criminal solicitation to commit rape as described in subsection (a)(2), when the offender is 18 years of age or older, is an off-grid person felony. Rape as described in subsection (a)(3) or (4) is a severity level 2, person felony.
(d) If the offender is 18 years of age or older, the provisions of:
(1) Subsection (c) of K.S.A. 21-3301, and amendments thereto, shall not apply to a violation of attempting to commit the crime of rape as described in subsection (a)(2);
(2) subsection (c) of K.S.A. 21-3302, and amendments thereto, shall not apply to a violation of conspiracy to commit the crime of rape as described in subsection (a)(2); and
(3) subsection (d) of K.S.A. 21-3303, and amendments thereto, shall not apply to a violation of criminal solicitation to commit the crime of rape as described in subsection (a)(2).</t>
  </si>
  <si>
    <t>https://www.ksrevisor.org/statutes/chapters/ch21/021_035_0002.html#</t>
  </si>
  <si>
    <t>L. 1969, ch. 180, § 21-3502; L. 1978, ch. 120, § 1; L. 1983, ch. 109, § 2; L. 1993, ch. 253, § 1; L. 1993, ch. 253, § 2; L. 1996, ch. 258, § 3; L. 2006, ch. 212, § 8; L. 2010, ch. 109, § 7; Repealed, L. 2011, ch. 30, § 288; July 1.</t>
  </si>
  <si>
    <t>21-5503</t>
  </si>
  <si>
    <t>(a) Rape is:
(1) Knowingly engaging in sexual intercourse with a victim who does not consent to the sexual intercourse under any of the following circumstances:
(A) When the victim is overcome by force or fear; or
(B) when the victim is unconscious or physically powerless;
(2) Knowingly engaging in sexual intercourse with a victim when the victim is incapable of giving consent because of mental deficiency or disease, or when the victim is incapable of giving consent because of the effect of any alcoholic liquor, narcotic, drug or other substance, which condition was known by the offender or was reasonably apparent to the offender;
(3) sexual intercourse with a child who is under 14 years of age;
(4) sexual intercourse with a victim when the victim's consent was obtained through a knowing misrepresentation made by the offender that the sexual intercourse was a medically or therapeutically necessary procedure; or
(5) sexual intercourse with a victim when the victim's consent was obtained through a knowing misrepresentation made by the offender that the sexual intercourse was a legally required procedure within the scope of the offender's authority.
(b)(1) Rape as defined in:
(A) Subsection (a)(1) or (a)(2) is a severity level 1, person felony;
(B) subsection (a)(3) is a severity level 1, person felony, except as provided in subsection (b)(2); and
(C) subsection (a)(4) or (a)(5) is a severity level 2, person felony.
(2) Rape as defined in subsection (a)(3) or attempt, conspiracy or criminal solicitation to commit rape as defined in subsection (a)(3) is an off-grid person felony, when the offender is 18 years of age or older.
(c) If the offender is 18 years of age or older, the provisions of:
(1) Subsection (c) of K.S.A. 2020 Supp. 21-5301, and amendments thereto, shall not apply to a violation of attempting to commit the crime of rape as defined in subsection (a)(3);
(2) subsection (c) of K.S.A. 2020 Supp. 21-5302, and amendments thereto, shall not apply to a violation of conspiracy to commit the crime of rape as defined in subsection (a)(3); and
(3) subsection (d) of K.S.A. 2020 Supp. 21-5303, and amendments thereto, shall not apply to a violation of criminal solicitation to commit the crime of rape as defined in subsection (a)(3).
(d) It shall be a defense to a prosecution of rape under subsection (a)(3) that the child was married to the accused at the time of the offense.
(e) Except as provided in subsection (a)(2), it shall not be a defense that the offender did not know or have reason to know that the victim did not consent to the sexual intercourse, that the victim was overcome by force or fear, or that the victim was unconscious or physically powerless.</t>
  </si>
  <si>
    <t>https://www.ksrevisor.org/statutes/chapters/ch21/021_055_0003.html</t>
  </si>
  <si>
    <t>L. 2010, ch. 136, § 67; L. 2011, ch. 30, § 29; July 1.</t>
  </si>
  <si>
    <t>21-3503</t>
  </si>
  <si>
    <t>Indecent liberties with a child</t>
  </si>
  <si>
    <t>(a) Indecent liberties with a child is engaging in any of the following acts with a child who is 14 or more years of age but less than 16 years of age:
(1) Any lewd fondling or touching of the person of either the child or the offender, done or submitted to with the intent to arouse or to satisfy the sexual desires of either the child or the offender, or both; or
(2) soliciting the child to engage in any lewd fondling or touching of the person of another with the intent to arouse or satisfy the sexual desires of the child, the offender or another.
(b) It shall be a defense to a prosecution of indecent liberties with a child as described in subsection (a)(1) that the child was married to the accused at the time of the offense.
(c) Indecent liberties with a child is a severity level 5, person felony.</t>
  </si>
  <si>
    <t>https://www.ksrevisor.org/statutes/chapters/ch21/021_035_0003.html</t>
  </si>
  <si>
    <t>L. 1969, ch. 180, § 21-3503; L. 1975, ch. 193, § 1; L. 1983, ch. 109, § 3; L. 1984, ch. 118, § 1; L. 1985, ch. 109, § 2; L. 1987, ch. 108, § 1; L. 1989, ch. 89, § 1; L. 1993, ch. 253, § 3; L. 1993, ch. 253, § 4; Repealed, L. 2010, ch. 136, § 307; July 1, 2011.</t>
  </si>
  <si>
    <t>21-3504</t>
  </si>
  <si>
    <t>Aggravated indecent liberties with a child</t>
  </si>
  <si>
    <t>(a) Aggravated indecent liberties with a child is:
(1) Sexual intercourse with a child who is 14 or more years of age but less than 16 years of age;
(2) engaging in any of the following acts with a child who is 14 or more years of age but less than 16 years of age and who does not consent thereto:
(A) Any lewd fondling or touching of the person of either the child or the offender, done or submitted to with the intent to arouse or satisfy the sexual desires of either the child or the offender, or both; or
(B) causing the child to engage in any lewd fondling or touching of the person of another with the intent to arouse or satisfy the sexual desires of the child, the offender or another; or
(3) engaging in any of the following acts with a child who is under 14 years of age:
(A) Any lewd fondling or touching of the person of either the child or the offender, done or submitted to with the intent to arouse or to satisfy the sexual desires of either the child or the offender, or both; or
(B) soliciting the child to engage in any lewd fondling or touching of the person of another with the intent to arouse or satisfy the sexual desires of the child, the offender or another.
(b) It shall be a defense to a prosecution of aggravated indecent liberties with a child as provided in subsection (a)(1), (a)(2)(A) and (a)(3)(A) that the child was married to the accused at the time of the offense.
(c) Except as provided further, aggravated indecent liberties with a child as described in subsections (a)(1) and (a)(3) is a severity level 3, person felony. Aggravated indecent liberties with a child as described in subsection (a)(2) is a severity level 4, person felony. When the offender is 18 years of age or older, aggravated indecent liberties with a child as described in subsection (a)(3) or attempt, conspiracy or criminal solicitation to commit aggravated indecent liberties with a child as described in subsection (a)(3) is an off-grid person felony.
(d) If the offender is 18 years of age or older, the provisions of:
(1) Subsection (c) of K.S.A. 21-3301, and amendments thereto, shall not apply to a violation of attempting to commit the crime of aggravated indecent liberties with a child as described in subsection (a)(3);
(2) subsection (c) of K.S.A. 21-3302, and amendments thereto, shall not apply to a violation of conspiracy to commit the crime of aggravated indecent liberties with a child as described in subsection (a)(3); and
(3) subsection (d) of K.S.A. 21-3303, and amendments thereto, shall not apply to a violation of criminal solicitation to commit the crime of aggravated indecent liberties with a child as described in subsection (a)(3).</t>
  </si>
  <si>
    <t>https://www.ksrevisor.org/statutes/chapters/ch21/021_035_0004.html</t>
  </si>
  <si>
    <t>L. 1969, ch. 180, § 21-3504; L. 1975, ch. 193, § 2; L. 1983, ch. 109, § 4; L. 1984, ch. 112, § 3; L. 1984, ch. 118, § 2; L. 1992, ch. 298, § 22; L. 1993, ch. 253, § 5; L. 1993, ch. 291, § 271; L. 2006, ch. 212, § 11; L. 2010, ch. 109, § 8; Repealed, L. 2011, ch. 30, § 288; July 1.</t>
  </si>
  <si>
    <t>21-5506</t>
  </si>
  <si>
    <t>Indecent liberties with a child; aggravated indecent liberties with a child.</t>
  </si>
  <si>
    <t>(a) Indecent liberties with a child is engaging in any of the following acts with a child who is 14 or more years of age but less than 16 years of age:
(1) Any lewd fondling or touching of the person of either the child or the offender, done or submitted to with the intent to arouse or to satisfy the sexual desires of either the child or the offender, or both; or
(2) soliciting the child to engage in any lewd fondling or touching of the person of another with the intent to arouse or satisfy the sexual desires of the child, the offender or another.
(b) Aggravated indecent liberties with a child is:
(1) Sexual intercourse with a child who is 14 or more years of age but less than 16 years of age;
(2) engaging in any of the following acts with a child who is 14 or more years of age but less than 16 years of age and who does not consent thereto:
(A) Any lewd fondling or touching of the person of either the child or the offender, done or submitted to with the intent to arouse or to satisfy the sexual desires of either the child or the offender, or both; or
(B) causing the child to engage in any lewd fondling or touching of the person of another with the intent to arouse or satisfy the sexual desires of the child, the offender or another; or
(3) engaging in any of the following acts with a child who is under 14 years of age:
(A) Any lewd fondling or touching of the person of either the child or the offender, done or submitted to with the intent to arouse or to satisfy the sexual desires of either the child or the offender, or both; or
(B) soliciting the child to engage in any lewd fondling or touching of the person of another with the intent to arouse or satisfy the sexual desires of the child, the offender or another.
(c) (1) Indecent liberties with a child is a severity level 5, person felony.
(2) Aggravated indecent liberties with a child as defined in:
(A) Subsection (b)(1) is a severity level 3, person felony;
(B) subsection (b)(2) is a severity level 4, person felony; and
(C) subsection (b)(3) is a severity level 3, person felony, except as provided in subsection (c)(3).
(3) Aggravated indecent liberties with a child as defined in subsection (b)(3) or attempt, conspiracy or criminal solicitation to commit aggravated indecent liberties with a child as defined in subsection (b)(3) is an off-grid person felony, when the offender is 18 years of age or older.
(d) If the offender is 18 years of age or older, the provisions of:
(1) Subsection (c) of K.S.A. 2020 Supp. 21-5301, and amendments thereto, shall not apply to a violation of attempting to commit the crime of aggravated indecent liberties with a child as defined in subsection (b)(3);
(2) subsection (c) of K.S.A. 2020 Supp. 21-5302, and amendments thereto, shall not apply to a violation of conspiracy to commit the crime of aggravated indecent liberties with a child as defined in subsection (b)(3);
(3) subsection (d) of K.S.A. 2020 Supp. 21-5303, and amendments thereto, shall not apply to a violation of criminal solicitation to commit the crime of aggravated indecent liberties with a child as defined in subsection (b)(3).
(e) It shall be a defense to a prosecution of indecent liberties with a child, as defined in subsection (a)(1), and aggravated indecent liberties with a child, as defined in subsections (b)(1), (b)(2)(A) and (b)(3)(A) that the child was married to the accused at the time of the offense.</t>
  </si>
  <si>
    <t>https://www.ksrevisor.org/statutes/chapters/ch21/021_055_0006.html</t>
  </si>
  <si>
    <t>L. 2010, ch. 136, § 70; L. 2011, ch. 30, § 31; July 1.</t>
  </si>
  <si>
    <t>Type of Charge</t>
  </si>
  <si>
    <t>Date of sentence completion</t>
  </si>
  <si>
    <t>Eligble to Expunge Now</t>
  </si>
  <si>
    <t>Eligible to Expunge After</t>
  </si>
  <si>
    <t>Can Expunge</t>
  </si>
  <si>
    <t>Years until eligible</t>
  </si>
  <si>
    <t>adultery</t>
  </si>
  <si>
    <t>guilty</t>
  </si>
  <si>
    <t>abuse of a child</t>
  </si>
  <si>
    <t>attempt</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</si>
</sst>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m-yyyy"/>
    <numFmt numFmtId="165" formatCode="mm/dd/yyyy"/>
    <numFmt numFmtId="166" formatCode="m-d"/>
    <numFmt numFmtId="167" formatCode="m/d/yyyy"/>
  </numFmts>
  <fonts count="14">
    <font>
      <sz val="10.0"/>
      <color rgb="FF000000"/>
      <name val="Arial"/>
      <scheme val="minor"/>
    </font>
    <font>
      <b/>
      <color theme="1"/>
      <name val="Arial"/>
      <scheme val="minor"/>
    </font>
    <font>
      <b/>
      <color theme="1"/>
      <name val="Arial"/>
    </font>
    <font>
      <color theme="1"/>
      <name val="Arial"/>
      <scheme val="minor"/>
    </font>
    <font>
      <b/>
      <sz val="14.0"/>
      <color theme="1"/>
      <name val="Arial"/>
      <scheme val="minor"/>
    </font>
    <font>
      <strike/>
      <color theme="1"/>
      <name val="Arial"/>
      <scheme val="minor"/>
    </font>
    <font>
      <u/>
      <color rgb="FF0000FF"/>
    </font>
    <font>
      <u/>
      <color rgb="FF0000FF"/>
    </font>
    <font>
      <u/>
      <color rgb="FF0000FF"/>
    </font>
    <font>
      <sz val="11.0"/>
      <color rgb="FF000000"/>
      <name val="&quot;Times New Roman&quot;"/>
    </font>
    <font>
      <b/>
      <sz val="11.0"/>
      <color rgb="FF3F3F3F"/>
      <name val="Arial"/>
    </font>
    <font>
      <b/>
      <sz val="10.0"/>
      <color theme="1"/>
      <name val="Arial"/>
    </font>
    <font>
      <sz val="11.0"/>
      <color rgb="FF3F3F76"/>
      <name val="Arial"/>
    </font>
    <font>
      <sz val="10.0"/>
      <color rgb="FF000000"/>
      <name val="Arial"/>
    </font>
  </fonts>
  <fills count="11">
    <fill>
      <patternFill patternType="none"/>
    </fill>
    <fill>
      <patternFill patternType="lightGray"/>
    </fill>
    <fill>
      <patternFill patternType="solid">
        <fgColor rgb="FFFFFF00"/>
        <bgColor rgb="FFFFFF00"/>
      </patternFill>
    </fill>
    <fill>
      <patternFill patternType="solid">
        <fgColor rgb="FFFCE5CD"/>
        <bgColor rgb="FFFCE5CD"/>
      </patternFill>
    </fill>
    <fill>
      <patternFill patternType="solid">
        <fgColor rgb="FFC9DAF8"/>
        <bgColor rgb="FFC9DAF8"/>
      </patternFill>
    </fill>
    <fill>
      <patternFill patternType="solid">
        <fgColor rgb="FFF4CCCC"/>
        <bgColor rgb="FFF4CCCC"/>
      </patternFill>
    </fill>
    <fill>
      <patternFill patternType="solid">
        <fgColor rgb="FFD9EAD3"/>
        <bgColor rgb="FFD9EAD3"/>
      </patternFill>
    </fill>
    <fill>
      <patternFill patternType="solid">
        <fgColor rgb="FFD9D2E9"/>
        <bgColor rgb="FFD9D2E9"/>
      </patternFill>
    </fill>
    <fill>
      <patternFill patternType="solid">
        <fgColor rgb="FFFFF2CC"/>
        <bgColor rgb="FFFFF2CC"/>
      </patternFill>
    </fill>
    <fill>
      <patternFill patternType="solid">
        <fgColor rgb="FFF2F2F2"/>
        <bgColor rgb="FFF2F2F2"/>
      </patternFill>
    </fill>
    <fill>
      <patternFill patternType="solid">
        <fgColor rgb="FFFFCC99"/>
        <bgColor rgb="FFFFCC99"/>
      </patternFill>
    </fill>
  </fills>
  <borders count="4">
    <border/>
    <border>
      <left style="thin">
        <color rgb="FF000000"/>
      </left>
      <right style="thin">
        <color rgb="FF000000"/>
      </right>
      <top style="thin">
        <color rgb="FF000000"/>
      </top>
      <bottom style="thin">
        <color rgb="FF000000"/>
      </bottom>
    </border>
    <border>
      <left style="thin">
        <color rgb="FF3F3F3F"/>
      </left>
      <right style="thin">
        <color rgb="FF3F3F3F"/>
      </right>
      <top style="thin">
        <color rgb="FF3F3F3F"/>
      </top>
      <bottom style="thin">
        <color rgb="FF3F3F3F"/>
      </bottom>
    </border>
    <border>
      <left style="thin">
        <color rgb="FF7F7F7F"/>
      </left>
      <right style="thin">
        <color rgb="FF7F7F7F"/>
      </right>
      <top style="thin">
        <color rgb="FF7F7F7F"/>
      </top>
      <bottom style="thin">
        <color rgb="FF7F7F7F"/>
      </bottom>
    </border>
  </borders>
  <cellStyleXfs count="1">
    <xf borderId="0" fillId="0" fontId="0" numFmtId="0" applyAlignment="1" applyFont="1"/>
  </cellStyleXfs>
  <cellXfs count="61">
    <xf borderId="0" fillId="0" fontId="0" numFmtId="0" xfId="0" applyAlignment="1" applyFont="1">
      <alignment readingOrder="0" shrinkToFit="0" vertical="bottom" wrapText="0"/>
    </xf>
    <xf borderId="0" fillId="0" fontId="1" numFmtId="0" xfId="0" applyAlignment="1" applyFont="1">
      <alignment horizontal="left" readingOrder="0" shrinkToFit="0" wrapText="0"/>
    </xf>
    <xf borderId="0" fillId="0" fontId="1" numFmtId="0" xfId="0" applyAlignment="1" applyFont="1">
      <alignment horizontal="right" readingOrder="0"/>
    </xf>
    <xf borderId="0" fillId="0" fontId="2" numFmtId="0" xfId="0" applyAlignment="1" applyFont="1">
      <alignment vertical="bottom"/>
    </xf>
    <xf borderId="1" fillId="0" fontId="2" numFmtId="0" xfId="0" applyAlignment="1" applyBorder="1" applyFont="1">
      <alignment shrinkToFit="0" vertical="bottom" wrapText="0"/>
    </xf>
    <xf borderId="0" fillId="0" fontId="1" numFmtId="0" xfId="0" applyAlignment="1" applyFont="1">
      <alignment readingOrder="0"/>
    </xf>
    <xf borderId="0" fillId="0" fontId="1" numFmtId="0" xfId="0" applyFont="1"/>
    <xf borderId="0" fillId="0" fontId="3" numFmtId="0" xfId="0" applyAlignment="1" applyFont="1">
      <alignment horizontal="left" readingOrder="0" shrinkToFit="0" wrapText="0"/>
    </xf>
    <xf borderId="0" fillId="0" fontId="3" numFmtId="0" xfId="0" applyAlignment="1" applyFont="1">
      <alignment horizontal="right" readingOrder="0"/>
    </xf>
    <xf borderId="0" fillId="0" fontId="3" numFmtId="0" xfId="0" applyAlignment="1" applyFont="1">
      <alignment horizontal="right"/>
    </xf>
    <xf borderId="0" fillId="0" fontId="3" numFmtId="0" xfId="0" applyFont="1"/>
    <xf borderId="0" fillId="0" fontId="3" numFmtId="0" xfId="0" applyAlignment="1" applyFont="1">
      <alignment readingOrder="0"/>
    </xf>
    <xf borderId="0" fillId="0" fontId="3" numFmtId="164" xfId="0" applyAlignment="1" applyFont="1" applyNumberFormat="1">
      <alignment horizontal="right" readingOrder="0"/>
    </xf>
    <xf borderId="0" fillId="2" fontId="3" numFmtId="0" xfId="0" applyAlignment="1" applyFill="1" applyFont="1">
      <alignment horizontal="left" readingOrder="0" shrinkToFit="0" wrapText="0"/>
    </xf>
    <xf borderId="0" fillId="0" fontId="1" numFmtId="0" xfId="0" applyAlignment="1" applyFont="1">
      <alignment readingOrder="0" shrinkToFit="0" wrapText="1"/>
    </xf>
    <xf borderId="0" fillId="0" fontId="1" numFmtId="0" xfId="0" applyAlignment="1" applyFont="1">
      <alignment horizontal="right" readingOrder="0" shrinkToFit="0" wrapText="1"/>
    </xf>
    <xf borderId="0" fillId="0" fontId="1" numFmtId="0" xfId="0" applyAlignment="1" applyFont="1">
      <alignment shrinkToFit="0" wrapText="1"/>
    </xf>
    <xf borderId="0" fillId="0" fontId="3" numFmtId="0" xfId="0" applyAlignment="1" applyFont="1">
      <alignment horizontal="right" readingOrder="0"/>
    </xf>
    <xf borderId="0" fillId="3" fontId="3" numFmtId="0" xfId="0" applyAlignment="1" applyFill="1" applyFont="1">
      <alignment readingOrder="0"/>
    </xf>
    <xf borderId="0" fillId="4" fontId="3" numFmtId="0" xfId="0" applyAlignment="1" applyFill="1" applyFont="1">
      <alignment readingOrder="0"/>
    </xf>
    <xf borderId="0" fillId="0" fontId="3" numFmtId="0" xfId="0" applyFont="1"/>
    <xf borderId="0" fillId="3" fontId="3" numFmtId="0" xfId="0" applyFont="1"/>
    <xf borderId="0" fillId="5" fontId="3" numFmtId="0" xfId="0" applyAlignment="1" applyFill="1" applyFont="1">
      <alignment readingOrder="0"/>
    </xf>
    <xf borderId="0" fillId="0" fontId="4" numFmtId="0" xfId="0" applyAlignment="1" applyFont="1">
      <alignment horizontal="center" readingOrder="0" vertical="center"/>
    </xf>
    <xf borderId="0" fillId="0" fontId="4" numFmtId="0" xfId="0" applyAlignment="1" applyFont="1">
      <alignment horizontal="center" readingOrder="0" shrinkToFit="0" vertical="center" wrapText="1"/>
    </xf>
    <xf borderId="0" fillId="0" fontId="4" numFmtId="0" xfId="0" applyAlignment="1" applyFont="1">
      <alignment horizontal="center" readingOrder="0" shrinkToFit="0" vertical="center" wrapText="0"/>
    </xf>
    <xf borderId="0" fillId="0" fontId="4" numFmtId="0" xfId="0" applyAlignment="1" applyFont="1">
      <alignment horizontal="left" readingOrder="0" vertical="center"/>
    </xf>
    <xf borderId="0" fillId="0" fontId="3" numFmtId="0" xfId="0" applyAlignment="1" applyFont="1">
      <alignment horizontal="left" readingOrder="0"/>
    </xf>
    <xf borderId="0" fillId="4" fontId="5" numFmtId="0" xfId="0" applyAlignment="1" applyFont="1">
      <alignment horizontal="left" readingOrder="0"/>
    </xf>
    <xf borderId="0" fillId="0" fontId="3" numFmtId="0" xfId="0" applyAlignment="1" applyFont="1">
      <alignment horizontal="left"/>
    </xf>
    <xf borderId="0" fillId="6" fontId="3" numFmtId="0" xfId="0" applyAlignment="1" applyFill="1" applyFont="1">
      <alignment horizontal="left" readingOrder="0"/>
    </xf>
    <xf borderId="0" fillId="5" fontId="3" numFmtId="0" xfId="0" applyAlignment="1" applyFont="1">
      <alignment horizontal="left" readingOrder="0"/>
    </xf>
    <xf borderId="0" fillId="2" fontId="3" numFmtId="0" xfId="0" applyAlignment="1" applyFont="1">
      <alignment horizontal="left" readingOrder="0"/>
    </xf>
    <xf borderId="0" fillId="2" fontId="3" numFmtId="165" xfId="0" applyAlignment="1" applyFont="1" applyNumberFormat="1">
      <alignment horizontal="left" readingOrder="0"/>
    </xf>
    <xf borderId="0" fillId="0" fontId="3" numFmtId="166" xfId="0" applyAlignment="1" applyFont="1" applyNumberFormat="1">
      <alignment horizontal="left" readingOrder="0"/>
    </xf>
    <xf borderId="0" fillId="0" fontId="3" numFmtId="165" xfId="0" applyAlignment="1" applyFont="1" applyNumberFormat="1">
      <alignment horizontal="left" readingOrder="0"/>
    </xf>
    <xf borderId="0" fillId="4" fontId="3" numFmtId="0" xfId="0" applyAlignment="1" applyFont="1">
      <alignment horizontal="left" readingOrder="0"/>
    </xf>
    <xf borderId="0" fillId="0" fontId="6" numFmtId="0" xfId="0" applyAlignment="1" applyFont="1">
      <alignment horizontal="left" readingOrder="0"/>
    </xf>
    <xf borderId="0" fillId="0" fontId="3" numFmtId="0" xfId="0" applyAlignment="1" applyFont="1">
      <alignment horizontal="left" readingOrder="0"/>
    </xf>
    <xf borderId="0" fillId="0" fontId="7" numFmtId="0" xfId="0" applyAlignment="1" applyFont="1">
      <alignment readingOrder="0"/>
    </xf>
    <xf borderId="0" fillId="0" fontId="3" numFmtId="164" xfId="0" applyAlignment="1" applyFont="1" applyNumberFormat="1">
      <alignment horizontal="left" readingOrder="0"/>
    </xf>
    <xf borderId="0" fillId="7" fontId="3" numFmtId="0" xfId="0" applyAlignment="1" applyFill="1" applyFont="1">
      <alignment readingOrder="0"/>
    </xf>
    <xf borderId="0" fillId="7" fontId="3" numFmtId="0" xfId="0" applyAlignment="1" applyFont="1">
      <alignment horizontal="left" readingOrder="0"/>
    </xf>
    <xf borderId="0" fillId="0" fontId="8" numFmtId="0" xfId="0" applyAlignment="1" applyFont="1">
      <alignment readingOrder="0"/>
    </xf>
    <xf borderId="0" fillId="0" fontId="3" numFmtId="0" xfId="0" applyAlignment="1" applyFont="1">
      <alignment horizontal="left" shrinkToFit="0" wrapText="0"/>
    </xf>
    <xf borderId="0" fillId="0" fontId="3" numFmtId="0" xfId="0" applyAlignment="1" applyFont="1">
      <alignment shrinkToFit="0" wrapText="0"/>
    </xf>
    <xf borderId="0" fillId="8" fontId="3" numFmtId="0" xfId="0" applyAlignment="1" applyFill="1" applyFont="1">
      <alignment horizontal="left" readingOrder="0"/>
    </xf>
    <xf borderId="0" fillId="0" fontId="2" numFmtId="0" xfId="0" applyAlignment="1" applyFont="1">
      <alignment readingOrder="0" vertical="bottom"/>
    </xf>
    <xf borderId="0" fillId="0" fontId="3" numFmtId="0" xfId="0" applyAlignment="1" applyFont="1">
      <alignment horizontal="left"/>
    </xf>
    <xf borderId="0" fillId="0" fontId="3" numFmtId="0" xfId="0" applyAlignment="1" applyFont="1">
      <alignment readingOrder="0"/>
    </xf>
    <xf borderId="0" fillId="0" fontId="4" numFmtId="0" xfId="0" applyAlignment="1" applyFont="1">
      <alignment horizontal="center" vertical="center"/>
    </xf>
    <xf borderId="0" fillId="0" fontId="3" numFmtId="0" xfId="0" applyAlignment="1" applyFont="1">
      <alignment readingOrder="0" shrinkToFit="0" wrapText="0"/>
    </xf>
    <xf borderId="0" fillId="0" fontId="9" numFmtId="0" xfId="0" applyAlignment="1" applyFont="1">
      <alignment readingOrder="0"/>
    </xf>
    <xf borderId="2" fillId="9" fontId="10" numFmtId="0" xfId="0" applyBorder="1" applyFill="1" applyFont="1"/>
    <xf borderId="0" fillId="0" fontId="11" numFmtId="0" xfId="0" applyAlignment="1" applyFont="1">
      <alignment readingOrder="0"/>
    </xf>
    <xf borderId="0" fillId="0" fontId="11" numFmtId="0" xfId="0" applyFont="1"/>
    <xf borderId="3" fillId="10" fontId="12" numFmtId="0" xfId="0" applyBorder="1" applyFill="1" applyFont="1"/>
    <xf borderId="3" fillId="10" fontId="12" numFmtId="14" xfId="0" applyBorder="1" applyFont="1" applyNumberFormat="1"/>
    <xf borderId="0" fillId="0" fontId="13" numFmtId="14" xfId="0" applyFont="1" applyNumberFormat="1"/>
    <xf borderId="3" fillId="10" fontId="12" numFmtId="0" xfId="0" applyAlignment="1" applyBorder="1" applyFont="1">
      <alignment readingOrder="0"/>
    </xf>
    <xf borderId="3" fillId="10" fontId="12" numFmtId="167" xfId="0" applyAlignment="1" applyBorder="1" applyFont="1" applyNumberFormat="1">
      <alignment readingOrder="0"/>
    </xf>
  </cellXfs>
  <cellStyles count="1">
    <cellStyle xfId="0" name="Normal" builtinId="0"/>
  </cellStyles>
  <dxfs count="2">
    <dxf>
      <font/>
      <fill>
        <patternFill patternType="solid">
          <fgColor rgb="FFF28E85"/>
          <bgColor rgb="FFF28E85"/>
        </patternFill>
      </fill>
      <border/>
    </dxf>
    <dxf>
      <font>
        <color rgb="FF006100"/>
      </font>
      <fill>
        <patternFill patternType="solid">
          <fgColor rgb="FFC6EFCE"/>
          <bgColor rgb="FFC6EFCE"/>
        </patternFill>
      </fill>
      <border/>
    </dxf>
  </dxfs>
</styleSheet>
</file>

<file path=xl/_rels/workbook.xml.rels><?xml version="1.0" encoding="UTF-8" standalone="yes"?><Relationships xmlns="http://schemas.openxmlformats.org/package/2006/relationships"><Relationship Id="rId10" Type="http://schemas.openxmlformats.org/officeDocument/2006/relationships/worksheet" Target="worksheets/sheet7.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0" Type="http://schemas.openxmlformats.org/officeDocument/2006/relationships/hyperlink" Target="https://law.justia.com/codes/kansas/2009/chapter21/statutes_11828.html" TargetMode="External"/><Relationship Id="rId11" Type="http://schemas.openxmlformats.org/officeDocument/2006/relationships/hyperlink" Target="https://www.ksrevisor.org/statutes/chapters/ch08/008_016_0004.html" TargetMode="External"/><Relationship Id="rId22" Type="http://schemas.openxmlformats.org/officeDocument/2006/relationships/drawing" Target="../drawings/drawing3.xml"/><Relationship Id="rId10" Type="http://schemas.openxmlformats.org/officeDocument/2006/relationships/hyperlink" Target="https://www.ksrevisor.org/statutes/chapters/ch08/008_016_0002.html" TargetMode="External"/><Relationship Id="rId21" Type="http://schemas.openxmlformats.org/officeDocument/2006/relationships/hyperlink" Target="https://www.ksrevisor.org/statutes/chapters/ch21/021_064_0019.html" TargetMode="External"/><Relationship Id="rId13" Type="http://schemas.openxmlformats.org/officeDocument/2006/relationships/hyperlink" Target="https://www.ksrevisor.org/statutes/chapters/ch21/021_034_0005b.html" TargetMode="External"/><Relationship Id="rId12" Type="http://schemas.openxmlformats.org/officeDocument/2006/relationships/hyperlink" Target="https://www.ksrevisor.org/statutes/chapters/ch40/040_031_0004.html" TargetMode="External"/><Relationship Id="rId23" Type="http://schemas.openxmlformats.org/officeDocument/2006/relationships/vmlDrawing" Target="../drawings/vmlDrawing2.vml"/><Relationship Id="rId1" Type="http://schemas.openxmlformats.org/officeDocument/2006/relationships/comments" Target="../comments2.xml"/><Relationship Id="rId2" Type="http://schemas.openxmlformats.org/officeDocument/2006/relationships/hyperlink" Target="https://law.justia.com/codes/kansas/2009/chapter21/statutes_11828.html" TargetMode="External"/><Relationship Id="rId3" Type="http://schemas.openxmlformats.org/officeDocument/2006/relationships/hyperlink" Target="https://www.ksrevisor.org/statutes/chapters/ch21/021_064_0019.html" TargetMode="External"/><Relationship Id="rId4" Type="http://schemas.openxmlformats.org/officeDocument/2006/relationships/hyperlink" Target="https://law.justia.com/codes/kansas/2011/Chapter21/Article34/21-3405.html" TargetMode="External"/><Relationship Id="rId9" Type="http://schemas.openxmlformats.org/officeDocument/2006/relationships/hyperlink" Target="https://law.justia.com/codes/kansas/2011/Chapter8/Article16/8-1603.html" TargetMode="External"/><Relationship Id="rId15" Type="http://schemas.openxmlformats.org/officeDocument/2006/relationships/hyperlink" Target="https://law.justia.com/codes/kansas/2006/chapter21/statute_11858.html" TargetMode="External"/><Relationship Id="rId14" Type="http://schemas.openxmlformats.org/officeDocument/2006/relationships/hyperlink" Target="https://www.ksrevisor.org/statutes/chapters/ch08/008_015_0067.html" TargetMode="External"/><Relationship Id="rId17" Type="http://schemas.openxmlformats.org/officeDocument/2006/relationships/hyperlink" Target="https://www.ksrevisor.org/statutes/chapters/ch08/008_015_0067.html" TargetMode="External"/><Relationship Id="rId16" Type="http://schemas.openxmlformats.org/officeDocument/2006/relationships/hyperlink" Target="https://www.ksrevisor.org/statutes/chapters/ch08/008_015_0067.html" TargetMode="External"/><Relationship Id="rId5" Type="http://schemas.openxmlformats.org/officeDocument/2006/relationships/hyperlink" Target="https://www.ksrevisor.org/statutes/chapters/ch21/021_054_0006.html" TargetMode="External"/><Relationship Id="rId19" Type="http://schemas.openxmlformats.org/officeDocument/2006/relationships/hyperlink" Target="https://www.ksrevisor.org/statutes/chapters/ch08/008_015_0067.html" TargetMode="External"/><Relationship Id="rId6" Type="http://schemas.openxmlformats.org/officeDocument/2006/relationships/hyperlink" Target="https://www.ksrevisor.org/statutes/chapters/ch08/008_002_0062.html" TargetMode="External"/><Relationship Id="rId18" Type="http://schemas.openxmlformats.org/officeDocument/2006/relationships/hyperlink" Target="https://www.ksrevisor.org/statutes/chapters/ch08/008_015_0067.html" TargetMode="External"/><Relationship Id="rId7" Type="http://schemas.openxmlformats.org/officeDocument/2006/relationships/hyperlink" Target="https://www.ksrevisor.org/statutes/chapters/ch08/008_002_0061a.html" TargetMode="External"/><Relationship Id="rId8" Type="http://schemas.openxmlformats.org/officeDocument/2006/relationships/hyperlink" Target="https://www.ksrevisor.org/statutes/chapters/ch08/008_001_0042.html"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ksrevisor.org/statutes/chapters/ch21/021_035_0002.html" TargetMode="External"/><Relationship Id="rId3" Type="http://schemas.openxmlformats.org/officeDocument/2006/relationships/hyperlink" Target="https://www.ksrevisor.org/statutes/chapters/ch21/021_055_0003.html" TargetMode="External"/><Relationship Id="rId4" Type="http://schemas.openxmlformats.org/officeDocument/2006/relationships/hyperlink" Target="https://www.ksrevisor.org/statutes/chapters/ch21/021_035_0003.html" TargetMode="External"/><Relationship Id="rId5" Type="http://schemas.openxmlformats.org/officeDocument/2006/relationships/hyperlink" Target="https://www.ksrevisor.org/statutes/chapters/ch21/021_035_0004.html" TargetMode="External"/><Relationship Id="rId6" Type="http://schemas.openxmlformats.org/officeDocument/2006/relationships/hyperlink" Target="https://www.ksrevisor.org/statutes/chapters/ch21/021_055_0006.html" TargetMode="External"/><Relationship Id="rId7" Type="http://schemas.openxmlformats.org/officeDocument/2006/relationships/drawing" Target="../drawings/drawing6.xml"/><Relationship Id="rId8" Type="http://schemas.openxmlformats.org/officeDocument/2006/relationships/vmlDrawing" Target="../drawings/vmlDrawing3.v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97.0"/>
    <col customWidth="1" min="2" max="2" width="25.13"/>
    <col customWidth="1" min="3" max="6" width="7.0"/>
    <col customWidth="1" hidden="1" min="7" max="7" width="7.0"/>
    <col customWidth="1" min="8" max="9" width="7.0"/>
    <col hidden="1" min="10" max="14" width="12.63"/>
  </cols>
  <sheetData>
    <row r="1">
      <c r="A1" s="1" t="s">
        <v>0</v>
      </c>
      <c r="B1" s="2" t="s">
        <v>1</v>
      </c>
      <c r="C1" s="2" t="s">
        <v>2</v>
      </c>
      <c r="D1" s="2" t="s">
        <v>3</v>
      </c>
      <c r="E1" s="2" t="s">
        <v>4</v>
      </c>
      <c r="F1" s="2" t="s">
        <v>5</v>
      </c>
      <c r="G1" s="2" t="s">
        <v>6</v>
      </c>
      <c r="H1" s="2" t="s">
        <v>7</v>
      </c>
      <c r="I1" s="2" t="s">
        <v>8</v>
      </c>
      <c r="J1" s="3" t="s">
        <v>9</v>
      </c>
      <c r="K1" s="3" t="s">
        <v>10</v>
      </c>
      <c r="L1" s="3" t="s">
        <v>11</v>
      </c>
      <c r="M1" s="4" t="s">
        <v>12</v>
      </c>
      <c r="N1" s="5" t="s">
        <v>13</v>
      </c>
      <c r="O1" s="5" t="s">
        <v>14</v>
      </c>
      <c r="P1" s="6"/>
      <c r="Q1" s="5" t="s">
        <v>15</v>
      </c>
      <c r="R1" s="6"/>
      <c r="S1" s="6"/>
      <c r="T1" s="6"/>
      <c r="U1" s="6"/>
      <c r="V1" s="6"/>
      <c r="W1" s="6"/>
      <c r="X1" s="6"/>
      <c r="Y1" s="6"/>
      <c r="Z1" s="6"/>
    </row>
    <row r="2">
      <c r="A2" s="7" t="s">
        <v>16</v>
      </c>
      <c r="B2" s="8" t="s">
        <v>17</v>
      </c>
      <c r="C2" s="8" t="s">
        <v>18</v>
      </c>
      <c r="D2" s="8" t="s">
        <v>18</v>
      </c>
      <c r="E2" s="8" t="s">
        <v>19</v>
      </c>
      <c r="F2" s="8" t="s">
        <v>20</v>
      </c>
      <c r="G2" s="8" t="s">
        <v>21</v>
      </c>
      <c r="H2" s="9"/>
      <c r="I2" s="9"/>
      <c r="J2" s="10">
        <f t="shared" ref="J2:M2" si="1">ifs(OR($H2="R",$I2="N"),"N/A",OR(C2="A",C2="B",C2="C",C2="U"),3,TRUE,"FLAG")</f>
        <v>3</v>
      </c>
      <c r="K2" s="10">
        <f t="shared" si="1"/>
        <v>3</v>
      </c>
      <c r="L2" s="10">
        <f t="shared" si="1"/>
        <v>3</v>
      </c>
      <c r="M2" s="10" t="str">
        <f t="shared" si="1"/>
        <v>FLAG</v>
      </c>
      <c r="N2" s="10" t="str">
        <f t="shared" ref="N2:N3130" si="2">CONCATENATE(B2," - ",A2)</f>
        <v>1-316(a) - Accountants; Individual practicing certified public accountancy without a valid permit</v>
      </c>
      <c r="O2" s="10" t="str">
        <f t="shared" ref="O2:O3130" si="3">iferror(left(A2,find(";",A2)-1),A2)</f>
        <v>Accountants</v>
      </c>
      <c r="Q2" s="10" t="str">
        <f>IFERROR(__xludf.DUMMYFUNCTION("unique(O2:O3130)"),"Accountants")</f>
        <v>Accountants</v>
      </c>
    </row>
    <row r="3">
      <c r="A3" s="7" t="s">
        <v>22</v>
      </c>
      <c r="B3" s="8" t="s">
        <v>23</v>
      </c>
      <c r="C3" s="8">
        <v>8.0</v>
      </c>
      <c r="D3" s="8">
        <v>10.0</v>
      </c>
      <c r="E3" s="8">
        <v>10.0</v>
      </c>
      <c r="F3" s="8">
        <v>10.0</v>
      </c>
      <c r="G3" s="8" t="s">
        <v>24</v>
      </c>
      <c r="H3" s="9"/>
      <c r="I3" s="9"/>
      <c r="N3" s="10" t="str">
        <f t="shared" si="2"/>
        <v>21-5605(a) - Abandonment; Of child less than 16</v>
      </c>
      <c r="O3" s="10" t="str">
        <f t="shared" si="3"/>
        <v>Abandonment</v>
      </c>
      <c r="Q3" s="10" t="str">
        <f>IFERROR(__xludf.DUMMYFUNCTION("""COMPUTED_VALUE"""),"Abandonment")</f>
        <v>Abandonment</v>
      </c>
    </row>
    <row r="4">
      <c r="A4" s="7" t="s">
        <v>25</v>
      </c>
      <c r="B4" s="8" t="s">
        <v>26</v>
      </c>
      <c r="C4" s="8" t="s">
        <v>27</v>
      </c>
      <c r="D4" s="8" t="s">
        <v>28</v>
      </c>
      <c r="E4" s="8" t="s">
        <v>19</v>
      </c>
      <c r="F4" s="8" t="s">
        <v>20</v>
      </c>
      <c r="G4" s="8" t="s">
        <v>21</v>
      </c>
      <c r="H4" s="9"/>
      <c r="I4" s="9"/>
      <c r="J4" s="10">
        <f t="shared" ref="J4:M4" si="4">ifs(OR($H4="R",$I4="N"),"N/A",OR(C4="A",C4="B",C4="C",C4="U"),3,TRUE,"FLAG")</f>
        <v>3</v>
      </c>
      <c r="K4" s="10">
        <f t="shared" si="4"/>
        <v>3</v>
      </c>
      <c r="L4" s="10">
        <f t="shared" si="4"/>
        <v>3</v>
      </c>
      <c r="M4" s="10" t="str">
        <f t="shared" si="4"/>
        <v>FLAG</v>
      </c>
      <c r="N4" s="10" t="str">
        <f t="shared" si="2"/>
        <v>65-6703(a) - Abortion; Abortion or attempt to abort a viable unborn child; 1st offense</v>
      </c>
      <c r="O4" s="10" t="str">
        <f t="shared" si="3"/>
        <v>Abortion</v>
      </c>
      <c r="Q4" s="10" t="str">
        <f>IFERROR(__xludf.DUMMYFUNCTION("""COMPUTED_VALUE"""),"Abortion")</f>
        <v>Abortion</v>
      </c>
    </row>
    <row r="5">
      <c r="A5" s="7" t="s">
        <v>29</v>
      </c>
      <c r="B5" s="8" t="s">
        <v>26</v>
      </c>
      <c r="C5" s="8">
        <v>10.0</v>
      </c>
      <c r="D5" s="8">
        <v>10.0</v>
      </c>
      <c r="E5" s="8">
        <v>10.0</v>
      </c>
      <c r="F5" s="8">
        <v>10.0</v>
      </c>
      <c r="G5" s="8" t="s">
        <v>21</v>
      </c>
      <c r="H5" s="9"/>
      <c r="I5" s="9"/>
      <c r="N5" s="10" t="str">
        <f t="shared" si="2"/>
        <v>65-6703(a) - Abortion; Abortion or attempt to abort a viable unborn child; 2nd or subs. Conviction</v>
      </c>
      <c r="O5" s="10" t="str">
        <f t="shared" si="3"/>
        <v>Abortion</v>
      </c>
      <c r="Q5" s="10" t="str">
        <f>IFERROR(__xludf.DUMMYFUNCTION("""COMPUTED_VALUE"""),"Abuse of a Child")</f>
        <v>Abuse of a Child</v>
      </c>
    </row>
    <row r="6">
      <c r="A6" s="7" t="s">
        <v>30</v>
      </c>
      <c r="B6" s="8" t="s">
        <v>31</v>
      </c>
      <c r="C6" s="8" t="s">
        <v>27</v>
      </c>
      <c r="D6" s="8" t="s">
        <v>28</v>
      </c>
      <c r="E6" s="8" t="s">
        <v>19</v>
      </c>
      <c r="F6" s="8" t="s">
        <v>20</v>
      </c>
      <c r="G6" s="8" t="s">
        <v>21</v>
      </c>
      <c r="H6" s="9"/>
      <c r="I6" s="9"/>
      <c r="J6" s="10">
        <f t="shared" ref="J6:M6" si="5">ifs(OR($H6="R",$I6="N"),"N/A",OR(C6="A",C6="B",C6="C",C6="U"),3,TRUE,"FLAG")</f>
        <v>3</v>
      </c>
      <c r="K6" s="10">
        <f t="shared" si="5"/>
        <v>3</v>
      </c>
      <c r="L6" s="10">
        <f t="shared" si="5"/>
        <v>3</v>
      </c>
      <c r="M6" s="10" t="str">
        <f t="shared" si="5"/>
        <v>FLAG</v>
      </c>
      <c r="N6" s="10" t="str">
        <f t="shared" si="2"/>
        <v>65-6703(c) - Abortion; Failure to perform medical tests and maintain records as provided in (c ); 1st offense</v>
      </c>
      <c r="O6" s="10" t="str">
        <f t="shared" si="3"/>
        <v>Abortion</v>
      </c>
      <c r="Q6" s="10" t="str">
        <f>IFERROR(__xludf.DUMMYFUNCTION("""COMPUTED_VALUE"""),"Addiction Counselor Licensure Act")</f>
        <v>Addiction Counselor Licensure Act</v>
      </c>
    </row>
    <row r="7">
      <c r="A7" s="7" t="s">
        <v>32</v>
      </c>
      <c r="B7" s="8" t="s">
        <v>31</v>
      </c>
      <c r="C7" s="8">
        <v>10.0</v>
      </c>
      <c r="D7" s="8">
        <v>10.0</v>
      </c>
      <c r="E7" s="8">
        <v>10.0</v>
      </c>
      <c r="F7" s="8">
        <v>10.0</v>
      </c>
      <c r="G7" s="8" t="s">
        <v>21</v>
      </c>
      <c r="H7" s="9"/>
      <c r="I7" s="9"/>
      <c r="N7" s="10" t="str">
        <f t="shared" si="2"/>
        <v>65-6703(c) - Abortion; Failure to perform medical tests and maintain records as provided in (c); 2nd or subs. offense</v>
      </c>
      <c r="O7" s="10" t="str">
        <f t="shared" si="3"/>
        <v>Abortion</v>
      </c>
      <c r="Q7" s="10" t="str">
        <f>IFERROR(__xludf.DUMMYFUNCTION("""COMPUTED_VALUE"""),"Adding Dockage or Foreign Material to Grain")</f>
        <v>Adding Dockage or Foreign Material to Grain</v>
      </c>
    </row>
    <row r="8">
      <c r="A8" s="7" t="s">
        <v>33</v>
      </c>
      <c r="B8" s="8" t="s">
        <v>34</v>
      </c>
      <c r="C8" s="8" t="s">
        <v>27</v>
      </c>
      <c r="D8" s="8" t="s">
        <v>28</v>
      </c>
      <c r="E8" s="8" t="s">
        <v>19</v>
      </c>
      <c r="F8" s="8" t="s">
        <v>20</v>
      </c>
      <c r="G8" s="8" t="s">
        <v>21</v>
      </c>
      <c r="H8" s="9"/>
      <c r="I8" s="9"/>
      <c r="J8" s="10">
        <f t="shared" ref="J8:M8" si="6">ifs(OR($H8="R",$I8="N"),"N/A",OR(C8="A",C8="B",C8="C",C8="U"),3,TRUE,"FLAG")</f>
        <v>3</v>
      </c>
      <c r="K8" s="10">
        <f t="shared" si="6"/>
        <v>3</v>
      </c>
      <c r="L8" s="10">
        <f t="shared" si="6"/>
        <v>3</v>
      </c>
      <c r="M8" s="10" t="str">
        <f t="shared" si="6"/>
        <v>FLAG</v>
      </c>
      <c r="N8" s="10" t="str">
        <f t="shared" si="2"/>
        <v>65-6703(b) - Abortion; Failure to provide written determination as provided in (b) to pregnant woman no less than 30 minutes prior to initiation of abortion; 1st offense</v>
      </c>
      <c r="O8" s="10" t="str">
        <f t="shared" si="3"/>
        <v>Abortion</v>
      </c>
      <c r="Q8" s="10" t="str">
        <f>IFERROR(__xludf.DUMMYFUNCTION("""COMPUTED_VALUE"""),"Adoption")</f>
        <v>Adoption</v>
      </c>
    </row>
    <row r="9">
      <c r="A9" s="7" t="s">
        <v>35</v>
      </c>
      <c r="B9" s="8" t="s">
        <v>34</v>
      </c>
      <c r="C9" s="8">
        <v>10.0</v>
      </c>
      <c r="D9" s="8">
        <v>10.0</v>
      </c>
      <c r="E9" s="8">
        <v>10.0</v>
      </c>
      <c r="F9" s="8">
        <v>10.0</v>
      </c>
      <c r="G9" s="8" t="s">
        <v>21</v>
      </c>
      <c r="H9" s="9"/>
      <c r="I9" s="9"/>
      <c r="N9" s="10" t="str">
        <f t="shared" si="2"/>
        <v>65-6703(b) - Abortion; Failure to provide written determination as provided in (b) to pregnant woman no less than 30 minutes prior to initiation of abortion; 2nd or subs. offense</v>
      </c>
      <c r="O9" s="10" t="str">
        <f t="shared" si="3"/>
        <v>Abortion</v>
      </c>
      <c r="Q9" s="10" t="str">
        <f>IFERROR(__xludf.DUMMYFUNCTION("""COMPUTED_VALUE"""),"Adult Care Home Licensure Act")</f>
        <v>Adult Care Home Licensure Act</v>
      </c>
    </row>
    <row r="10">
      <c r="A10" s="7" t="s">
        <v>36</v>
      </c>
      <c r="B10" s="8" t="s">
        <v>37</v>
      </c>
      <c r="C10" s="8" t="s">
        <v>27</v>
      </c>
      <c r="D10" s="8" t="s">
        <v>28</v>
      </c>
      <c r="E10" s="8" t="s">
        <v>19</v>
      </c>
      <c r="F10" s="8" t="s">
        <v>20</v>
      </c>
      <c r="G10" s="8" t="s">
        <v>24</v>
      </c>
      <c r="H10" s="9"/>
      <c r="I10" s="9"/>
      <c r="J10" s="10">
        <f t="shared" ref="J10:M10" si="7">ifs(OR($H10="R",$I10="N"),"N/A",OR(C10="A",C10="B",C10="C",C10="U"),3,TRUE,"FLAG")</f>
        <v>3</v>
      </c>
      <c r="K10" s="10">
        <f t="shared" si="7"/>
        <v>3</v>
      </c>
      <c r="L10" s="10">
        <f t="shared" si="7"/>
        <v>3</v>
      </c>
      <c r="M10" s="10" t="str">
        <f t="shared" si="7"/>
        <v>FLAG</v>
      </c>
      <c r="N10" s="10" t="str">
        <f t="shared" si="2"/>
        <v>65-6705(k) - Abortion; Intentional and knowing or reckless abortion on unemancipated minor</v>
      </c>
      <c r="O10" s="10" t="str">
        <f t="shared" si="3"/>
        <v>Abortion</v>
      </c>
      <c r="Q10" s="10" t="str">
        <f>IFERROR(__xludf.DUMMYFUNCTION("""COMPUTED_VALUE"""),"Adult Care Homes")</f>
        <v>Adult Care Homes</v>
      </c>
    </row>
    <row r="11">
      <c r="A11" s="7" t="s">
        <v>38</v>
      </c>
      <c r="B11" s="8" t="s">
        <v>39</v>
      </c>
      <c r="C11" s="8">
        <v>8.0</v>
      </c>
      <c r="D11" s="8">
        <v>10.0</v>
      </c>
      <c r="E11" s="8">
        <v>10.0</v>
      </c>
      <c r="F11" s="8">
        <v>10.0</v>
      </c>
      <c r="G11" s="8" t="s">
        <v>24</v>
      </c>
      <c r="H11" s="9"/>
      <c r="I11" s="9"/>
      <c r="N11" s="10" t="str">
        <f t="shared" si="2"/>
        <v>65-6721(a) - Abortion; Partial birth abortion on viable fetus prohibited unless exceptions apply</v>
      </c>
      <c r="O11" s="10" t="str">
        <f t="shared" si="3"/>
        <v>Abortion</v>
      </c>
      <c r="Q11" s="10" t="str">
        <f>IFERROR(__xludf.DUMMYFUNCTION("""COMPUTED_VALUE"""),"Adultery")</f>
        <v>Adultery</v>
      </c>
    </row>
    <row r="12">
      <c r="A12" s="7" t="s">
        <v>40</v>
      </c>
      <c r="B12" s="8" t="s">
        <v>41</v>
      </c>
      <c r="C12" s="8">
        <v>10.0</v>
      </c>
      <c r="D12" s="8">
        <v>10.0</v>
      </c>
      <c r="E12" s="8">
        <v>10.0</v>
      </c>
      <c r="F12" s="8">
        <v>10.0</v>
      </c>
      <c r="G12" s="8" t="s">
        <v>24</v>
      </c>
      <c r="H12" s="9"/>
      <c r="I12" s="9"/>
      <c r="N12" s="10" t="str">
        <f t="shared" si="2"/>
        <v>65-6724 - Abortion; Penalty for unauthorized "pain-capable" child abortion; Second or subs conviction</v>
      </c>
      <c r="O12" s="10" t="str">
        <f t="shared" si="3"/>
        <v>Abortion</v>
      </c>
      <c r="Q12" s="10" t="str">
        <f>IFERROR(__xludf.DUMMYFUNCTION("""COMPUTED_VALUE"""),"Aggravated Abandonment")</f>
        <v>Aggravated Abandonment</v>
      </c>
    </row>
    <row r="13">
      <c r="A13" s="7" t="s">
        <v>42</v>
      </c>
      <c r="B13" s="8" t="s">
        <v>43</v>
      </c>
      <c r="C13" s="8" t="s">
        <v>27</v>
      </c>
      <c r="D13" s="8" t="s">
        <v>28</v>
      </c>
      <c r="E13" s="8" t="s">
        <v>19</v>
      </c>
      <c r="F13" s="8" t="s">
        <v>20</v>
      </c>
      <c r="G13" s="8" t="s">
        <v>24</v>
      </c>
      <c r="H13" s="9"/>
      <c r="I13" s="9"/>
      <c r="J13" s="10">
        <f t="shared" ref="J13:M13" si="8">ifs(OR($H13="R",$I13="N"),"N/A",OR(C13="A",C13="B",C13="C",C13="U"),3,TRUE,"FLAG")</f>
        <v>3</v>
      </c>
      <c r="K13" s="10">
        <f t="shared" si="8"/>
        <v>3</v>
      </c>
      <c r="L13" s="10">
        <f t="shared" si="8"/>
        <v>3</v>
      </c>
      <c r="M13" s="10" t="str">
        <f t="shared" si="8"/>
        <v>FLAG</v>
      </c>
      <c r="N13" s="10" t="str">
        <f t="shared" si="2"/>
        <v>65-6743(a)(1) - Abortion; Perform or attempt to perform dismemberment abortion; 1st conviction</v>
      </c>
      <c r="O13" s="10" t="str">
        <f t="shared" si="3"/>
        <v>Abortion</v>
      </c>
      <c r="Q13" s="10" t="str">
        <f>IFERROR(__xludf.DUMMYFUNCTION("""COMPUTED_VALUE"""),"Aggravated Arson")</f>
        <v>Aggravated Arson</v>
      </c>
    </row>
    <row r="14">
      <c r="A14" s="7" t="s">
        <v>44</v>
      </c>
      <c r="B14" s="8" t="s">
        <v>43</v>
      </c>
      <c r="C14" s="8">
        <v>10.0</v>
      </c>
      <c r="D14" s="8">
        <v>10.0</v>
      </c>
      <c r="E14" s="8">
        <v>10.0</v>
      </c>
      <c r="F14" s="8">
        <v>10.0</v>
      </c>
      <c r="G14" s="8" t="s">
        <v>24</v>
      </c>
      <c r="H14" s="9"/>
      <c r="I14" s="9"/>
      <c r="N14" s="10" t="str">
        <f t="shared" si="2"/>
        <v>65-6743(a)(1) - Abortion; Perform or attempt to perform dismemberment abortion; 2nd conviction</v>
      </c>
      <c r="O14" s="10" t="str">
        <f t="shared" si="3"/>
        <v>Abortion</v>
      </c>
      <c r="Q14" s="10" t="str">
        <f>IFERROR(__xludf.DUMMYFUNCTION("""COMPUTED_VALUE"""),"Aggravated Assault")</f>
        <v>Aggravated Assault</v>
      </c>
    </row>
    <row r="15">
      <c r="A15" s="7" t="s">
        <v>45</v>
      </c>
      <c r="B15" s="8" t="s">
        <v>46</v>
      </c>
      <c r="C15" s="8" t="s">
        <v>27</v>
      </c>
      <c r="D15" s="8" t="s">
        <v>28</v>
      </c>
      <c r="E15" s="8" t="s">
        <v>19</v>
      </c>
      <c r="F15" s="8" t="s">
        <v>20</v>
      </c>
      <c r="G15" s="8" t="s">
        <v>24</v>
      </c>
      <c r="H15" s="9"/>
      <c r="I15" s="9"/>
      <c r="J15" s="10">
        <f t="shared" ref="J15:M15" si="9">ifs(OR($H15="R",$I15="N"),"N/A",OR(C15="A",C15="B",C15="C",C15="U"),3,TRUE,"FLAG")</f>
        <v>3</v>
      </c>
      <c r="K15" s="10">
        <f t="shared" si="9"/>
        <v>3</v>
      </c>
      <c r="L15" s="10">
        <f t="shared" si="9"/>
        <v>3</v>
      </c>
      <c r="M15" s="10" t="str">
        <f t="shared" si="9"/>
        <v>FLAG</v>
      </c>
      <c r="N15" s="10" t="str">
        <f t="shared" si="2"/>
        <v>65-6726(a) - Abortion; Performing an abortion with knowledge that woman is seeking abortion solely on account of the sex of the unborn child; 1st conviction</v>
      </c>
      <c r="O15" s="10" t="str">
        <f t="shared" si="3"/>
        <v>Abortion</v>
      </c>
      <c r="Q15" s="10" t="str">
        <f>IFERROR(__xludf.DUMMYFUNCTION("""COMPUTED_VALUE"""),"Aggravated Battery")</f>
        <v>Aggravated Battery</v>
      </c>
    </row>
    <row r="16">
      <c r="A16" s="7" t="s">
        <v>47</v>
      </c>
      <c r="B16" s="8" t="s">
        <v>46</v>
      </c>
      <c r="C16" s="8">
        <v>10.0</v>
      </c>
      <c r="D16" s="8">
        <v>10.0</v>
      </c>
      <c r="E16" s="8">
        <v>10.0</v>
      </c>
      <c r="F16" s="8">
        <v>10.0</v>
      </c>
      <c r="G16" s="8" t="s">
        <v>24</v>
      </c>
      <c r="H16" s="9"/>
      <c r="I16" s="9"/>
      <c r="N16" s="10" t="str">
        <f t="shared" si="2"/>
        <v>65-6726(a) - Abortion; Performing an abortion with knowledge that woman is seeking abortion solely on account of the sex of the unborn child; 2nd or subs. conviction</v>
      </c>
      <c r="O16" s="10" t="str">
        <f t="shared" si="3"/>
        <v>Abortion</v>
      </c>
      <c r="Q16" s="10" t="str">
        <f>IFERROR(__xludf.DUMMYFUNCTION("""COMPUTED_VALUE"""),"Aggravated Burglary")</f>
        <v>Aggravated Burglary</v>
      </c>
    </row>
    <row r="17">
      <c r="A17" s="7" t="s">
        <v>48</v>
      </c>
      <c r="B17" s="8" t="s">
        <v>49</v>
      </c>
      <c r="C17" s="8" t="s">
        <v>28</v>
      </c>
      <c r="D17" s="8" t="s">
        <v>19</v>
      </c>
      <c r="E17" s="8" t="s">
        <v>19</v>
      </c>
      <c r="F17" s="8" t="s">
        <v>20</v>
      </c>
      <c r="G17" s="8" t="s">
        <v>24</v>
      </c>
      <c r="H17" s="9"/>
      <c r="I17" s="9"/>
      <c r="J17" s="10">
        <f t="shared" ref="J17:M17" si="10">ifs(OR($H17="R",$I17="N"),"N/A",OR(C17="A",C17="B",C17="C",C17="U"),3,TRUE,"FLAG")</f>
        <v>3</v>
      </c>
      <c r="K17" s="10">
        <f t="shared" si="10"/>
        <v>3</v>
      </c>
      <c r="L17" s="10">
        <f t="shared" si="10"/>
        <v>3</v>
      </c>
      <c r="M17" s="10" t="str">
        <f t="shared" si="10"/>
        <v>FLAG</v>
      </c>
      <c r="N17" s="10" t="str">
        <f t="shared" si="2"/>
        <v>65-6705(l)(1) - Abortion; Willful or knowing disclosure of the identity of a minor petitioning the court pursuant to this section or disclosure of any court record relating to such proceeding</v>
      </c>
      <c r="O17" s="10" t="str">
        <f t="shared" si="3"/>
        <v>Abortion</v>
      </c>
      <c r="Q17" s="10" t="str">
        <f>IFERROR(__xludf.DUMMYFUNCTION("""COMPUTED_VALUE"""),"Aggravated Criminal Damage to Property")</f>
        <v>Aggravated Criminal Damage to Property</v>
      </c>
    </row>
    <row r="18">
      <c r="A18" s="7" t="s">
        <v>50</v>
      </c>
      <c r="B18" s="8" t="s">
        <v>51</v>
      </c>
      <c r="C18" s="8" t="s">
        <v>28</v>
      </c>
      <c r="D18" s="8" t="s">
        <v>19</v>
      </c>
      <c r="E18" s="8" t="s">
        <v>19</v>
      </c>
      <c r="F18" s="8" t="s">
        <v>20</v>
      </c>
      <c r="G18" s="8" t="s">
        <v>24</v>
      </c>
      <c r="H18" s="9"/>
      <c r="I18" s="9"/>
      <c r="J18" s="10">
        <f t="shared" ref="J18:M18" si="11">ifs(OR($H18="R",$I18="N"),"N/A",OR(C18="A",C18="B",C18="C",C18="U"),3,TRUE,"FLAG")</f>
        <v>3</v>
      </c>
      <c r="K18" s="10">
        <f t="shared" si="11"/>
        <v>3</v>
      </c>
      <c r="L18" s="10">
        <f t="shared" si="11"/>
        <v>3</v>
      </c>
      <c r="M18" s="10" t="str">
        <f t="shared" si="11"/>
        <v>FLAG</v>
      </c>
      <c r="N18" s="10" t="str">
        <f t="shared" si="2"/>
        <v>65-6705(l)(2) - Abortion; Willfully/knowingly permit or encourage disclosure of minor's identity or record</v>
      </c>
      <c r="O18" s="10" t="str">
        <f t="shared" si="3"/>
        <v>Abortion</v>
      </c>
      <c r="Q18" s="10" t="str">
        <f>IFERROR(__xludf.DUMMYFUNCTION("""COMPUTED_VALUE"""),"Aggravated Criminal Sodomy")</f>
        <v>Aggravated Criminal Sodomy</v>
      </c>
    </row>
    <row r="19">
      <c r="A19" s="7" t="s">
        <v>52</v>
      </c>
      <c r="B19" s="8" t="s">
        <v>53</v>
      </c>
      <c r="C19" s="8">
        <v>5.0</v>
      </c>
      <c r="D19" s="8">
        <v>7.0</v>
      </c>
      <c r="E19" s="8">
        <v>7.0</v>
      </c>
      <c r="F19" s="8">
        <v>8.0</v>
      </c>
      <c r="G19" s="8" t="s">
        <v>24</v>
      </c>
      <c r="H19" s="8"/>
      <c r="I19" s="8" t="s">
        <v>54</v>
      </c>
      <c r="N19" s="10" t="str">
        <f t="shared" si="2"/>
        <v>21-5602(a)(2) - Abuse of a Child; Knowingly inflicting cruel and inhuman corporal punishment upon any child under the age of 18 years</v>
      </c>
      <c r="O19" s="10" t="str">
        <f t="shared" si="3"/>
        <v>Abuse of a Child</v>
      </c>
      <c r="Q19" s="10" t="str">
        <f>IFERROR(__xludf.DUMMYFUNCTION("""COMPUTED_VALUE"""),"Aggravated Criminal Threat")</f>
        <v>Aggravated Criminal Threat</v>
      </c>
    </row>
    <row r="20">
      <c r="A20" s="7" t="s">
        <v>55</v>
      </c>
      <c r="B20" s="8" t="s">
        <v>56</v>
      </c>
      <c r="C20" s="8">
        <v>5.0</v>
      </c>
      <c r="D20" s="8">
        <v>7.0</v>
      </c>
      <c r="E20" s="8">
        <v>7.0</v>
      </c>
      <c r="F20" s="8">
        <v>8.0</v>
      </c>
      <c r="G20" s="8" t="s">
        <v>24</v>
      </c>
      <c r="H20" s="9"/>
      <c r="I20" s="8" t="s">
        <v>54</v>
      </c>
      <c r="N20" s="10" t="str">
        <f t="shared" si="2"/>
        <v>21-5602(a)(1) - Abuse of a Child; Knowingly torture or cruelly beating or shaking any child under the age of 18 years which results in great bodily harm to the child</v>
      </c>
      <c r="O20" s="10" t="str">
        <f t="shared" si="3"/>
        <v>Abuse of a Child</v>
      </c>
      <c r="Q20" s="10" t="str">
        <f>IFERROR(__xludf.DUMMYFUNCTION("""COMPUTED_VALUE"""),"Aggravated Endangering a Child")</f>
        <v>Aggravated Endangering a Child</v>
      </c>
    </row>
    <row r="21">
      <c r="A21" s="7" t="s">
        <v>57</v>
      </c>
      <c r="B21" s="8" t="s">
        <v>58</v>
      </c>
      <c r="C21" s="8" t="s">
        <v>18</v>
      </c>
      <c r="D21" s="8" t="s">
        <v>18</v>
      </c>
      <c r="E21" s="8" t="s">
        <v>19</v>
      </c>
      <c r="F21" s="8" t="s">
        <v>20</v>
      </c>
      <c r="G21" s="8" t="s">
        <v>21</v>
      </c>
      <c r="H21" s="9"/>
      <c r="I21" s="9"/>
      <c r="J21" s="10">
        <f t="shared" ref="J21:M21" si="12">ifs(OR($H21="R",$I21="N"),"N/A",OR(C21="A",C21="B",C21="C",C21="U"),3,TRUE,"FLAG")</f>
        <v>3</v>
      </c>
      <c r="K21" s="10">
        <f t="shared" si="12"/>
        <v>3</v>
      </c>
      <c r="L21" s="10">
        <f t="shared" si="12"/>
        <v>3</v>
      </c>
      <c r="M21" s="10" t="str">
        <f t="shared" si="12"/>
        <v>FLAG</v>
      </c>
      <c r="N21" s="10" t="str">
        <f t="shared" si="2"/>
        <v>1-316(b) - Accountants; Firm practicing certified public accountancy as a certified public accounting firm or C.P.A. firm without registering</v>
      </c>
      <c r="O21" s="10" t="str">
        <f t="shared" si="3"/>
        <v>Accountants</v>
      </c>
      <c r="Q21" s="10" t="str">
        <f>IFERROR(__xludf.DUMMYFUNCTION("""COMPUTED_VALUE"""),"Aggravated Endangering the Food Supply")</f>
        <v>Aggravated Endangering the Food Supply</v>
      </c>
    </row>
    <row r="22">
      <c r="A22" s="7" t="s">
        <v>59</v>
      </c>
      <c r="B22" s="8" t="s">
        <v>60</v>
      </c>
      <c r="C22" s="8" t="s">
        <v>18</v>
      </c>
      <c r="D22" s="8" t="s">
        <v>18</v>
      </c>
      <c r="E22" s="8" t="s">
        <v>19</v>
      </c>
      <c r="F22" s="8" t="s">
        <v>20</v>
      </c>
      <c r="G22" s="8" t="s">
        <v>21</v>
      </c>
      <c r="H22" s="9"/>
      <c r="I22" s="9"/>
      <c r="J22" s="10">
        <f t="shared" ref="J22:M22" si="13">ifs(OR($H22="R",$I22="N"),"N/A",OR(C22="A",C22="B",C22="C",C22="U"),3,TRUE,"FLAG")</f>
        <v>3</v>
      </c>
      <c r="K22" s="10">
        <f t="shared" si="13"/>
        <v>3</v>
      </c>
      <c r="L22" s="10">
        <f t="shared" si="13"/>
        <v>3</v>
      </c>
      <c r="M22" s="10" t="str">
        <f t="shared" si="13"/>
        <v>FLAG</v>
      </c>
      <c r="N22" s="10" t="str">
        <f t="shared" si="2"/>
        <v>1-316(e) - Accountants; Issue a report or financial statements that references the American institute of certified public accountants without holding a permit to practice</v>
      </c>
      <c r="O22" s="10" t="str">
        <f t="shared" si="3"/>
        <v>Accountants</v>
      </c>
      <c r="Q22" s="10" t="str">
        <f>IFERROR(__xludf.DUMMYFUNCTION("""COMPUTED_VALUE"""),"Aggravated Escape From Custody")</f>
        <v>Aggravated Escape From Custody</v>
      </c>
    </row>
    <row r="23">
      <c r="A23" s="7" t="s">
        <v>61</v>
      </c>
      <c r="B23" s="8" t="s">
        <v>62</v>
      </c>
      <c r="C23" s="8" t="s">
        <v>18</v>
      </c>
      <c r="D23" s="8" t="s">
        <v>18</v>
      </c>
      <c r="E23" s="8" t="s">
        <v>19</v>
      </c>
      <c r="F23" s="8" t="s">
        <v>20</v>
      </c>
      <c r="G23" s="8" t="s">
        <v>21</v>
      </c>
      <c r="H23" s="9"/>
      <c r="I23" s="9"/>
      <c r="J23" s="10">
        <f t="shared" ref="J23:M23" si="14">ifs(OR($H23="R",$I23="N"),"N/A",OR(C23="A",C23="B",C23="C",C23="U"),3,TRUE,"FLAG")</f>
        <v>3</v>
      </c>
      <c r="K23" s="10">
        <f t="shared" si="14"/>
        <v>3</v>
      </c>
      <c r="L23" s="10">
        <f t="shared" si="14"/>
        <v>3</v>
      </c>
      <c r="M23" s="10" t="str">
        <f t="shared" si="14"/>
        <v>FLAG</v>
      </c>
      <c r="N23" s="10" t="str">
        <f t="shared" si="2"/>
        <v>1-316(c) - Accountants; Use or assume title, abbreviation, designation, words, letters, sign, card or device likely to be confused with "certified public accountant." without valid Kansas certificate</v>
      </c>
      <c r="O23" s="10" t="str">
        <f t="shared" si="3"/>
        <v>Accountants</v>
      </c>
      <c r="Q23" s="10" t="str">
        <f>IFERROR(__xludf.DUMMYFUNCTION("""COMPUTED_VALUE"""),"Aggravated Failure to Appear")</f>
        <v>Aggravated Failure to Appear</v>
      </c>
    </row>
    <row r="24">
      <c r="A24" s="7" t="s">
        <v>63</v>
      </c>
      <c r="B24" s="8" t="s">
        <v>64</v>
      </c>
      <c r="C24" s="8" t="s">
        <v>18</v>
      </c>
      <c r="D24" s="8" t="s">
        <v>18</v>
      </c>
      <c r="E24" s="8" t="s">
        <v>19</v>
      </c>
      <c r="F24" s="8" t="s">
        <v>20</v>
      </c>
      <c r="G24" s="8" t="s">
        <v>21</v>
      </c>
      <c r="H24" s="9"/>
      <c r="I24" s="9"/>
      <c r="J24" s="10">
        <f t="shared" ref="J24:M24" si="15">ifs(OR($H24="R",$I24="N"),"N/A",OR(C24="A",C24="B",C24="C",C24="U"),3,TRUE,"FLAG")</f>
        <v>3</v>
      </c>
      <c r="K24" s="10">
        <f t="shared" si="15"/>
        <v>3</v>
      </c>
      <c r="L24" s="10">
        <f t="shared" si="15"/>
        <v>3</v>
      </c>
      <c r="M24" s="10" t="str">
        <f t="shared" si="15"/>
        <v>FLAG</v>
      </c>
      <c r="N24" s="10" t="str">
        <f t="shared" si="2"/>
        <v>1-316(d)(3) - Accountants; Use professional or firm name or designation that is misleading as to any other matter</v>
      </c>
      <c r="O24" s="10" t="str">
        <f t="shared" si="3"/>
        <v>Accountants</v>
      </c>
      <c r="Q24" s="10" t="str">
        <f>IFERROR(__xludf.DUMMYFUNCTION("""COMPUTED_VALUE"""),"Aggravated False Impersonation")</f>
        <v>Aggravated False Impersonation</v>
      </c>
    </row>
    <row r="25">
      <c r="A25" s="7" t="s">
        <v>65</v>
      </c>
      <c r="B25" s="8" t="s">
        <v>66</v>
      </c>
      <c r="C25" s="8" t="s">
        <v>18</v>
      </c>
      <c r="D25" s="8" t="s">
        <v>18</v>
      </c>
      <c r="E25" s="8" t="s">
        <v>19</v>
      </c>
      <c r="F25" s="8" t="s">
        <v>20</v>
      </c>
      <c r="G25" s="8" t="s">
        <v>21</v>
      </c>
      <c r="H25" s="9"/>
      <c r="I25" s="9"/>
      <c r="J25" s="10">
        <f t="shared" ref="J25:M25" si="16">ifs(OR($H25="R",$I25="N"),"N/A",OR(C25="A",C25="B",C25="C",C25="U"),3,TRUE,"FLAG")</f>
        <v>3</v>
      </c>
      <c r="K25" s="10">
        <f t="shared" si="16"/>
        <v>3</v>
      </c>
      <c r="L25" s="10">
        <f t="shared" si="16"/>
        <v>3</v>
      </c>
      <c r="M25" s="10" t="str">
        <f t="shared" si="16"/>
        <v>FLAG</v>
      </c>
      <c r="N25" s="10" t="str">
        <f t="shared" si="2"/>
        <v>1-316(d)(1) - Accountants; Use professional or firm name or designation that is misleading as to the legal form of the firm</v>
      </c>
      <c r="O25" s="10" t="str">
        <f t="shared" si="3"/>
        <v>Accountants</v>
      </c>
      <c r="Q25" s="10" t="str">
        <f>IFERROR(__xludf.DUMMYFUNCTION("""COMPUTED_VALUE"""),"Aggravated Human Trafficking")</f>
        <v>Aggravated Human Trafficking</v>
      </c>
    </row>
    <row r="26">
      <c r="A26" s="7" t="s">
        <v>67</v>
      </c>
      <c r="B26" s="8" t="s">
        <v>68</v>
      </c>
      <c r="C26" s="8" t="s">
        <v>18</v>
      </c>
      <c r="D26" s="8" t="s">
        <v>18</v>
      </c>
      <c r="E26" s="8" t="s">
        <v>19</v>
      </c>
      <c r="F26" s="8" t="s">
        <v>20</v>
      </c>
      <c r="G26" s="8" t="s">
        <v>21</v>
      </c>
      <c r="H26" s="9"/>
      <c r="I26" s="9"/>
      <c r="J26" s="10">
        <f t="shared" ref="J26:M26" si="17">ifs(OR($H26="R",$I26="N"),"N/A",OR(C26="A",C26="B",C26="C",C26="U"),3,TRUE,"FLAG")</f>
        <v>3</v>
      </c>
      <c r="K26" s="10">
        <f t="shared" si="17"/>
        <v>3</v>
      </c>
      <c r="L26" s="10">
        <f t="shared" si="17"/>
        <v>3</v>
      </c>
      <c r="M26" s="10" t="str">
        <f t="shared" si="17"/>
        <v>FLAG</v>
      </c>
      <c r="N26" s="10" t="str">
        <f t="shared" si="2"/>
        <v>1-316(d)(2) - Accountants; Use professional or firm name or designation that is misleading as to the persons who are partners, officers, members, managers or shareholders of the firm</v>
      </c>
      <c r="O26" s="10" t="str">
        <f t="shared" si="3"/>
        <v>Accountants</v>
      </c>
      <c r="Q26" s="10" t="str">
        <f>IFERROR(__xludf.DUMMYFUNCTION("""COMPUTED_VALUE"""),"Aggravated Incest")</f>
        <v>Aggravated Incest</v>
      </c>
    </row>
    <row r="27">
      <c r="A27" s="7" t="s">
        <v>69</v>
      </c>
      <c r="B27" s="8" t="s">
        <v>70</v>
      </c>
      <c r="C27" s="8" t="s">
        <v>28</v>
      </c>
      <c r="D27" s="8" t="s">
        <v>19</v>
      </c>
      <c r="E27" s="8" t="s">
        <v>19</v>
      </c>
      <c r="F27" s="8" t="s">
        <v>20</v>
      </c>
      <c r="G27" s="8" t="s">
        <v>21</v>
      </c>
      <c r="H27" s="9"/>
      <c r="I27" s="9"/>
      <c r="J27" s="10">
        <f t="shared" ref="J27:M27" si="18">ifs(OR($H27="R",$I27="N"),"N/A",OR(C27="A",C27="B",C27="C",C27="U"),3,TRUE,"FLAG")</f>
        <v>3</v>
      </c>
      <c r="K27" s="10">
        <f t="shared" si="18"/>
        <v>3</v>
      </c>
      <c r="L27" s="10">
        <f t="shared" si="18"/>
        <v>3</v>
      </c>
      <c r="M27" s="10" t="str">
        <f t="shared" si="18"/>
        <v>FLAG</v>
      </c>
      <c r="N27" s="10" t="str">
        <f t="shared" si="2"/>
        <v>65-6609(a) - Addiction Counselor Licensure Act; Effective Sept. 1, 2011; Engage in the practice of addiction counseling as a clinical addiction counselor or represent that such person is a licensed clinical addiction counselor or substance abuse counselor without having such license</v>
      </c>
      <c r="O27" s="10" t="str">
        <f t="shared" si="3"/>
        <v>Addiction Counselor Licensure Act</v>
      </c>
      <c r="Q27" s="10" t="str">
        <f>IFERROR(__xludf.DUMMYFUNCTION("""COMPUTED_VALUE"""),"Aggravated Indecent Liberties with a Child")</f>
        <v>Aggravated Indecent Liberties with a Child</v>
      </c>
    </row>
    <row r="28">
      <c r="A28" s="7" t="s">
        <v>71</v>
      </c>
      <c r="B28" s="8" t="s">
        <v>72</v>
      </c>
      <c r="C28" s="8" t="s">
        <v>28</v>
      </c>
      <c r="D28" s="8" t="s">
        <v>19</v>
      </c>
      <c r="E28" s="8" t="s">
        <v>19</v>
      </c>
      <c r="F28" s="8" t="s">
        <v>20</v>
      </c>
      <c r="G28" s="8" t="s">
        <v>21</v>
      </c>
      <c r="H28" s="9"/>
      <c r="I28" s="9"/>
      <c r="J28" s="10">
        <f t="shared" ref="J28:M28" si="19">ifs(OR($H28="R",$I28="N"),"N/A",OR(C28="A",C28="B",C28="C",C28="U"),3,TRUE,"FLAG")</f>
        <v>3</v>
      </c>
      <c r="K28" s="10">
        <f t="shared" si="19"/>
        <v>3</v>
      </c>
      <c r="L28" s="10">
        <f t="shared" si="19"/>
        <v>3</v>
      </c>
      <c r="M28" s="10" t="str">
        <f t="shared" si="19"/>
        <v>FLAG</v>
      </c>
      <c r="N28" s="10" t="str">
        <f t="shared" si="2"/>
        <v>65-6609(b) - Addiction Counselor Licensure Act; Effective Sept. 1, 2011; Engage in the practice of addiction counseling or represent that such person is a licensed addiction counselor, substance abuse counselor or alcohol and drug counselor without having such license</v>
      </c>
      <c r="O28" s="10" t="str">
        <f t="shared" si="3"/>
        <v>Addiction Counselor Licensure Act</v>
      </c>
      <c r="Q28" s="10" t="str">
        <f>IFERROR(__xludf.DUMMYFUNCTION("""COMPUTED_VALUE"""),"Aggravated Indecent Solicitation of a Child")</f>
        <v>Aggravated Indecent Solicitation of a Child</v>
      </c>
    </row>
    <row r="29">
      <c r="A29" s="7" t="s">
        <v>73</v>
      </c>
      <c r="B29" s="8" t="s">
        <v>74</v>
      </c>
      <c r="C29" s="8">
        <v>9.0</v>
      </c>
      <c r="D29" s="8">
        <v>10.0</v>
      </c>
      <c r="E29" s="8">
        <v>10.0</v>
      </c>
      <c r="F29" s="8">
        <v>10.0</v>
      </c>
      <c r="G29" s="8" t="s">
        <v>21</v>
      </c>
      <c r="H29" s="9"/>
      <c r="I29" s="9"/>
      <c r="N29" s="10" t="str">
        <f t="shared" si="2"/>
        <v>21-5837(a)(2) - Adding Dockage or Foreign Material to Grain; Knowingly recombining any dockage or foreign material once removed from grain with any grain intended to be marketed</v>
      </c>
      <c r="O29" s="10" t="str">
        <f t="shared" si="3"/>
        <v>Adding Dockage or Foreign Material to Grain</v>
      </c>
      <c r="Q29" s="10" t="str">
        <f>IFERROR(__xludf.DUMMYFUNCTION("""COMPUTED_VALUE"""),"Aggravated Interference with Parental Custody")</f>
        <v>Aggravated Interference with Parental Custody</v>
      </c>
    </row>
    <row r="30">
      <c r="A30" s="7" t="s">
        <v>75</v>
      </c>
      <c r="B30" s="8" t="s">
        <v>76</v>
      </c>
      <c r="C30" s="8">
        <v>9.0</v>
      </c>
      <c r="D30" s="8">
        <v>10.0</v>
      </c>
      <c r="E30" s="8">
        <v>10.0</v>
      </c>
      <c r="F30" s="8">
        <v>10.0</v>
      </c>
      <c r="G30" s="8" t="s">
        <v>21</v>
      </c>
      <c r="H30" s="9"/>
      <c r="I30" s="9"/>
      <c r="N30" s="10" t="str">
        <f t="shared" si="2"/>
        <v>21-5837(a)(1) - Adding Dockage or Foreign Material to Grain; Knowingly; grain intended to be marketed</v>
      </c>
      <c r="O30" s="10" t="str">
        <f t="shared" si="3"/>
        <v>Adding Dockage or Foreign Material to Grain</v>
      </c>
      <c r="Q30" s="10" t="str">
        <f>IFERROR(__xludf.DUMMYFUNCTION("""COMPUTED_VALUE"""),"Aggravated Interference with Public Business")</f>
        <v>Aggravated Interference with Public Business</v>
      </c>
    </row>
    <row r="31">
      <c r="A31" s="7" t="s">
        <v>77</v>
      </c>
      <c r="B31" s="8" t="s">
        <v>78</v>
      </c>
      <c r="C31" s="8" t="s">
        <v>18</v>
      </c>
      <c r="D31" s="8" t="s">
        <v>18</v>
      </c>
      <c r="E31" s="8" t="s">
        <v>19</v>
      </c>
      <c r="F31" s="8" t="s">
        <v>20</v>
      </c>
      <c r="G31" s="8" t="s">
        <v>21</v>
      </c>
      <c r="H31" s="9"/>
      <c r="I31" s="9"/>
      <c r="J31" s="10">
        <f t="shared" ref="J31:M31" si="20">ifs(OR($H31="R",$I31="N"),"N/A",OR(C31="A",C31="B",C31="C",C31="U"),3,TRUE,"FLAG")</f>
        <v>3</v>
      </c>
      <c r="K31" s="10">
        <f t="shared" si="20"/>
        <v>3</v>
      </c>
      <c r="L31" s="10">
        <f t="shared" si="20"/>
        <v>3</v>
      </c>
      <c r="M31" s="10" t="str">
        <f t="shared" si="20"/>
        <v>FLAG</v>
      </c>
      <c r="N31" s="10" t="str">
        <f t="shared" si="2"/>
        <v>59-2123(a)(1) - Adoption; Advertise that one will adopt, find an adoptive home for a child or otherwise place a child for adoption, if not a licensed child placement agency</v>
      </c>
      <c r="O31" s="10" t="str">
        <f t="shared" si="3"/>
        <v>Adoption</v>
      </c>
      <c r="Q31" s="10" t="str">
        <f>IFERROR(__xludf.DUMMYFUNCTION("""COMPUTED_VALUE"""),"Aggravated Intimidation of a Witness or Victim")</f>
        <v>Aggravated Intimidation of a Witness or Victim</v>
      </c>
    </row>
    <row r="32">
      <c r="A32" s="7" t="s">
        <v>79</v>
      </c>
      <c r="B32" s="8" t="s">
        <v>80</v>
      </c>
      <c r="C32" s="8" t="s">
        <v>19</v>
      </c>
      <c r="D32" s="8" t="s">
        <v>19</v>
      </c>
      <c r="E32" s="8" t="s">
        <v>19</v>
      </c>
      <c r="F32" s="8" t="s">
        <v>20</v>
      </c>
      <c r="G32" s="8" t="s">
        <v>21</v>
      </c>
      <c r="H32" s="9"/>
      <c r="I32" s="9"/>
      <c r="J32" s="10">
        <f t="shared" ref="J32:M32" si="21">ifs(OR($H32="R",$I32="N"),"N/A",OR(C32="A",C32="B",C32="C",C32="U"),3,TRUE,"FLAG")</f>
        <v>3</v>
      </c>
      <c r="K32" s="10">
        <f t="shared" si="21"/>
        <v>3</v>
      </c>
      <c r="L32" s="10">
        <f t="shared" si="21"/>
        <v>3</v>
      </c>
      <c r="M32" s="10" t="str">
        <f t="shared" si="21"/>
        <v>FLAG</v>
      </c>
      <c r="N32" s="10" t="str">
        <f t="shared" si="2"/>
        <v>59-2130(e) - Adoption; Employee or agent of the department of social and rehabilitation services, a child-placing agency or a district court who intentionally destroys any information required to be filed under this section</v>
      </c>
      <c r="O32" s="10" t="str">
        <f t="shared" si="3"/>
        <v>Adoption</v>
      </c>
      <c r="Q32" s="10" t="str">
        <f>IFERROR(__xludf.DUMMYFUNCTION("""COMPUTED_VALUE"""),"Aggravated Kidnapping")</f>
        <v>Aggravated Kidnapping</v>
      </c>
    </row>
    <row r="33">
      <c r="A33" s="7" t="s">
        <v>81</v>
      </c>
      <c r="B33" s="8" t="s">
        <v>82</v>
      </c>
      <c r="C33" s="8" t="s">
        <v>19</v>
      </c>
      <c r="D33" s="8" t="s">
        <v>19</v>
      </c>
      <c r="E33" s="8" t="s">
        <v>19</v>
      </c>
      <c r="F33" s="8" t="s">
        <v>20</v>
      </c>
      <c r="G33" s="8" t="s">
        <v>21</v>
      </c>
      <c r="H33" s="9"/>
      <c r="I33" s="9"/>
      <c r="J33" s="10">
        <f t="shared" ref="J33:M33" si="22">ifs(OR($H33="R",$I33="N"),"N/A",OR(C33="A",C33="B",C33="C",C33="U"),3,TRUE,"FLAG")</f>
        <v>3</v>
      </c>
      <c r="K33" s="10">
        <f t="shared" si="22"/>
        <v>3</v>
      </c>
      <c r="L33" s="10">
        <f t="shared" si="22"/>
        <v>3</v>
      </c>
      <c r="M33" s="10" t="str">
        <f t="shared" si="22"/>
        <v>FLAG</v>
      </c>
      <c r="N33" s="10" t="str">
        <f t="shared" si="2"/>
        <v>59-2120 - Adoption; Failure of professional providing services related to the placement of children to comply with the provisions of the interstate compact for the placement of children</v>
      </c>
      <c r="O33" s="10" t="str">
        <f t="shared" si="3"/>
        <v>Adoption</v>
      </c>
      <c r="Q33" s="10" t="str">
        <f>IFERROR(__xludf.DUMMYFUNCTION("""COMPUTED_VALUE"""),"Aggravated Robbery")</f>
        <v>Aggravated Robbery</v>
      </c>
    </row>
    <row r="34">
      <c r="A34" s="7" t="s">
        <v>83</v>
      </c>
      <c r="B34" s="8" t="s">
        <v>84</v>
      </c>
      <c r="C34" s="8" t="s">
        <v>28</v>
      </c>
      <c r="D34" s="8" t="s">
        <v>19</v>
      </c>
      <c r="E34" s="8" t="s">
        <v>19</v>
      </c>
      <c r="F34" s="8" t="s">
        <v>20</v>
      </c>
      <c r="G34" s="8" t="s">
        <v>21</v>
      </c>
      <c r="H34" s="9"/>
      <c r="I34" s="9"/>
      <c r="J34" s="10">
        <f t="shared" ref="J34:M34" si="23">ifs(OR($H34="R",$I34="N"),"N/A",OR(C34="A",C34="B",C34="C",C34="U"),3,TRUE,"FLAG")</f>
        <v>3</v>
      </c>
      <c r="K34" s="10">
        <f t="shared" si="23"/>
        <v>3</v>
      </c>
      <c r="L34" s="10">
        <f t="shared" si="23"/>
        <v>3</v>
      </c>
      <c r="M34" s="10" t="str">
        <f t="shared" si="23"/>
        <v>FLAG</v>
      </c>
      <c r="N34" s="10" t="str">
        <f t="shared" si="2"/>
        <v>59-2121(b) - Adoption; Knowingly failing to list all consideration or disbursements</v>
      </c>
      <c r="O34" s="10" t="str">
        <f t="shared" si="3"/>
        <v>Adoption</v>
      </c>
      <c r="Q34" s="10" t="str">
        <f>IFERROR(__xludf.DUMMYFUNCTION("""COMPUTED_VALUE"""),"Aggravated Sexual Battery")</f>
        <v>Aggravated Sexual Battery</v>
      </c>
    </row>
    <row r="35">
      <c r="A35" s="7" t="s">
        <v>85</v>
      </c>
      <c r="B35" s="8" t="s">
        <v>86</v>
      </c>
      <c r="C35" s="8" t="s">
        <v>18</v>
      </c>
      <c r="D35" s="8" t="s">
        <v>18</v>
      </c>
      <c r="E35" s="8" t="s">
        <v>19</v>
      </c>
      <c r="F35" s="8" t="s">
        <v>20</v>
      </c>
      <c r="G35" s="8" t="s">
        <v>21</v>
      </c>
      <c r="H35" s="9"/>
      <c r="I35" s="9"/>
      <c r="J35" s="10">
        <f t="shared" ref="J35:M35" si="24">ifs(OR($H35="R",$I35="N"),"N/A",OR(C35="A",C35="B",C35="C",C35="U"),3,TRUE,"FLAG")</f>
        <v>3</v>
      </c>
      <c r="K35" s="10">
        <f t="shared" si="24"/>
        <v>3</v>
      </c>
      <c r="L35" s="10">
        <f t="shared" si="24"/>
        <v>3</v>
      </c>
      <c r="M35" s="10" t="str">
        <f t="shared" si="24"/>
        <v>FLAG</v>
      </c>
      <c r="N35" s="10" t="str">
        <f t="shared" si="2"/>
        <v>59-2123(a)(2) - Adoption; Offer to adopt, find a home for or otherwise place a child as an inducement to a woman to come to such person's maternity center during pregnancy or after delivery</v>
      </c>
      <c r="O35" s="10" t="str">
        <f t="shared" si="3"/>
        <v>Adoption</v>
      </c>
      <c r="Q35" s="10" t="str">
        <f>IFERROR(__xludf.DUMMYFUNCTION("""COMPUTED_VALUE"""),"Aggravated Tampering with a Traffic Signal")</f>
        <v>Aggravated Tampering with a Traffic Signal</v>
      </c>
    </row>
    <row r="36">
      <c r="A36" s="7" t="s">
        <v>87</v>
      </c>
      <c r="B36" s="8" t="s">
        <v>88</v>
      </c>
      <c r="C36" s="8" t="s">
        <v>18</v>
      </c>
      <c r="D36" s="8" t="s">
        <v>18</v>
      </c>
      <c r="E36" s="8" t="s">
        <v>19</v>
      </c>
      <c r="F36" s="8" t="s">
        <v>20</v>
      </c>
      <c r="G36" s="8" t="s">
        <v>21</v>
      </c>
      <c r="H36" s="9"/>
      <c r="I36" s="9"/>
      <c r="J36" s="10">
        <f t="shared" ref="J36:M36" si="25">ifs(OR($H36="R",$I36="N"),"N/A",OR(C36="A",C36="B",C36="C",C36="U"),3,TRUE,"FLAG")</f>
        <v>3</v>
      </c>
      <c r="K36" s="10">
        <f t="shared" si="25"/>
        <v>3</v>
      </c>
      <c r="L36" s="10">
        <f t="shared" si="25"/>
        <v>3</v>
      </c>
      <c r="M36" s="10" t="str">
        <f t="shared" si="25"/>
        <v>FLAG</v>
      </c>
      <c r="N36" s="10" t="str">
        <f t="shared" si="2"/>
        <v>59-2123(a)(3) - Adoption; Offer to adopt, find a home for or otherwise place a child as an inducement to any parent, guardian or custodian of a child to place such child in such person's home, institution or establishment</v>
      </c>
      <c r="O36" s="10" t="str">
        <f t="shared" si="3"/>
        <v>Adoption</v>
      </c>
      <c r="Q36" s="10" t="str">
        <f>IFERROR(__xludf.DUMMYFUNCTION("""COMPUTED_VALUE"""),"Aggravated unlawful transmission of a visual depiction of a child")</f>
        <v>Aggravated unlawful transmission of a visual depiction of a child</v>
      </c>
    </row>
    <row r="37">
      <c r="A37" s="7" t="s">
        <v>89</v>
      </c>
      <c r="B37" s="8" t="s">
        <v>90</v>
      </c>
      <c r="C37" s="8">
        <v>9.0</v>
      </c>
      <c r="D37" s="8">
        <v>10.0</v>
      </c>
      <c r="E37" s="8">
        <v>10.0</v>
      </c>
      <c r="F37" s="8">
        <v>10.0</v>
      </c>
      <c r="G37" s="8" t="s">
        <v>21</v>
      </c>
      <c r="H37" s="9"/>
      <c r="I37" s="9"/>
      <c r="N37" s="10" t="str">
        <f t="shared" si="2"/>
        <v>59-2121(a) - Adoption; Receive or accept clearly excessive fees or expenses</v>
      </c>
      <c r="O37" s="10" t="str">
        <f t="shared" si="3"/>
        <v>Adoption</v>
      </c>
      <c r="Q37" s="10" t="str">
        <f>IFERROR(__xludf.DUMMYFUNCTION("""COMPUTED_VALUE"""),"Aggravated Weapons Violation by a Convicted Felon")</f>
        <v>Aggravated Weapons Violation by a Convicted Felon</v>
      </c>
    </row>
    <row r="38">
      <c r="A38" s="7" t="s">
        <v>91</v>
      </c>
      <c r="B38" s="8" t="s">
        <v>92</v>
      </c>
      <c r="C38" s="8" t="s">
        <v>18</v>
      </c>
      <c r="D38" s="8" t="s">
        <v>18</v>
      </c>
      <c r="E38" s="8" t="s">
        <v>19</v>
      </c>
      <c r="F38" s="8" t="s">
        <v>20</v>
      </c>
      <c r="G38" s="8" t="s">
        <v>21</v>
      </c>
      <c r="H38" s="9"/>
      <c r="I38" s="9"/>
      <c r="J38" s="10">
        <f t="shared" ref="J38:M38" si="26">ifs(OR($H38="R",$I38="N"),"N/A",OR(C38="A",C38="B",C38="C",C38="U"),3,TRUE,"FLAG")</f>
        <v>3</v>
      </c>
      <c r="K38" s="10">
        <f t="shared" si="26"/>
        <v>3</v>
      </c>
      <c r="L38" s="10">
        <f t="shared" si="26"/>
        <v>3</v>
      </c>
      <c r="M38" s="10" t="str">
        <f t="shared" si="26"/>
        <v>FLAG</v>
      </c>
      <c r="N38" s="10" t="str">
        <f t="shared" si="2"/>
        <v>39-939(b) - Adult Care Home Licensure Act; Abuse, neglect, or cruel treatment of any resident</v>
      </c>
      <c r="O38" s="10" t="str">
        <f t="shared" si="3"/>
        <v>Adult Care Home Licensure Act</v>
      </c>
      <c r="Q38" s="10" t="str">
        <f>IFERROR(__xludf.DUMMYFUNCTION("""COMPUTED_VALUE"""),"Agricultural Chemical Act of 1947")</f>
        <v>Agricultural Chemical Act of 1947</v>
      </c>
    </row>
    <row r="39">
      <c r="A39" s="7" t="s">
        <v>93</v>
      </c>
      <c r="B39" s="8" t="s">
        <v>94</v>
      </c>
      <c r="C39" s="8" t="s">
        <v>18</v>
      </c>
      <c r="D39" s="8" t="s">
        <v>18</v>
      </c>
      <c r="E39" s="8" t="s">
        <v>19</v>
      </c>
      <c r="F39" s="8" t="s">
        <v>20</v>
      </c>
      <c r="G39" s="8" t="s">
        <v>21</v>
      </c>
      <c r="H39" s="9"/>
      <c r="I39" s="9"/>
      <c r="J39" s="10">
        <f t="shared" ref="J39:M39" si="27">ifs(OR($H39="R",$I39="N"),"N/A",OR(C39="A",C39="B",C39="C",C39="U"),3,TRUE,"FLAG")</f>
        <v>3</v>
      </c>
      <c r="K39" s="10">
        <f t="shared" si="27"/>
        <v>3</v>
      </c>
      <c r="L39" s="10">
        <f t="shared" si="27"/>
        <v>3</v>
      </c>
      <c r="M39" s="10" t="str">
        <f t="shared" si="27"/>
        <v>FLAG</v>
      </c>
      <c r="N39" s="10" t="str">
        <f t="shared" si="2"/>
        <v>39-939(c) - Adult Care Home Licensure Act; Admit to resident status, any person who is known to suffer from any disease or condition for which the home is not authorized to provide care</v>
      </c>
      <c r="O39" s="10" t="str">
        <f t="shared" si="3"/>
        <v>Adult Care Home Licensure Act</v>
      </c>
      <c r="Q39" s="10" t="str">
        <f>IFERROR(__xludf.DUMMYFUNCTION("""COMPUTED_VALUE"""),"Agricultural Corporations")</f>
        <v>Agricultural Corporations</v>
      </c>
    </row>
    <row r="40">
      <c r="A40" s="7" t="s">
        <v>95</v>
      </c>
      <c r="B40" s="8" t="s">
        <v>96</v>
      </c>
      <c r="C40" s="8" t="s">
        <v>18</v>
      </c>
      <c r="D40" s="8" t="s">
        <v>18</v>
      </c>
      <c r="E40" s="8" t="s">
        <v>19</v>
      </c>
      <c r="F40" s="8" t="s">
        <v>20</v>
      </c>
      <c r="G40" s="8" t="s">
        <v>21</v>
      </c>
      <c r="H40" s="9"/>
      <c r="I40" s="9"/>
      <c r="J40" s="10">
        <f t="shared" ref="J40:M40" si="28">ifs(OR($H40="R",$I40="N"),"N/A",OR(C40="A",C40="B",C40="C",C40="U"),3,TRUE,"FLAG")</f>
        <v>3</v>
      </c>
      <c r="K40" s="10">
        <f t="shared" si="28"/>
        <v>3</v>
      </c>
      <c r="L40" s="10">
        <f t="shared" si="28"/>
        <v>3</v>
      </c>
      <c r="M40" s="10" t="str">
        <f t="shared" si="28"/>
        <v>FLAG</v>
      </c>
      <c r="N40" s="10" t="str">
        <f t="shared" si="2"/>
        <v>39-939(a) - Adult Care Home Licensure Act; House, care for or permit any resident to stay in any unapproved room, area, or detached building</v>
      </c>
      <c r="O40" s="10" t="str">
        <f t="shared" si="3"/>
        <v>Adult Care Home Licensure Act</v>
      </c>
      <c r="Q40" s="10" t="str">
        <f>IFERROR(__xludf.DUMMYFUNCTION("""COMPUTED_VALUE"""),"Agricultural Liming Materials Act")</f>
        <v>Agricultural Liming Materials Act</v>
      </c>
    </row>
    <row r="41">
      <c r="A41" s="7" t="s">
        <v>97</v>
      </c>
      <c r="B41" s="8" t="s">
        <v>98</v>
      </c>
      <c r="C41" s="8" t="s">
        <v>18</v>
      </c>
      <c r="D41" s="8" t="s">
        <v>18</v>
      </c>
      <c r="E41" s="8" t="s">
        <v>19</v>
      </c>
      <c r="F41" s="8" t="s">
        <v>20</v>
      </c>
      <c r="G41" s="8" t="s">
        <v>21</v>
      </c>
      <c r="H41" s="9"/>
      <c r="I41" s="9"/>
      <c r="J41" s="10">
        <f t="shared" ref="J41:M41" si="29">ifs(OR($H41="R",$I41="N"),"N/A",OR(C41="A",C41="B",C41="C",C41="U"),3,TRUE,"FLAG")</f>
        <v>3</v>
      </c>
      <c r="K41" s="10">
        <f t="shared" si="29"/>
        <v>3</v>
      </c>
      <c r="L41" s="10">
        <f t="shared" si="29"/>
        <v>3</v>
      </c>
      <c r="M41" s="10" t="str">
        <f t="shared" si="29"/>
        <v>FLAG</v>
      </c>
      <c r="N41" s="10" t="str">
        <f t="shared" si="2"/>
        <v>39-940(b)(3) - Adult Care Home Licensure Act; Knowingly file false or incomplete records or reports</v>
      </c>
      <c r="O41" s="10" t="str">
        <f t="shared" si="3"/>
        <v>Adult Care Home Licensure Act</v>
      </c>
      <c r="Q41" s="10" t="str">
        <f>IFERROR(__xludf.DUMMYFUNCTION("""COMPUTED_VALUE"""),"Agricultural Seeds")</f>
        <v>Agricultural Seeds</v>
      </c>
    </row>
    <row r="42">
      <c r="A42" s="7" t="s">
        <v>99</v>
      </c>
      <c r="B42" s="8" t="s">
        <v>100</v>
      </c>
      <c r="C42" s="8" t="s">
        <v>18</v>
      </c>
      <c r="D42" s="8" t="s">
        <v>18</v>
      </c>
      <c r="E42" s="8" t="s">
        <v>19</v>
      </c>
      <c r="F42" s="8" t="s">
        <v>20</v>
      </c>
      <c r="G42" s="8" t="s">
        <v>21</v>
      </c>
      <c r="H42" s="9"/>
      <c r="I42" s="9"/>
      <c r="J42" s="10">
        <f t="shared" ref="J42:M42" si="30">ifs(OR($H42="R",$I42="N"),"N/A",OR(C42="A",C42="B",C42="C",C42="U"),3,TRUE,"FLAG")</f>
        <v>3</v>
      </c>
      <c r="K42" s="10">
        <f t="shared" si="30"/>
        <v>3</v>
      </c>
      <c r="L42" s="10">
        <f t="shared" si="30"/>
        <v>3</v>
      </c>
      <c r="M42" s="10" t="str">
        <f t="shared" si="30"/>
        <v>FLAG</v>
      </c>
      <c r="N42" s="10" t="str">
        <f t="shared" si="2"/>
        <v>39-940(b)(1) - Adult Care Home Licensure Act; Make false entries in forms for application, reports, records or inspections</v>
      </c>
      <c r="O42" s="10" t="str">
        <f t="shared" si="3"/>
        <v>Adult Care Home Licensure Act</v>
      </c>
      <c r="Q42" s="10" t="str">
        <f>IFERROR(__xludf.DUMMYFUNCTION("""COMPUTED_VALUE"""),"Aiding an Escape")</f>
        <v>Aiding an Escape</v>
      </c>
    </row>
    <row r="43">
      <c r="A43" s="7" t="s">
        <v>101</v>
      </c>
      <c r="B43" s="8" t="s">
        <v>102</v>
      </c>
      <c r="C43" s="8" t="s">
        <v>18</v>
      </c>
      <c r="D43" s="8" t="s">
        <v>18</v>
      </c>
      <c r="E43" s="8" t="s">
        <v>19</v>
      </c>
      <c r="F43" s="8" t="s">
        <v>20</v>
      </c>
      <c r="G43" s="8" t="s">
        <v>21</v>
      </c>
      <c r="H43" s="9"/>
      <c r="I43" s="9"/>
      <c r="J43" s="10">
        <f t="shared" ref="J43:M43" si="31">ifs(OR($H43="R",$I43="N"),"N/A",OR(C43="A",C43="B",C43="C",C43="U"),3,TRUE,"FLAG")</f>
        <v>3</v>
      </c>
      <c r="K43" s="10">
        <f t="shared" si="31"/>
        <v>3</v>
      </c>
      <c r="L43" s="10">
        <f t="shared" si="31"/>
        <v>3</v>
      </c>
      <c r="M43" s="10" t="str">
        <f t="shared" si="31"/>
        <v>FLAG</v>
      </c>
      <c r="N43" s="10" t="str">
        <f t="shared" si="2"/>
        <v>39-940(b)(2) - Adult Care Home Licensure Act; Omit information required or make false report concerning adult care home</v>
      </c>
      <c r="O43" s="10" t="str">
        <f t="shared" si="3"/>
        <v>Adult Care Home Licensure Act</v>
      </c>
      <c r="Q43" s="10" t="str">
        <f>IFERROR(__xludf.DUMMYFUNCTION("""COMPUTED_VALUE"""),"AIDS &amp; Hepatitis B")</f>
        <v>AIDS &amp; Hepatitis B</v>
      </c>
    </row>
    <row r="44">
      <c r="A44" s="7" t="s">
        <v>103</v>
      </c>
      <c r="B44" s="8" t="s">
        <v>104</v>
      </c>
      <c r="C44" s="8" t="s">
        <v>18</v>
      </c>
      <c r="D44" s="8" t="s">
        <v>18</v>
      </c>
      <c r="E44" s="8" t="s">
        <v>19</v>
      </c>
      <c r="F44" s="8" t="s">
        <v>20</v>
      </c>
      <c r="G44" s="8" t="s">
        <v>21</v>
      </c>
      <c r="H44" s="9"/>
      <c r="I44" s="9"/>
      <c r="J44" s="10">
        <f t="shared" ref="J44:M44" si="32">ifs(OR($H44="R",$I44="N"),"N/A",OR(C44="A",C44="B",C44="C",C44="U"),3,TRUE,"FLAG")</f>
        <v>3</v>
      </c>
      <c r="K44" s="10">
        <f t="shared" si="32"/>
        <v>3</v>
      </c>
      <c r="L44" s="10">
        <f t="shared" si="32"/>
        <v>3</v>
      </c>
      <c r="M44" s="10" t="str">
        <f t="shared" si="32"/>
        <v>FLAG</v>
      </c>
      <c r="N44" s="10" t="str">
        <f t="shared" si="2"/>
        <v>39-970(f)(5) - Adult Care Home Licensure Act; Unauthorized disclosure of criminal history record</v>
      </c>
      <c r="O44" s="10" t="str">
        <f t="shared" si="3"/>
        <v>Adult Care Home Licensure Act</v>
      </c>
      <c r="Q44" s="10" t="str">
        <f>IFERROR(__xludf.DUMMYFUNCTION("""COMPUTED_VALUE"""),"Air Quality Act")</f>
        <v>Air Quality Act</v>
      </c>
    </row>
    <row r="45">
      <c r="A45" s="7" t="s">
        <v>105</v>
      </c>
      <c r="B45" s="8" t="s">
        <v>106</v>
      </c>
      <c r="C45" s="8" t="s">
        <v>19</v>
      </c>
      <c r="D45" s="8" t="s">
        <v>19</v>
      </c>
      <c r="E45" s="8" t="s">
        <v>19</v>
      </c>
      <c r="F45" s="8" t="s">
        <v>20</v>
      </c>
      <c r="G45" s="8" t="s">
        <v>21</v>
      </c>
      <c r="H45" s="9"/>
      <c r="I45" s="9"/>
      <c r="J45" s="10">
        <f t="shared" ref="J45:M45" si="33">ifs(OR($H45="R",$I45="N"),"N/A",OR(C45="A",C45="B",C45="C",C45="U"),3,TRUE,"FLAG")</f>
        <v>3</v>
      </c>
      <c r="K45" s="10">
        <f t="shared" si="33"/>
        <v>3</v>
      </c>
      <c r="L45" s="10">
        <f t="shared" si="33"/>
        <v>3</v>
      </c>
      <c r="M45" s="10" t="str">
        <f t="shared" si="33"/>
        <v>FLAG</v>
      </c>
      <c r="N45" s="10" t="str">
        <f t="shared" si="2"/>
        <v>39-975(a) - Adult Care Homes; Representing a person as an operator without registration under the act</v>
      </c>
      <c r="O45" s="10" t="str">
        <f t="shared" si="3"/>
        <v>Adult Care Homes</v>
      </c>
      <c r="Q45" s="10" t="str">
        <f>IFERROR(__xludf.DUMMYFUNCTION("""COMPUTED_VALUE"""),"Aircraft &amp; Airfields")</f>
        <v>Aircraft &amp; Airfields</v>
      </c>
    </row>
    <row r="46">
      <c r="A46" s="7" t="s">
        <v>107</v>
      </c>
      <c r="B46" s="8" t="s">
        <v>108</v>
      </c>
      <c r="C46" s="8" t="s">
        <v>19</v>
      </c>
      <c r="D46" s="8" t="s">
        <v>19</v>
      </c>
      <c r="E46" s="8" t="s">
        <v>19</v>
      </c>
      <c r="F46" s="8" t="s">
        <v>20</v>
      </c>
      <c r="G46" s="8" t="s">
        <v>21</v>
      </c>
      <c r="H46" s="8" t="s">
        <v>109</v>
      </c>
      <c r="I46" s="9"/>
      <c r="J46" s="10" t="str">
        <f t="shared" ref="J46:M46" si="34">ifs(OR($H46="R",$I46="N"),"N/A",OR(C46="A",C46="B",C46="C",C46="U"),3,TRUE,"FLAG")</f>
        <v>N/A</v>
      </c>
      <c r="K46" s="10" t="str">
        <f t="shared" si="34"/>
        <v>N/A</v>
      </c>
      <c r="L46" s="10" t="str">
        <f t="shared" si="34"/>
        <v>N/A</v>
      </c>
      <c r="M46" s="10" t="str">
        <f t="shared" si="34"/>
        <v>N/A</v>
      </c>
      <c r="N46" s="10" t="str">
        <f t="shared" si="2"/>
        <v>21-5511(a)(1) - Adultery; Engaging in sexual intercourse or sodomy; when offender is married</v>
      </c>
      <c r="O46" s="10" t="str">
        <f t="shared" si="3"/>
        <v>Adultery</v>
      </c>
      <c r="Q46" s="10" t="str">
        <f>IFERROR(__xludf.DUMMYFUNCTION("""COMPUTED_VALUE"""),"Alcohol Without Liquid Machine")</f>
        <v>Alcohol Without Liquid Machine</v>
      </c>
    </row>
    <row r="47">
      <c r="A47" s="7" t="s">
        <v>110</v>
      </c>
      <c r="B47" s="8" t="s">
        <v>111</v>
      </c>
      <c r="C47" s="8" t="s">
        <v>19</v>
      </c>
      <c r="D47" s="8" t="s">
        <v>19</v>
      </c>
      <c r="E47" s="8" t="s">
        <v>19</v>
      </c>
      <c r="F47" s="8" t="s">
        <v>20</v>
      </c>
      <c r="G47" s="8" t="s">
        <v>21</v>
      </c>
      <c r="H47" s="8" t="s">
        <v>109</v>
      </c>
      <c r="I47" s="9"/>
      <c r="J47" s="10" t="str">
        <f t="shared" ref="J47:M47" si="35">ifs(OR($H47="R",$I47="N"),"N/A",OR(C47="A",C47="B",C47="C",C47="U"),3,TRUE,"FLAG")</f>
        <v>N/A</v>
      </c>
      <c r="K47" s="10" t="str">
        <f t="shared" si="35"/>
        <v>N/A</v>
      </c>
      <c r="L47" s="10" t="str">
        <f t="shared" si="35"/>
        <v>N/A</v>
      </c>
      <c r="M47" s="10" t="str">
        <f t="shared" si="35"/>
        <v>N/A</v>
      </c>
      <c r="N47" s="10" t="str">
        <f t="shared" si="2"/>
        <v>21-5511(a)(2) - Adultery; Engaging in sexual intercourse or sodomy; when offender is not married but knows other person is married</v>
      </c>
      <c r="O47" s="10" t="str">
        <f t="shared" si="3"/>
        <v>Adultery</v>
      </c>
      <c r="Q47" s="10" t="str">
        <f>IFERROR(__xludf.DUMMYFUNCTION("""COMPUTED_VALUE"""),"Alcoholism &amp; Intoxication Treatment")</f>
        <v>Alcoholism &amp; Intoxication Treatment</v>
      </c>
    </row>
    <row r="48">
      <c r="A48" s="7" t="s">
        <v>112</v>
      </c>
      <c r="B48" s="8" t="s">
        <v>113</v>
      </c>
      <c r="C48" s="8">
        <v>5.0</v>
      </c>
      <c r="D48" s="8">
        <v>7.0</v>
      </c>
      <c r="E48" s="8">
        <v>7.0</v>
      </c>
      <c r="F48" s="8">
        <v>8.0</v>
      </c>
      <c r="G48" s="8" t="s">
        <v>24</v>
      </c>
      <c r="H48" s="9"/>
      <c r="I48" s="9"/>
      <c r="N48" s="10" t="str">
        <f t="shared" si="2"/>
        <v>21-5605(b) - Aggravated Abandonment; Of a child less than 16 resulting in great bodily harm</v>
      </c>
      <c r="O48" s="10" t="str">
        <f t="shared" si="3"/>
        <v>Aggravated Abandonment</v>
      </c>
      <c r="Q48" s="10" t="str">
        <f>IFERROR(__xludf.DUMMYFUNCTION("""COMPUTED_VALUE"""),"Altering a Legislative Document")</f>
        <v>Altering a Legislative Document</v>
      </c>
    </row>
    <row r="49">
      <c r="A49" s="7" t="s">
        <v>114</v>
      </c>
      <c r="B49" s="8" t="s">
        <v>115</v>
      </c>
      <c r="C49" s="8">
        <v>3.0</v>
      </c>
      <c r="D49" s="8">
        <v>5.0</v>
      </c>
      <c r="E49" s="8">
        <v>5.0</v>
      </c>
      <c r="F49" s="8">
        <v>6.0</v>
      </c>
      <c r="G49" s="8" t="s">
        <v>24</v>
      </c>
      <c r="H49" s="9"/>
      <c r="I49" s="9"/>
      <c r="N49" s="10" t="str">
        <f t="shared" si="2"/>
        <v>21-5812(b)(2) - Aggravated Arson; Arson resulting in great bodily harm or disfigurement to a firefighter or law enforcement officer</v>
      </c>
      <c r="O49" s="10" t="str">
        <f t="shared" si="3"/>
        <v>Aggravated Arson</v>
      </c>
      <c r="Q49" s="10" t="str">
        <f>IFERROR(__xludf.DUMMYFUNCTION("""COMPUTED_VALUE"""),"Amusement Ride Inspection")</f>
        <v>Amusement Ride Inspection</v>
      </c>
    </row>
    <row r="50">
      <c r="A50" s="7" t="s">
        <v>116</v>
      </c>
      <c r="B50" s="8" t="s">
        <v>117</v>
      </c>
      <c r="C50" s="8">
        <v>6.0</v>
      </c>
      <c r="D50" s="8">
        <v>8.0</v>
      </c>
      <c r="E50" s="8">
        <v>8.0</v>
      </c>
      <c r="F50" s="8">
        <v>9.0</v>
      </c>
      <c r="G50" s="8" t="s">
        <v>24</v>
      </c>
      <c r="H50" s="9"/>
      <c r="I50" s="9"/>
      <c r="N50" s="10" t="str">
        <f t="shared" si="2"/>
        <v>21-5812(b)(1) - Aggravated Arson; Arson to building or property in which there is a human being; resulting in no substantial risk of bodily harm</v>
      </c>
      <c r="O50" s="10" t="str">
        <f t="shared" si="3"/>
        <v>Aggravated Arson</v>
      </c>
      <c r="Q50" s="10" t="str">
        <f>IFERROR(__xludf.DUMMYFUNCTION("""COMPUTED_VALUE"""),"Animals &amp; Nuisances")</f>
        <v>Animals &amp; Nuisances</v>
      </c>
    </row>
    <row r="51">
      <c r="A51" s="7" t="s">
        <v>118</v>
      </c>
      <c r="B51" s="8" t="s">
        <v>117</v>
      </c>
      <c r="C51" s="8">
        <v>3.0</v>
      </c>
      <c r="D51" s="8">
        <v>5.0</v>
      </c>
      <c r="E51" s="8">
        <v>5.0</v>
      </c>
      <c r="F51" s="8">
        <v>6.0</v>
      </c>
      <c r="G51" s="8" t="s">
        <v>24</v>
      </c>
      <c r="H51" s="9"/>
      <c r="I51" s="9"/>
      <c r="N51" s="10" t="str">
        <f t="shared" si="2"/>
        <v>21-5812(b)(1) - Aggravated Arson; Arson to building or property in which there is a human being; resulting in substantial risk of bodily harm</v>
      </c>
      <c r="O51" s="10" t="str">
        <f t="shared" si="3"/>
        <v>Aggravated Arson</v>
      </c>
      <c r="Q51" s="10" t="str">
        <f>IFERROR(__xludf.DUMMYFUNCTION("""COMPUTED_VALUE"""),"Antiquities Commission")</f>
        <v>Antiquities Commission</v>
      </c>
    </row>
    <row r="52">
      <c r="A52" s="7" t="s">
        <v>119</v>
      </c>
      <c r="B52" s="8" t="s">
        <v>120</v>
      </c>
      <c r="C52" s="8">
        <v>6.0</v>
      </c>
      <c r="D52" s="8">
        <v>8.0</v>
      </c>
      <c r="E52" s="8">
        <v>8.0</v>
      </c>
      <c r="F52" s="8">
        <v>9.0</v>
      </c>
      <c r="G52" s="8" t="s">
        <v>24</v>
      </c>
      <c r="H52" s="9"/>
      <c r="I52" s="9"/>
      <c r="N52" s="10" t="str">
        <f t="shared" si="2"/>
        <v>21-5412(d)(2) - Aggravated Assault; On a state, county, city, university or campus law enforcement officer while disguised in any manner designed to conceal identity</v>
      </c>
      <c r="O52" s="10" t="str">
        <f t="shared" si="3"/>
        <v>Aggravated Assault</v>
      </c>
      <c r="Q52" s="10" t="str">
        <f>IFERROR(__xludf.DUMMYFUNCTION("""COMPUTED_VALUE"""),"Appearance Bonds")</f>
        <v>Appearance Bonds</v>
      </c>
    </row>
    <row r="53">
      <c r="A53" s="7" t="s">
        <v>121</v>
      </c>
      <c r="B53" s="8" t="s">
        <v>122</v>
      </c>
      <c r="C53" s="8">
        <v>6.0</v>
      </c>
      <c r="D53" s="8">
        <v>8.0</v>
      </c>
      <c r="E53" s="8">
        <v>8.0</v>
      </c>
      <c r="F53" s="8">
        <v>9.0</v>
      </c>
      <c r="G53" s="8" t="s">
        <v>24</v>
      </c>
      <c r="H53" s="9"/>
      <c r="I53" s="9"/>
      <c r="N53" s="10" t="str">
        <f t="shared" si="2"/>
        <v>21-5412(d)(1) - Aggravated Assault; On a state, county, city, university or campus law enforcement officer with a deadly weapon</v>
      </c>
      <c r="O53" s="10" t="str">
        <f t="shared" si="3"/>
        <v>Aggravated Assault</v>
      </c>
      <c r="Q53" s="10" t="str">
        <f>IFERROR(__xludf.DUMMYFUNCTION("""COMPUTED_VALUE"""),"Appraisal Management Company Registration Act")</f>
        <v>Appraisal Management Company Registration Act</v>
      </c>
    </row>
    <row r="54">
      <c r="A54" s="7" t="s">
        <v>123</v>
      </c>
      <c r="B54" s="8" t="s">
        <v>124</v>
      </c>
      <c r="C54" s="8">
        <v>6.0</v>
      </c>
      <c r="D54" s="8">
        <v>8.0</v>
      </c>
      <c r="E54" s="8">
        <v>8.0</v>
      </c>
      <c r="F54" s="8">
        <v>9.0</v>
      </c>
      <c r="G54" s="8" t="s">
        <v>24</v>
      </c>
      <c r="H54" s="9"/>
      <c r="I54" s="9"/>
      <c r="N54" s="10" t="str">
        <f t="shared" si="2"/>
        <v>21-5412(d)(3) - Aggravated Assault; On a state, county, city, university or campus law enforcement officer with the intent to commit a felony</v>
      </c>
      <c r="O54" s="10" t="str">
        <f t="shared" si="3"/>
        <v>Aggravated Assault</v>
      </c>
      <c r="Q54" s="10" t="str">
        <f>IFERROR(__xludf.DUMMYFUNCTION("""COMPUTED_VALUE"""),"Army &amp; Air National Guard")</f>
        <v>Army &amp; Air National Guard</v>
      </c>
    </row>
    <row r="55">
      <c r="A55" s="7" t="s">
        <v>125</v>
      </c>
      <c r="B55" s="8" t="s">
        <v>126</v>
      </c>
      <c r="C55" s="8">
        <v>7.0</v>
      </c>
      <c r="D55" s="8">
        <v>9.0</v>
      </c>
      <c r="E55" s="8">
        <v>9.0</v>
      </c>
      <c r="F55" s="8">
        <v>10.0</v>
      </c>
      <c r="G55" s="8" t="s">
        <v>24</v>
      </c>
      <c r="H55" s="9"/>
      <c r="I55" s="9"/>
      <c r="N55" s="10" t="str">
        <f t="shared" si="2"/>
        <v>21-5412(b)(2) - Aggravated Assault; While disguised in any manner designed to conceal identity</v>
      </c>
      <c r="O55" s="10" t="str">
        <f t="shared" si="3"/>
        <v>Aggravated Assault</v>
      </c>
      <c r="Q55" s="10" t="str">
        <f>IFERROR(__xludf.DUMMYFUNCTION("""COMPUTED_VALUE"""),"Arson Reporting")</f>
        <v>Arson Reporting</v>
      </c>
    </row>
    <row r="56">
      <c r="A56" s="7" t="s">
        <v>127</v>
      </c>
      <c r="B56" s="8" t="s">
        <v>128</v>
      </c>
      <c r="C56" s="8">
        <v>7.0</v>
      </c>
      <c r="D56" s="8">
        <v>9.0</v>
      </c>
      <c r="E56" s="8">
        <v>9.0</v>
      </c>
      <c r="F56" s="8">
        <v>10.0</v>
      </c>
      <c r="G56" s="8" t="s">
        <v>24</v>
      </c>
      <c r="H56" s="9"/>
      <c r="I56" s="9"/>
      <c r="N56" s="10" t="str">
        <f t="shared" si="2"/>
        <v>21-5412(b)(1) - Aggravated Assault; With a deadly weapon</v>
      </c>
      <c r="O56" s="10" t="str">
        <f t="shared" si="3"/>
        <v>Aggravated Assault</v>
      </c>
      <c r="Q56" s="10" t="str">
        <f>IFERROR(__xludf.DUMMYFUNCTION("""COMPUTED_VALUE"""),"Arson")</f>
        <v>Arson</v>
      </c>
    </row>
    <row r="57">
      <c r="A57" s="7" t="s">
        <v>129</v>
      </c>
      <c r="B57" s="8" t="s">
        <v>130</v>
      </c>
      <c r="C57" s="8">
        <v>7.0</v>
      </c>
      <c r="D57" s="8">
        <v>9.0</v>
      </c>
      <c r="E57" s="8">
        <v>9.0</v>
      </c>
      <c r="F57" s="8">
        <v>10.0</v>
      </c>
      <c r="G57" s="8" t="s">
        <v>24</v>
      </c>
      <c r="H57" s="9"/>
      <c r="I57" s="9"/>
      <c r="N57" s="10" t="str">
        <f t="shared" si="2"/>
        <v>21-5412(b)(3) - Aggravated Assault; With intent to commit any felony</v>
      </c>
      <c r="O57" s="10" t="str">
        <f t="shared" si="3"/>
        <v>Aggravated Assault</v>
      </c>
      <c r="Q57" s="10" t="str">
        <f>IFERROR(__xludf.DUMMYFUNCTION("""COMPUTED_VALUE"""),"Asbestos Control")</f>
        <v>Asbestos Control</v>
      </c>
    </row>
    <row r="58">
      <c r="A58" s="7" t="s">
        <v>131</v>
      </c>
      <c r="B58" s="8" t="s">
        <v>132</v>
      </c>
      <c r="C58" s="8">
        <v>3.0</v>
      </c>
      <c r="D58" s="8">
        <v>5.0</v>
      </c>
      <c r="E58" s="8">
        <v>5.0</v>
      </c>
      <c r="F58" s="8">
        <v>6.0</v>
      </c>
      <c r="G58" s="8" t="s">
        <v>24</v>
      </c>
      <c r="H58" s="9"/>
      <c r="I58" s="8" t="s">
        <v>133</v>
      </c>
      <c r="J58" s="11">
        <v>5.0</v>
      </c>
      <c r="K58" s="11">
        <v>5.0</v>
      </c>
      <c r="L58" s="11">
        <v>5.0</v>
      </c>
      <c r="M58" s="11">
        <v>3.0</v>
      </c>
      <c r="N58" s="10" t="str">
        <f t="shared" si="2"/>
        <v>21-5413(d)(1)(D) - Aggravated Battery; Attorney while engaged in performance of duty</v>
      </c>
      <c r="O58" s="10" t="str">
        <f t="shared" si="3"/>
        <v>Aggravated Battery</v>
      </c>
      <c r="Q58" s="10" t="str">
        <f>IFERROR(__xludf.DUMMYFUNCTION("""COMPUTED_VALUE"""),"Assault of a Law Enforcement Officer")</f>
        <v>Assault of a Law Enforcement Officer</v>
      </c>
    </row>
    <row r="59">
      <c r="A59" s="7" t="s">
        <v>134</v>
      </c>
      <c r="B59" s="8" t="s">
        <v>135</v>
      </c>
      <c r="C59" s="8">
        <v>3.0</v>
      </c>
      <c r="D59" s="8">
        <v>5.0</v>
      </c>
      <c r="E59" s="8">
        <v>5.0</v>
      </c>
      <c r="F59" s="8">
        <v>6.0</v>
      </c>
      <c r="G59" s="8" t="s">
        <v>24</v>
      </c>
      <c r="H59" s="9"/>
      <c r="I59" s="8" t="s">
        <v>133</v>
      </c>
      <c r="J59" s="11">
        <v>5.0</v>
      </c>
      <c r="K59" s="11">
        <v>3.0</v>
      </c>
      <c r="L59" s="11">
        <v>3.0</v>
      </c>
      <c r="M59" s="11">
        <v>3.0</v>
      </c>
      <c r="N59" s="10" t="str">
        <f t="shared" si="2"/>
        <v>21-5413(d)(3)(B) - Aggravated Battery; Campus or university police officer; knowingly causing bodily harm with a motor vehicle</v>
      </c>
      <c r="O59" s="10" t="str">
        <f t="shared" si="3"/>
        <v>Aggravated Battery</v>
      </c>
      <c r="Q59" s="10" t="str">
        <f>IFERROR(__xludf.DUMMYFUNCTION("""COMPUTED_VALUE"""),"Assault")</f>
        <v>Assault</v>
      </c>
    </row>
    <row r="60">
      <c r="A60" s="7" t="s">
        <v>136</v>
      </c>
      <c r="B60" s="8" t="s">
        <v>137</v>
      </c>
      <c r="C60" s="8">
        <v>3.0</v>
      </c>
      <c r="D60" s="8">
        <v>5.0</v>
      </c>
      <c r="E60" s="8">
        <v>5.0</v>
      </c>
      <c r="F60" s="8">
        <v>6.0</v>
      </c>
      <c r="G60" s="8" t="s">
        <v>24</v>
      </c>
      <c r="H60" s="9"/>
      <c r="I60" s="8" t="s">
        <v>133</v>
      </c>
      <c r="J60" s="11">
        <v>5.0</v>
      </c>
      <c r="K60" s="11">
        <v>3.0</v>
      </c>
      <c r="L60" s="11">
        <v>3.0</v>
      </c>
      <c r="M60" s="11">
        <v>3.0</v>
      </c>
      <c r="N60" s="10" t="str">
        <f t="shared" si="2"/>
        <v>21-5413(d)(1)(B) - Aggravated Battery; Campus or university police officer; knowingly causing great bodily harm or disfigurement</v>
      </c>
      <c r="O60" s="10" t="str">
        <f t="shared" si="3"/>
        <v>Aggravated Battery</v>
      </c>
      <c r="Q60" s="10" t="str">
        <f>IFERROR(__xludf.DUMMYFUNCTION("""COMPUTED_VALUE"""),"Asset Seizure &amp; Forfeiture")</f>
        <v>Asset Seizure &amp; Forfeiture</v>
      </c>
    </row>
    <row r="61">
      <c r="A61" s="7" t="s">
        <v>138</v>
      </c>
      <c r="B61" s="8" t="s">
        <v>139</v>
      </c>
      <c r="C61" s="8">
        <v>3.0</v>
      </c>
      <c r="D61" s="8">
        <v>5.0</v>
      </c>
      <c r="E61" s="8">
        <v>5.0</v>
      </c>
      <c r="F61" s="8">
        <v>6.0</v>
      </c>
      <c r="G61" s="8" t="s">
        <v>24</v>
      </c>
      <c r="H61" s="9"/>
      <c r="I61" s="8" t="s">
        <v>133</v>
      </c>
      <c r="J61" s="11">
        <v>5.0</v>
      </c>
      <c r="K61" s="11">
        <v>5.0</v>
      </c>
      <c r="L61" s="11">
        <v>5.0</v>
      </c>
      <c r="M61" s="11">
        <v>3.0</v>
      </c>
      <c r="N61" s="10" t="str">
        <f t="shared" si="2"/>
        <v>21-5413(d)(1)(E) - Aggravated Battery; Community corrections or court services officer while engaged in performance of duty</v>
      </c>
      <c r="O61" s="10" t="str">
        <f t="shared" si="3"/>
        <v>Aggravated Battery</v>
      </c>
      <c r="Q61" s="10" t="str">
        <f>IFERROR(__xludf.DUMMYFUNCTION("""COMPUTED_VALUE"""),"Assisting Suicide")</f>
        <v>Assisting Suicide</v>
      </c>
    </row>
    <row r="62">
      <c r="A62" s="7" t="s">
        <v>140</v>
      </c>
      <c r="B62" s="8" t="s">
        <v>141</v>
      </c>
      <c r="C62" s="8">
        <v>3.0</v>
      </c>
      <c r="D62" s="8">
        <v>5.0</v>
      </c>
      <c r="E62" s="8">
        <v>5.0</v>
      </c>
      <c r="F62" s="8">
        <v>6.0</v>
      </c>
      <c r="G62" s="8" t="s">
        <v>24</v>
      </c>
      <c r="H62" s="9"/>
      <c r="I62" s="8" t="s">
        <v>133</v>
      </c>
      <c r="J62" s="11">
        <v>5.0</v>
      </c>
      <c r="K62" s="11">
        <v>5.0</v>
      </c>
      <c r="L62" s="11">
        <v>5.0</v>
      </c>
      <c r="M62" s="11">
        <v>3.0</v>
      </c>
      <c r="N62" s="10" t="str">
        <f t="shared" si="2"/>
        <v>21-5413(d)(1)(C) - Aggravated Battery; Judge while engaged in performance of duty</v>
      </c>
      <c r="O62" s="10" t="str">
        <f t="shared" si="3"/>
        <v>Aggravated Battery</v>
      </c>
      <c r="Q62" s="10" t="str">
        <f>IFERROR(__xludf.DUMMYFUNCTION("""COMPUTED_VALUE"""),"Athlete Agent Act")</f>
        <v>Athlete Agent Act</v>
      </c>
    </row>
    <row r="63">
      <c r="A63" s="7" t="s">
        <v>142</v>
      </c>
      <c r="B63" s="8" t="s">
        <v>143</v>
      </c>
      <c r="C63" s="8">
        <v>3.0</v>
      </c>
      <c r="D63" s="8">
        <v>5.0</v>
      </c>
      <c r="E63" s="8">
        <v>5.0</v>
      </c>
      <c r="F63" s="8">
        <v>6.0</v>
      </c>
      <c r="G63" s="8" t="s">
        <v>24</v>
      </c>
      <c r="H63" s="9"/>
      <c r="I63" s="8" t="s">
        <v>133</v>
      </c>
      <c r="J63" s="11">
        <v>3.0</v>
      </c>
      <c r="K63" s="11">
        <v>3.0</v>
      </c>
      <c r="L63" s="11">
        <v>3.0</v>
      </c>
      <c r="M63" s="11">
        <v>3.0</v>
      </c>
      <c r="N63" s="10" t="str">
        <f t="shared" si="2"/>
        <v>21-5413(d)(3)(A) - Aggravated Battery; State, county or city law enforcement officer; knowingly causing bodily harm with a motor vehicle</v>
      </c>
      <c r="O63" s="10" t="str">
        <f t="shared" si="3"/>
        <v>Aggravated Battery</v>
      </c>
      <c r="Q63" s="10" t="str">
        <f>IFERROR(__xludf.DUMMYFUNCTION("""COMPUTED_VALUE"""),"Athletic Trainers Licensure Act")</f>
        <v>Athletic Trainers Licensure Act</v>
      </c>
    </row>
    <row r="64">
      <c r="A64" s="7" t="s">
        <v>144</v>
      </c>
      <c r="B64" s="8" t="s">
        <v>145</v>
      </c>
      <c r="C64" s="8">
        <v>3.0</v>
      </c>
      <c r="D64" s="8">
        <v>5.0</v>
      </c>
      <c r="E64" s="8">
        <v>5.0</v>
      </c>
      <c r="F64" s="8">
        <v>6.0</v>
      </c>
      <c r="G64" s="8" t="s">
        <v>24</v>
      </c>
      <c r="H64" s="9"/>
      <c r="I64" s="8" t="s">
        <v>133</v>
      </c>
      <c r="J64" s="11">
        <v>5.0</v>
      </c>
      <c r="K64" s="11">
        <v>3.0</v>
      </c>
      <c r="L64" s="11">
        <v>3.0</v>
      </c>
      <c r="M64" s="11">
        <v>3.0</v>
      </c>
      <c r="N64" s="10" t="str">
        <f t="shared" si="2"/>
        <v>21-5413(d)(1)(A) - Aggravated Battery; State, county or city law enforcement officer; knowingly causing great bodily harm or disfigurement</v>
      </c>
      <c r="O64" s="10" t="str">
        <f t="shared" si="3"/>
        <v>Aggravated Battery</v>
      </c>
      <c r="Q64" s="10" t="str">
        <f>IFERROR(__xludf.DUMMYFUNCTION("""COMPUTED_VALUE"""),"Automobile Injury Reparations Act")</f>
        <v>Automobile Injury Reparations Act</v>
      </c>
    </row>
    <row r="65">
      <c r="A65" s="7" t="s">
        <v>131</v>
      </c>
      <c r="B65" s="8" t="s">
        <v>146</v>
      </c>
      <c r="C65" s="8">
        <v>4.0</v>
      </c>
      <c r="D65" s="8">
        <v>6.0</v>
      </c>
      <c r="E65" s="8">
        <v>6.0</v>
      </c>
      <c r="F65" s="8">
        <v>7.0</v>
      </c>
      <c r="G65" s="8" t="s">
        <v>24</v>
      </c>
      <c r="H65" s="9"/>
      <c r="I65" s="8" t="s">
        <v>133</v>
      </c>
      <c r="J65" s="11">
        <v>5.0</v>
      </c>
      <c r="K65" s="11">
        <v>5.0</v>
      </c>
      <c r="L65" s="11">
        <v>5.0</v>
      </c>
      <c r="M65" s="11">
        <v>3.0</v>
      </c>
      <c r="N65" s="10" t="str">
        <f t="shared" si="2"/>
        <v>21-5413(d)(2)(D) - Aggravated Battery; Attorney while engaged in performance of duty</v>
      </c>
      <c r="O65" s="10" t="str">
        <f t="shared" si="3"/>
        <v>Aggravated Battery</v>
      </c>
      <c r="Q65" s="10" t="str">
        <f>IFERROR(__xludf.DUMMYFUNCTION("""COMPUTED_VALUE"""),"Automobile Master Key Violation")</f>
        <v>Automobile Master Key Violation</v>
      </c>
    </row>
    <row r="66">
      <c r="A66" s="7" t="s">
        <v>147</v>
      </c>
      <c r="B66" s="8" t="s">
        <v>148</v>
      </c>
      <c r="C66" s="8">
        <v>4.0</v>
      </c>
      <c r="D66" s="8">
        <v>6.0</v>
      </c>
      <c r="E66" s="8">
        <v>6.0</v>
      </c>
      <c r="F66" s="8">
        <v>7.0</v>
      </c>
      <c r="G66" s="8" t="s">
        <v>24</v>
      </c>
      <c r="H66" s="9"/>
      <c r="I66" s="8" t="s">
        <v>133</v>
      </c>
      <c r="J66" s="11">
        <v>5.0</v>
      </c>
      <c r="K66" s="11">
        <v>3.0</v>
      </c>
      <c r="L66" s="11">
        <v>3.0</v>
      </c>
      <c r="M66" s="11">
        <v>3.0</v>
      </c>
      <c r="N66" s="10" t="str">
        <f t="shared" si="2"/>
        <v>21-5413(d)(2)(B) - Aggravated Battery; Campus or university police officer; knowingly causing bodily harm with a deadly weapon; physical contact done in a rude, insulting or angry manner, with a deadly weapon or in a manner whereby great bodily harm, disfigurement or death can be inflicted</v>
      </c>
      <c r="O66" s="10" t="str">
        <f t="shared" si="3"/>
        <v>Aggravated Battery</v>
      </c>
      <c r="Q66" s="10" t="str">
        <f>IFERROR(__xludf.DUMMYFUNCTION("""COMPUTED_VALUE"""),"Automobiles/Vehicles")</f>
        <v>Automobiles/Vehicles</v>
      </c>
    </row>
    <row r="67">
      <c r="A67" s="7" t="s">
        <v>138</v>
      </c>
      <c r="B67" s="8" t="s">
        <v>149</v>
      </c>
      <c r="C67" s="8">
        <v>4.0</v>
      </c>
      <c r="D67" s="8">
        <v>6.0</v>
      </c>
      <c r="E67" s="8">
        <v>6.0</v>
      </c>
      <c r="F67" s="8">
        <v>7.0</v>
      </c>
      <c r="G67" s="8" t="s">
        <v>24</v>
      </c>
      <c r="H67" s="9"/>
      <c r="I67" s="8" t="s">
        <v>133</v>
      </c>
      <c r="J67" s="11">
        <v>5.0</v>
      </c>
      <c r="K67" s="11">
        <v>5.0</v>
      </c>
      <c r="L67" s="11">
        <v>5.0</v>
      </c>
      <c r="M67" s="11">
        <v>3.0</v>
      </c>
      <c r="N67" s="10" t="str">
        <f t="shared" si="2"/>
        <v>21-5413(d)(2)(E) - Aggravated Battery; Community corrections or court services officer while engaged in performance of duty</v>
      </c>
      <c r="O67" s="10" t="str">
        <f t="shared" si="3"/>
        <v>Aggravated Battery</v>
      </c>
      <c r="Q67" s="10" t="str">
        <f>IFERROR(__xludf.DUMMYFUNCTION("""COMPUTED_VALUE"""),"Banking")</f>
        <v>Banking</v>
      </c>
    </row>
    <row r="68">
      <c r="A68" s="7" t="s">
        <v>140</v>
      </c>
      <c r="B68" s="8" t="s">
        <v>150</v>
      </c>
      <c r="C68" s="8">
        <v>4.0</v>
      </c>
      <c r="D68" s="8">
        <v>6.0</v>
      </c>
      <c r="E68" s="8">
        <v>6.0</v>
      </c>
      <c r="F68" s="8">
        <v>7.0</v>
      </c>
      <c r="G68" s="8" t="s">
        <v>24</v>
      </c>
      <c r="H68" s="9"/>
      <c r="I68" s="8" t="s">
        <v>133</v>
      </c>
      <c r="J68" s="11">
        <v>5.0</v>
      </c>
      <c r="K68" s="11">
        <v>3.0</v>
      </c>
      <c r="L68" s="11">
        <v>3.0</v>
      </c>
      <c r="M68" s="11">
        <v>3.0</v>
      </c>
      <c r="N68" s="10" t="str">
        <f t="shared" si="2"/>
        <v>21-5413(d)(2)(C) - Aggravated Battery; Judge while engaged in performance of duty</v>
      </c>
      <c r="O68" s="10" t="str">
        <f t="shared" si="3"/>
        <v>Aggravated Battery</v>
      </c>
      <c r="Q68" s="10" t="str">
        <f>IFERROR(__xludf.DUMMYFUNCTION("""COMPUTED_VALUE"""),"Barberry Eradication")</f>
        <v>Barberry Eradication</v>
      </c>
    </row>
    <row r="69">
      <c r="A69" s="7" t="s">
        <v>151</v>
      </c>
      <c r="B69" s="8" t="s">
        <v>152</v>
      </c>
      <c r="C69" s="8">
        <v>4.0</v>
      </c>
      <c r="D69" s="8">
        <v>6.0</v>
      </c>
      <c r="E69" s="8">
        <v>6.0</v>
      </c>
      <c r="F69" s="8">
        <v>7.0</v>
      </c>
      <c r="G69" s="8" t="s">
        <v>24</v>
      </c>
      <c r="H69" s="9"/>
      <c r="I69" s="8" t="s">
        <v>133</v>
      </c>
      <c r="J69" s="11">
        <v>3.0</v>
      </c>
      <c r="K69" s="11">
        <v>3.0</v>
      </c>
      <c r="L69" s="11">
        <v>3.0</v>
      </c>
      <c r="M69" s="11">
        <v>3.0</v>
      </c>
      <c r="N69" s="10" t="str">
        <f t="shared" si="2"/>
        <v>21-5413(b)(1)(A) - Aggravated Battery; Knowingly causing great bodily harm or disfigurement</v>
      </c>
      <c r="O69" s="10" t="str">
        <f t="shared" si="3"/>
        <v>Aggravated Battery</v>
      </c>
      <c r="Q69" s="10" t="str">
        <f>IFERROR(__xludf.DUMMYFUNCTION("""COMPUTED_VALUE"""),"Barbers")</f>
        <v>Barbers</v>
      </c>
    </row>
    <row r="70">
      <c r="A70" s="7" t="s">
        <v>153</v>
      </c>
      <c r="B70" s="8" t="s">
        <v>154</v>
      </c>
      <c r="C70" s="8">
        <v>4.0</v>
      </c>
      <c r="D70" s="8">
        <v>6.0</v>
      </c>
      <c r="E70" s="8">
        <v>6.0</v>
      </c>
      <c r="F70" s="8">
        <v>7.0</v>
      </c>
      <c r="G70" s="8" t="s">
        <v>24</v>
      </c>
      <c r="H70" s="9"/>
      <c r="I70" s="8" t="s">
        <v>133</v>
      </c>
      <c r="J70" s="11">
        <v>5.0</v>
      </c>
      <c r="K70" s="11">
        <v>3.0</v>
      </c>
      <c r="L70" s="11">
        <v>3.0</v>
      </c>
      <c r="M70" s="11">
        <v>3.0</v>
      </c>
      <c r="N70" s="10" t="str">
        <f t="shared" si="2"/>
        <v>21-5413(d)(2)(A) - Aggravated Battery; State, county or city law enforcement officer; knowingly causing bodily harm with a deadly weapon; physical contact done in a rude, insulting or angry manner, with a deadly weapon or in a manner whereby great bodily harm, disfigurement or death can be inflicted</v>
      </c>
      <c r="O70" s="10" t="str">
        <f t="shared" si="3"/>
        <v>Aggravated Battery</v>
      </c>
      <c r="Q70" s="10" t="str">
        <f>IFERROR(__xludf.DUMMYFUNCTION("""COMPUTED_VALUE"""),"Battery")</f>
        <v>Battery</v>
      </c>
    </row>
    <row r="71">
      <c r="A71" s="7" t="s">
        <v>155</v>
      </c>
      <c r="B71" s="8" t="s">
        <v>156</v>
      </c>
      <c r="C71" s="8">
        <v>5.0</v>
      </c>
      <c r="D71" s="8">
        <v>7.0</v>
      </c>
      <c r="E71" s="8">
        <v>7.0</v>
      </c>
      <c r="F71" s="8">
        <v>8.0</v>
      </c>
      <c r="G71" s="8" t="s">
        <v>24</v>
      </c>
      <c r="H71" s="9"/>
      <c r="I71" s="8" t="s">
        <v>133</v>
      </c>
      <c r="J71" s="11">
        <v>3.0</v>
      </c>
      <c r="K71" s="11">
        <v>3.0</v>
      </c>
      <c r="L71" s="11">
        <v>3.0</v>
      </c>
      <c r="M71" s="11">
        <v>3.0</v>
      </c>
      <c r="N71" s="10" t="str">
        <f t="shared" si="2"/>
        <v>21-5413(b)(3)(A) - Aggravated Battery; Committing an act described in K.S.A. 8-1567 (DUI) when great bodily harm or disfigurement results</v>
      </c>
      <c r="O71" s="10" t="str">
        <f t="shared" si="3"/>
        <v>Aggravated Battery</v>
      </c>
      <c r="Q71" s="10" t="str">
        <f>IFERROR(__xludf.DUMMYFUNCTION("""COMPUTED_VALUE"""),"Bigamy")</f>
        <v>Bigamy</v>
      </c>
    </row>
    <row r="72">
      <c r="A72" s="7" t="s">
        <v>157</v>
      </c>
      <c r="B72" s="8" t="s">
        <v>158</v>
      </c>
      <c r="C72" s="8">
        <v>5.0</v>
      </c>
      <c r="D72" s="8">
        <v>7.0</v>
      </c>
      <c r="E72" s="8">
        <v>7.0</v>
      </c>
      <c r="F72" s="8">
        <v>8.0</v>
      </c>
      <c r="G72" s="8" t="s">
        <v>24</v>
      </c>
      <c r="H72" s="9"/>
      <c r="I72" s="8" t="s">
        <v>133</v>
      </c>
      <c r="J72" s="11">
        <v>3.0</v>
      </c>
      <c r="K72" s="11">
        <v>3.0</v>
      </c>
      <c r="L72" s="11">
        <v>3.0</v>
      </c>
      <c r="M72" s="11">
        <v>3.0</v>
      </c>
      <c r="N72" s="10" t="str">
        <f t="shared" si="2"/>
        <v>21-5413(b)(2)(A) - Aggravated Battery; Recklessly causing great bodily harm or disfigurement</v>
      </c>
      <c r="O72" s="10" t="str">
        <f t="shared" si="3"/>
        <v>Aggravated Battery</v>
      </c>
      <c r="Q72" s="10" t="str">
        <f>IFERROR(__xludf.DUMMYFUNCTION("""COMPUTED_VALUE"""),"Blackmail")</f>
        <v>Blackmail</v>
      </c>
    </row>
    <row r="73">
      <c r="A73" s="7" t="s">
        <v>159</v>
      </c>
      <c r="B73" s="8" t="s">
        <v>160</v>
      </c>
      <c r="C73" s="8">
        <v>7.0</v>
      </c>
      <c r="D73" s="8">
        <v>9.0</v>
      </c>
      <c r="E73" s="8">
        <v>9.0</v>
      </c>
      <c r="F73" s="8">
        <v>10.0</v>
      </c>
      <c r="G73" s="8" t="s">
        <v>24</v>
      </c>
      <c r="H73" s="9"/>
      <c r="I73" s="8" t="s">
        <v>133</v>
      </c>
      <c r="J73" s="11">
        <v>5.0</v>
      </c>
      <c r="K73" s="11">
        <v>3.0</v>
      </c>
      <c r="L73" s="11">
        <v>3.0</v>
      </c>
      <c r="M73" s="11">
        <v>3.0</v>
      </c>
      <c r="N73" s="10" t="str">
        <f t="shared" si="2"/>
        <v>21-5413(b)(1)(B) - Aggravated Battery; Knowingly causing bodily harm to another with a deadly weapon, or in a manner whereby great bodily harm, disfigurement or death can be inflicted</v>
      </c>
      <c r="O73" s="10" t="str">
        <f t="shared" si="3"/>
        <v>Aggravated Battery</v>
      </c>
      <c r="Q73" s="10" t="str">
        <f>IFERROR(__xludf.DUMMYFUNCTION("""COMPUTED_VALUE"""),"Board of Examiners In Fitting &amp; Dispensing of Hearing Aids")</f>
        <v>Board of Examiners In Fitting &amp; Dispensing of Hearing Aids</v>
      </c>
    </row>
    <row r="74">
      <c r="A74" s="7" t="s">
        <v>161</v>
      </c>
      <c r="B74" s="8" t="s">
        <v>162</v>
      </c>
      <c r="C74" s="8">
        <v>7.0</v>
      </c>
      <c r="D74" s="8">
        <v>9.0</v>
      </c>
      <c r="E74" s="8">
        <v>9.0</v>
      </c>
      <c r="F74" s="8">
        <v>10.0</v>
      </c>
      <c r="G74" s="8" t="s">
        <v>24</v>
      </c>
      <c r="H74" s="9"/>
      <c r="I74" s="8" t="s">
        <v>133</v>
      </c>
      <c r="J74" s="11">
        <v>5.0</v>
      </c>
      <c r="K74" s="11">
        <v>3.0</v>
      </c>
      <c r="L74" s="11">
        <v>3.0</v>
      </c>
      <c r="M74" s="11">
        <v>3.0</v>
      </c>
      <c r="N74" s="10" t="str">
        <f t="shared" si="2"/>
        <v>21-5413(b)(1)(C) - Aggravated Battery; Knowingly causing physical contact when done in a rude, insulting or angry manner with a deadly weapon, or in a manner whereby great bodily harm, disfigurement or death can be inflicted</v>
      </c>
      <c r="O74" s="10" t="str">
        <f t="shared" si="3"/>
        <v>Aggravated Battery</v>
      </c>
      <c r="Q74" s="10" t="str">
        <f>IFERROR(__xludf.DUMMYFUNCTION("""COMPUTED_VALUE"""),"Boating")</f>
        <v>Boating</v>
      </c>
    </row>
    <row r="75">
      <c r="A75" s="7" t="s">
        <v>163</v>
      </c>
      <c r="B75" s="8" t="s">
        <v>164</v>
      </c>
      <c r="C75" s="8">
        <v>8.0</v>
      </c>
      <c r="D75" s="8">
        <v>10.0</v>
      </c>
      <c r="E75" s="8">
        <v>10.0</v>
      </c>
      <c r="F75" s="8">
        <v>10.0</v>
      </c>
      <c r="G75" s="8" t="s">
        <v>24</v>
      </c>
      <c r="H75" s="9"/>
      <c r="I75" s="8" t="s">
        <v>133</v>
      </c>
      <c r="J75" s="11">
        <v>5.0</v>
      </c>
      <c r="K75" s="11">
        <v>5.0</v>
      </c>
      <c r="L75" s="11">
        <v>5.0</v>
      </c>
      <c r="M75" s="11">
        <v>3.0</v>
      </c>
      <c r="N75" s="10" t="str">
        <f t="shared" si="2"/>
        <v>21-5413(b)(3)(B) - Aggravated Battery; Committing an act described in K.S.A. 8-1567 (DUI) when bodily harm results and great bodily harm, disfigurement or death can result</v>
      </c>
      <c r="O75" s="10" t="str">
        <f t="shared" si="3"/>
        <v>Aggravated Battery</v>
      </c>
      <c r="Q75" s="10" t="str">
        <f>IFERROR(__xludf.DUMMYFUNCTION("""COMPUTED_VALUE"""),"Bonds &amp; Warrants")</f>
        <v>Bonds &amp; Warrants</v>
      </c>
    </row>
    <row r="76">
      <c r="A76" s="7" t="s">
        <v>165</v>
      </c>
      <c r="B76" s="8" t="s">
        <v>166</v>
      </c>
      <c r="C76" s="8">
        <v>8.0</v>
      </c>
      <c r="D76" s="8">
        <v>10.0</v>
      </c>
      <c r="E76" s="8">
        <v>10.0</v>
      </c>
      <c r="F76" s="8">
        <v>10.0</v>
      </c>
      <c r="G76" s="8" t="s">
        <v>24</v>
      </c>
      <c r="H76" s="9"/>
      <c r="I76" s="8" t="s">
        <v>133</v>
      </c>
      <c r="J76" s="11">
        <v>5.0</v>
      </c>
      <c r="K76" s="11">
        <v>5.0</v>
      </c>
      <c r="L76" s="11">
        <v>5.0</v>
      </c>
      <c r="M76" s="11">
        <v>3.0</v>
      </c>
      <c r="N76" s="10" t="str">
        <f t="shared" si="2"/>
        <v>21-5413(b)(2)(B) - Aggravated Battery; Recklessly causing bodily harm to another with a deadly weapon, or in a manner whereby great bodily harm, disfigurement or death can be inflicted</v>
      </c>
      <c r="O76" s="10" t="str">
        <f t="shared" si="3"/>
        <v>Aggravated Battery</v>
      </c>
      <c r="Q76" s="10" t="str">
        <f>IFERROR(__xludf.DUMMYFUNCTION("""COMPUTED_VALUE"""),"Breach of Privacy")</f>
        <v>Breach of Privacy</v>
      </c>
    </row>
    <row r="77">
      <c r="A77" s="7" t="s">
        <v>167</v>
      </c>
      <c r="B77" s="8" t="s">
        <v>168</v>
      </c>
      <c r="C77" s="8">
        <v>5.0</v>
      </c>
      <c r="D77" s="8">
        <v>7.0</v>
      </c>
      <c r="E77" s="8">
        <v>7.0</v>
      </c>
      <c r="F77" s="8">
        <v>8.0</v>
      </c>
      <c r="G77" s="8" t="s">
        <v>24</v>
      </c>
      <c r="H77" s="9"/>
      <c r="I77" s="9"/>
      <c r="N77" s="10" t="str">
        <f t="shared" si="2"/>
        <v>21-5807(b)(3) - Aggravated Burglary; Without authority, enter a vehicle, aircraft, watercraft, railroad car or other means of conveyance in which there is a human being with intent to commit a felony, theft or sexually motivated crime therein</v>
      </c>
      <c r="O77" s="10" t="str">
        <f t="shared" si="3"/>
        <v>Aggravated Burglary</v>
      </c>
      <c r="Q77" s="10" t="str">
        <f>IFERROR(__xludf.DUMMYFUNCTION("""COMPUTED_VALUE"""),"Bribery")</f>
        <v>Bribery</v>
      </c>
    </row>
    <row r="78">
      <c r="A78" s="7" t="s">
        <v>169</v>
      </c>
      <c r="B78" s="8" t="s">
        <v>170</v>
      </c>
      <c r="C78" s="8">
        <v>5.0</v>
      </c>
      <c r="D78" s="8">
        <v>7.0</v>
      </c>
      <c r="E78" s="8">
        <v>7.0</v>
      </c>
      <c r="F78" s="8">
        <v>8.0</v>
      </c>
      <c r="G78" s="8" t="s">
        <v>24</v>
      </c>
      <c r="H78" s="9"/>
      <c r="I78" s="9"/>
      <c r="N78" s="10" t="str">
        <f t="shared" si="2"/>
        <v>21-5807(b)(2) - Aggravated Burglary; Without authority, enter into or remain within any building, or other structure which is not a dwelling in which there is a human being, with intent to commit a felony, theft or sexually motivated crime therein</v>
      </c>
      <c r="O78" s="10" t="str">
        <f t="shared" si="3"/>
        <v>Aggravated Burglary</v>
      </c>
      <c r="Q78" s="10" t="str">
        <f>IFERROR(__xludf.DUMMYFUNCTION("""COMPUTED_VALUE"""),"BUI")</f>
        <v>BUI</v>
      </c>
    </row>
    <row r="79">
      <c r="A79" s="7" t="s">
        <v>171</v>
      </c>
      <c r="B79" s="8" t="s">
        <v>172</v>
      </c>
      <c r="C79" s="8">
        <v>4.0</v>
      </c>
      <c r="D79" s="8">
        <v>6.0</v>
      </c>
      <c r="E79" s="8">
        <v>6.0</v>
      </c>
      <c r="F79" s="8">
        <v>7.0</v>
      </c>
      <c r="G79" s="8" t="s">
        <v>24</v>
      </c>
      <c r="H79" s="9"/>
      <c r="I79" s="9"/>
      <c r="N79" s="10" t="str">
        <f t="shared" si="2"/>
        <v>21-5807(b)(1) - Aggravated Burglary; Without authority, enter into or remain within any dwelling in which there is a human being, with intent to commit a felony, theft or sexually motivated crime therein</v>
      </c>
      <c r="O79" s="10" t="str">
        <f t="shared" si="3"/>
        <v>Aggravated Burglary</v>
      </c>
      <c r="Q79" s="10" t="str">
        <f>IFERROR(__xludf.DUMMYFUNCTION("""COMPUTED_VALUE"""),"Burglary")</f>
        <v>Burglary</v>
      </c>
    </row>
    <row r="80">
      <c r="A80" s="7" t="s">
        <v>173</v>
      </c>
      <c r="B80" s="8" t="s">
        <v>174</v>
      </c>
      <c r="C80" s="8">
        <v>3.0</v>
      </c>
      <c r="D80" s="8">
        <v>8.0</v>
      </c>
      <c r="E80" s="8">
        <v>8.0</v>
      </c>
      <c r="F80" s="8">
        <v>9.0</v>
      </c>
      <c r="G80" s="8" t="s">
        <v>21</v>
      </c>
      <c r="H80" s="9"/>
      <c r="I80" s="9"/>
      <c r="N80" s="10" t="str">
        <f t="shared" si="2"/>
        <v>21-5813(b) - Aggravated Criminal Damage to Property; By means other than fire or explosive; Knowingly damage, deface, destroy, or substantially impair the use of any property without consent; value or amount of damage exceeds $5,000, committed with intent to obtain scrap metal</v>
      </c>
      <c r="O80" s="10" t="str">
        <f t="shared" si="3"/>
        <v>Aggravated Criminal Damage to Property</v>
      </c>
      <c r="Q80" s="10" t="str">
        <f>IFERROR(__xludf.DUMMYFUNCTION("""COMPUTED_VALUE"""),"Business Crimes")</f>
        <v>Business Crimes</v>
      </c>
    </row>
    <row r="81">
      <c r="A81" s="7" t="s">
        <v>175</v>
      </c>
      <c r="B81" s="8" t="s">
        <v>176</v>
      </c>
      <c r="C81" s="8">
        <v>1.0</v>
      </c>
      <c r="D81" s="8">
        <v>3.0</v>
      </c>
      <c r="E81" s="8">
        <v>3.0</v>
      </c>
      <c r="F81" s="8">
        <v>4.0</v>
      </c>
      <c r="G81" s="8" t="s">
        <v>24</v>
      </c>
      <c r="H81" s="8" t="s">
        <v>109</v>
      </c>
      <c r="I81" s="8" t="s">
        <v>54</v>
      </c>
      <c r="N81" s="10" t="str">
        <f t="shared" si="2"/>
        <v>21-5504(b)(2) - Aggravated Criminal Sodomy; Causing child under 14 to engage in sodomy with person or animal; offender less than 18</v>
      </c>
      <c r="O81" s="10" t="str">
        <f t="shared" si="3"/>
        <v>Aggravated Criminal Sodomy</v>
      </c>
      <c r="Q81" s="10" t="str">
        <f>IFERROR(__xludf.DUMMYFUNCTION("""COMPUTED_VALUE"""),"Buying Sexual Relations")</f>
        <v>Buying Sexual Relations</v>
      </c>
    </row>
    <row r="82">
      <c r="A82" s="7" t="s">
        <v>177</v>
      </c>
      <c r="B82" s="8" t="s">
        <v>176</v>
      </c>
      <c r="C82" s="8" t="s">
        <v>178</v>
      </c>
      <c r="D82" s="8" t="s">
        <v>179</v>
      </c>
      <c r="E82" s="8" t="s">
        <v>179</v>
      </c>
      <c r="F82" s="8" t="s">
        <v>179</v>
      </c>
      <c r="G82" s="8" t="s">
        <v>24</v>
      </c>
      <c r="H82" s="8" t="s">
        <v>109</v>
      </c>
      <c r="I82" s="8" t="s">
        <v>54</v>
      </c>
      <c r="N82" s="10" t="str">
        <f t="shared" si="2"/>
        <v>21-5504(b)(2) - Aggravated Criminal Sodomy; Commit, attempt, conspire or solicit to commit; Cause child under 14 to engage in sodomy with person or animal; offender 18 or older</v>
      </c>
      <c r="O82" s="10" t="str">
        <f t="shared" si="3"/>
        <v>Aggravated Criminal Sodomy</v>
      </c>
      <c r="Q82" s="10" t="str">
        <f>IFERROR(__xludf.DUMMYFUNCTION("""COMPUTED_VALUE"""),"Capital Murder")</f>
        <v>Capital Murder</v>
      </c>
    </row>
    <row r="83">
      <c r="A83" s="7" t="s">
        <v>180</v>
      </c>
      <c r="B83" s="8" t="s">
        <v>181</v>
      </c>
      <c r="C83" s="8" t="s">
        <v>178</v>
      </c>
      <c r="D83" s="8" t="s">
        <v>179</v>
      </c>
      <c r="E83" s="8" t="s">
        <v>179</v>
      </c>
      <c r="F83" s="8" t="s">
        <v>179</v>
      </c>
      <c r="G83" s="8" t="s">
        <v>24</v>
      </c>
      <c r="H83" s="8" t="s">
        <v>109</v>
      </c>
      <c r="I83" s="8" t="s">
        <v>54</v>
      </c>
      <c r="N83" s="10" t="str">
        <f t="shared" si="2"/>
        <v>21-5504(b)(1) - Aggravated Criminal Sodomy; Commit, attempt, conspire or solicit to commit; With child under 14; offender 18 or older</v>
      </c>
      <c r="O83" s="10" t="str">
        <f t="shared" si="3"/>
        <v>Aggravated Criminal Sodomy</v>
      </c>
      <c r="Q83" s="10" t="str">
        <f>IFERROR(__xludf.DUMMYFUNCTION("""COMPUTED_VALUE"""),"Care &amp; Treatment")</f>
        <v>Care &amp; Treatment</v>
      </c>
    </row>
    <row r="84">
      <c r="A84" s="7" t="s">
        <v>182</v>
      </c>
      <c r="B84" s="8" t="s">
        <v>181</v>
      </c>
      <c r="C84" s="8">
        <v>1.0</v>
      </c>
      <c r="D84" s="8">
        <v>3.0</v>
      </c>
      <c r="E84" s="8">
        <v>3.0</v>
      </c>
      <c r="F84" s="8">
        <v>4.0</v>
      </c>
      <c r="G84" s="8" t="s">
        <v>24</v>
      </c>
      <c r="H84" s="8" t="s">
        <v>109</v>
      </c>
      <c r="I84" s="8" t="s">
        <v>54</v>
      </c>
      <c r="N84" s="10" t="str">
        <f t="shared" si="2"/>
        <v>21-5504(b)(1) - Aggravated Criminal Sodomy; Committed with child under 14; offender less than 18</v>
      </c>
      <c r="O84" s="10" t="str">
        <f t="shared" si="3"/>
        <v>Aggravated Criminal Sodomy</v>
      </c>
      <c r="Q84" s="10" t="str">
        <f>IFERROR(__xludf.DUMMYFUNCTION("""COMPUTED_VALUE"""),"Carrying Concealed Explosives or Detonating Substance")</f>
        <v>Carrying Concealed Explosives or Detonating Substance</v>
      </c>
    </row>
    <row r="85">
      <c r="A85" s="7" t="s">
        <v>183</v>
      </c>
      <c r="B85" s="8" t="s">
        <v>184</v>
      </c>
      <c r="C85" s="8">
        <v>1.0</v>
      </c>
      <c r="D85" s="8">
        <v>3.0</v>
      </c>
      <c r="E85" s="8">
        <v>3.0</v>
      </c>
      <c r="F85" s="8">
        <v>4.0</v>
      </c>
      <c r="G85" s="8" t="s">
        <v>24</v>
      </c>
      <c r="H85" s="8" t="s">
        <v>109</v>
      </c>
      <c r="I85" s="8" t="s">
        <v>54</v>
      </c>
      <c r="N85" s="10" t="str">
        <f t="shared" si="2"/>
        <v>21-5504(b)(3)(A) - Aggravated Criminal Sodomy; Nonconsensual; victim overcome by force or fear</v>
      </c>
      <c r="O85" s="10" t="str">
        <f t="shared" si="3"/>
        <v>Aggravated Criminal Sodomy</v>
      </c>
      <c r="Q85" s="10" t="str">
        <f>IFERROR(__xludf.DUMMYFUNCTION("""COMPUTED_VALUE"""),"Causing Unlawful Prosecution for Worthless Check")</f>
        <v>Causing Unlawful Prosecution for Worthless Check</v>
      </c>
    </row>
    <row r="86">
      <c r="A86" s="7" t="s">
        <v>185</v>
      </c>
      <c r="B86" s="8" t="s">
        <v>186</v>
      </c>
      <c r="C86" s="8">
        <v>1.0</v>
      </c>
      <c r="D86" s="8">
        <v>3.0</v>
      </c>
      <c r="E86" s="8">
        <v>3.0</v>
      </c>
      <c r="F86" s="8">
        <v>4.0</v>
      </c>
      <c r="G86" s="8" t="s">
        <v>24</v>
      </c>
      <c r="H86" s="8" t="s">
        <v>109</v>
      </c>
      <c r="I86" s="8" t="s">
        <v>54</v>
      </c>
      <c r="N86" s="10" t="str">
        <f t="shared" si="2"/>
        <v>21-5504(b)(3)(B) - Aggravated Criminal Sodomy; Nonconsensual; victim unconscious or physically powerless</v>
      </c>
      <c r="O86" s="10" t="str">
        <f t="shared" si="3"/>
        <v>Aggravated Criminal Sodomy</v>
      </c>
      <c r="Q86" s="10" t="str">
        <f>IFERROR(__xludf.DUMMYFUNCTION("""COMPUTED_VALUE"""),"Cemetery Corporations")</f>
        <v>Cemetery Corporations</v>
      </c>
    </row>
    <row r="87">
      <c r="A87" s="7" t="s">
        <v>187</v>
      </c>
      <c r="B87" s="8" t="s">
        <v>188</v>
      </c>
      <c r="C87" s="8">
        <v>1.0</v>
      </c>
      <c r="D87" s="8">
        <v>3.0</v>
      </c>
      <c r="E87" s="8">
        <v>3.0</v>
      </c>
      <c r="F87" s="8">
        <v>4.0</v>
      </c>
      <c r="G87" s="8" t="s">
        <v>24</v>
      </c>
      <c r="H87" s="8" t="s">
        <v>109</v>
      </c>
      <c r="I87" s="8" t="s">
        <v>54</v>
      </c>
      <c r="N87" s="10" t="str">
        <f t="shared" si="2"/>
        <v>21-5504(b)(3)(C) - Aggravated Criminal Sodomy; Victim incapable of consent due to mental deficiency or disease, or apparently under the effects of alcoholic liquor, narcotic, drug or other substance</v>
      </c>
      <c r="O87" s="10" t="str">
        <f t="shared" si="3"/>
        <v>Aggravated Criminal Sodomy</v>
      </c>
      <c r="Q87" s="10" t="str">
        <f>IFERROR(__xludf.DUMMYFUNCTION("""COMPUTED_VALUE"""),"Census")</f>
        <v>Census</v>
      </c>
    </row>
    <row r="88">
      <c r="A88" s="7" t="s">
        <v>189</v>
      </c>
      <c r="B88" s="8" t="s">
        <v>190</v>
      </c>
      <c r="C88" s="8">
        <v>5.0</v>
      </c>
      <c r="D88" s="8">
        <v>7.0</v>
      </c>
      <c r="E88" s="8">
        <v>7.0</v>
      </c>
      <c r="F88" s="8">
        <v>8.0</v>
      </c>
      <c r="G88" s="8" t="s">
        <v>24</v>
      </c>
      <c r="H88" s="9"/>
      <c r="I88" s="9"/>
      <c r="N88" s="10" t="str">
        <f t="shared" si="2"/>
        <v>21-5415(b) - Aggravated Criminal Threat; When public, commercial or industrial building, place of assembly or facility of transportation is evacuated, locked down or disrupted as to regular, ongoing activities as result of threat</v>
      </c>
      <c r="O88" s="10" t="str">
        <f t="shared" si="3"/>
        <v>Aggravated Criminal Threat</v>
      </c>
      <c r="Q88" s="10" t="str">
        <f>IFERROR(__xludf.DUMMYFUNCTION("""COMPUTED_VALUE"""),"Cereal Malt Beverages")</f>
        <v>Cereal Malt Beverages</v>
      </c>
    </row>
    <row r="89">
      <c r="A89" s="7" t="s">
        <v>191</v>
      </c>
      <c r="B89" s="8" t="s">
        <v>192</v>
      </c>
      <c r="C89" s="8">
        <v>9.0</v>
      </c>
      <c r="D89" s="8">
        <v>10.0</v>
      </c>
      <c r="E89" s="8">
        <v>10.0</v>
      </c>
      <c r="F89" s="8">
        <v>10.0</v>
      </c>
      <c r="G89" s="8" t="s">
        <v>24</v>
      </c>
      <c r="H89" s="9"/>
      <c r="I89" s="8" t="s">
        <v>54</v>
      </c>
      <c r="N89" s="10" t="str">
        <f t="shared" si="2"/>
        <v>21-5601(b)(3) - Aggravated Endangering a Child; Cause or permit a child to be in an environment where drug paraphernalia or volatile, toxic or flammable chemicals are stored for manufacturing methamphetamine</v>
      </c>
      <c r="O89" s="10" t="str">
        <f t="shared" si="3"/>
        <v>Aggravated Endangering a Child</v>
      </c>
      <c r="Q89" s="10" t="str">
        <f>IFERROR(__xludf.DUMMYFUNCTION("""COMPUTED_VALUE"""),"Certification of Operators of Water Supply Systems &amp; Wastewater Treatment Facilities")</f>
        <v>Certification of Operators of Water Supply Systems &amp; Wastewater Treatment Facilities</v>
      </c>
    </row>
    <row r="90">
      <c r="A90" s="7" t="s">
        <v>193</v>
      </c>
      <c r="B90" s="8" t="s">
        <v>194</v>
      </c>
      <c r="C90" s="8">
        <v>9.0</v>
      </c>
      <c r="D90" s="8">
        <v>10.0</v>
      </c>
      <c r="E90" s="8">
        <v>10.0</v>
      </c>
      <c r="F90" s="8">
        <v>10.0</v>
      </c>
      <c r="G90" s="8" t="s">
        <v>24</v>
      </c>
      <c r="H90" s="9"/>
      <c r="I90" s="8" t="s">
        <v>54</v>
      </c>
      <c r="N90" s="10" t="str">
        <f t="shared" si="2"/>
        <v>21-5601(b)(2) - Aggravated Endangering a Child; Cause or permit a child to be in an environment where methamphetamine is distributed or possessed with intent to distribute, manufactured or attempted to be manufactured</v>
      </c>
      <c r="O90" s="10" t="str">
        <f t="shared" si="3"/>
        <v>Aggravated Endangering a Child</v>
      </c>
      <c r="Q90" s="10" t="str">
        <f>IFERROR(__xludf.DUMMYFUNCTION("""COMPUTED_VALUE"""),"Chemigation Safety Law")</f>
        <v>Chemigation Safety Law</v>
      </c>
    </row>
    <row r="91">
      <c r="A91" s="7" t="s">
        <v>195</v>
      </c>
      <c r="B91" s="8" t="s">
        <v>196</v>
      </c>
      <c r="C91" s="8">
        <v>9.0</v>
      </c>
      <c r="D91" s="8">
        <v>10.0</v>
      </c>
      <c r="E91" s="8">
        <v>10.0</v>
      </c>
      <c r="F91" s="8">
        <v>10.0</v>
      </c>
      <c r="G91" s="8" t="s">
        <v>24</v>
      </c>
      <c r="H91" s="9"/>
      <c r="I91" s="8" t="s">
        <v>54</v>
      </c>
      <c r="N91" s="10" t="str">
        <f t="shared" si="2"/>
        <v>21-5601(b)(1) - Aggravated Endangering a Child; Recklessly cause or permit a child under 18 to be in a situation where the child's life, body or health is endangered</v>
      </c>
      <c r="O91" s="10" t="str">
        <f t="shared" si="3"/>
        <v>Aggravated Endangering a Child</v>
      </c>
      <c r="Q91" s="10" t="str">
        <f>IFERROR(__xludf.DUMMYFUNCTION("""COMPUTED_VALUE"""),"Child Labor")</f>
        <v>Child Labor</v>
      </c>
    </row>
    <row r="92">
      <c r="A92" s="7" t="s">
        <v>197</v>
      </c>
      <c r="B92" s="8" t="s">
        <v>198</v>
      </c>
      <c r="C92" s="8">
        <v>3.0</v>
      </c>
      <c r="D92" s="8">
        <v>5.0</v>
      </c>
      <c r="E92" s="8">
        <v>5.0</v>
      </c>
      <c r="F92" s="8">
        <v>6.0</v>
      </c>
      <c r="G92" s="8" t="s">
        <v>21</v>
      </c>
      <c r="H92" s="9"/>
      <c r="I92" s="9"/>
      <c r="N92" s="10" t="str">
        <f t="shared" si="2"/>
        <v>21-6317(b)(1) - Aggravated Endangering the Food Supply; Knowingly endangering with intent to cause damage to plants or animals or economic harm or social unrest</v>
      </c>
      <c r="O92" s="10" t="str">
        <f t="shared" si="3"/>
        <v>Aggravated Endangering the Food Supply</v>
      </c>
      <c r="Q92" s="10" t="str">
        <f>IFERROR(__xludf.DUMMYFUNCTION("""COMPUTED_VALUE"""),"Child Rape Protection Act")</f>
        <v>Child Rape Protection Act</v>
      </c>
    </row>
    <row r="93">
      <c r="A93" s="7" t="s">
        <v>199</v>
      </c>
      <c r="B93" s="8" t="s">
        <v>200</v>
      </c>
      <c r="C93" s="8">
        <v>3.0</v>
      </c>
      <c r="D93" s="8">
        <v>5.0</v>
      </c>
      <c r="E93" s="8">
        <v>5.0</v>
      </c>
      <c r="F93" s="8">
        <v>6.0</v>
      </c>
      <c r="G93" s="8" t="s">
        <v>24</v>
      </c>
      <c r="H93" s="9"/>
      <c r="I93" s="9"/>
      <c r="N93" s="10" t="str">
        <f t="shared" si="2"/>
        <v>21-6317(b)(2) - Aggravated Endangering the Food Supply; Knowingly endangering with intent to cause illness or injury or death to human being(s)</v>
      </c>
      <c r="O93" s="10" t="str">
        <f t="shared" si="3"/>
        <v>Aggravated Endangering the Food Supply</v>
      </c>
      <c r="Q93" s="10" t="str">
        <f>IFERROR(__xludf.DUMMYFUNCTION("""COMPUTED_VALUE"""),"Cigarettes &amp; Tobacco Products")</f>
        <v>Cigarettes &amp; Tobacco Products</v>
      </c>
    </row>
    <row r="94">
      <c r="A94" s="7" t="s">
        <v>201</v>
      </c>
      <c r="B94" s="8" t="s">
        <v>202</v>
      </c>
      <c r="C94" s="8">
        <v>6.0</v>
      </c>
      <c r="D94" s="8">
        <v>8.0</v>
      </c>
      <c r="E94" s="8">
        <v>8.0</v>
      </c>
      <c r="F94" s="8">
        <v>9.0</v>
      </c>
      <c r="G94" s="8" t="s">
        <v>24</v>
      </c>
      <c r="H94" s="9"/>
      <c r="I94" s="9"/>
      <c r="N94" s="10" t="str">
        <f t="shared" si="2"/>
        <v>21-5911(b)(2)(F) - Aggravated Escape From Custody; By use of or threat of violence against any person while held by a person 18 or over who is being held on charge or adjudication of a misdemeanor or felony</v>
      </c>
      <c r="O94" s="10" t="str">
        <f t="shared" si="3"/>
        <v>Aggravated Escape From Custody</v>
      </c>
      <c r="Q94" s="10" t="str">
        <f>IFERROR(__xludf.DUMMYFUNCTION("""COMPUTED_VALUE"""),"N")</f>
        <v>N</v>
      </c>
    </row>
    <row r="95">
      <c r="A95" s="7" t="s">
        <v>203</v>
      </c>
      <c r="B95" s="8" t="s">
        <v>204</v>
      </c>
      <c r="C95" s="8">
        <v>5.0</v>
      </c>
      <c r="D95" s="8">
        <v>7.0</v>
      </c>
      <c r="E95" s="8">
        <v>7.0</v>
      </c>
      <c r="F95" s="8">
        <v>8.0</v>
      </c>
      <c r="G95" s="8" t="s">
        <v>24</v>
      </c>
      <c r="H95" s="9"/>
      <c r="I95" s="9"/>
      <c r="N95" s="10" t="str">
        <f t="shared" si="2"/>
        <v>21-5911(b)(2)(B) - Aggravated Escape From Custody; By use of or threat of violence against any person while held on a charge or adjudication as a juvenile offender where act, if committed by adult, would be a felony</v>
      </c>
      <c r="O95" s="10" t="str">
        <f t="shared" si="3"/>
        <v>Aggravated Escape From Custody</v>
      </c>
      <c r="Q95" s="10" t="str">
        <f>IFERROR(__xludf.DUMMYFUNCTION("""COMPUTED_VALUE"""),"Cities &amp; Municipalities")</f>
        <v>Cities &amp; Municipalities</v>
      </c>
    </row>
    <row r="96">
      <c r="A96" s="7" t="s">
        <v>205</v>
      </c>
      <c r="B96" s="8" t="s">
        <v>206</v>
      </c>
      <c r="C96" s="8">
        <v>6.0</v>
      </c>
      <c r="D96" s="8">
        <v>8.0</v>
      </c>
      <c r="E96" s="8">
        <v>8.0</v>
      </c>
      <c r="F96" s="8">
        <v>9.0</v>
      </c>
      <c r="G96" s="8" t="s">
        <v>24</v>
      </c>
      <c r="H96" s="9"/>
      <c r="I96" s="9"/>
      <c r="N96" s="10" t="str">
        <f t="shared" si="2"/>
        <v>21-5911(b)(2)(A) - Aggravated Escape From Custody; By use of or threat of violence against any person while held on a charge or conviction of any crime</v>
      </c>
      <c r="O96" s="10" t="str">
        <f t="shared" si="3"/>
        <v>Aggravated Escape From Custody</v>
      </c>
      <c r="Q96" s="10" t="str">
        <f>IFERROR(__xludf.DUMMYFUNCTION("""COMPUTED_VALUE"""),"Cities of the First Class")</f>
        <v>Cities of the First Class</v>
      </c>
    </row>
    <row r="97">
      <c r="A97" s="7" t="s">
        <v>207</v>
      </c>
      <c r="B97" s="8" t="s">
        <v>208</v>
      </c>
      <c r="C97" s="8">
        <v>6.0</v>
      </c>
      <c r="D97" s="8">
        <v>8.0</v>
      </c>
      <c r="E97" s="8">
        <v>8.0</v>
      </c>
      <c r="F97" s="8">
        <v>9.0</v>
      </c>
      <c r="G97" s="8" t="s">
        <v>24</v>
      </c>
      <c r="H97" s="9"/>
      <c r="I97" s="9"/>
      <c r="N97" s="10" t="str">
        <f t="shared" si="2"/>
        <v>21-5911(b)(2)(C) - Aggravated Escape From Custody; By use of or threat of violence against any person while held prior to or upon a finding of probable cause for evaluation as a sexually violent predator</v>
      </c>
      <c r="O97" s="10" t="str">
        <f t="shared" si="3"/>
        <v>Aggravated Escape From Custody</v>
      </c>
      <c r="Q97" s="10" t="str">
        <f>IFERROR(__xludf.DUMMYFUNCTION("""COMPUTED_VALUE"""),"Cities of the Third Class")</f>
        <v>Cities of the Third Class</v>
      </c>
    </row>
    <row r="98">
      <c r="A98" s="7" t="s">
        <v>209</v>
      </c>
      <c r="B98" s="8" t="s">
        <v>210</v>
      </c>
      <c r="C98" s="8">
        <v>6.0</v>
      </c>
      <c r="D98" s="8">
        <v>8.0</v>
      </c>
      <c r="E98" s="8">
        <v>8.0</v>
      </c>
      <c r="F98" s="8">
        <v>9.0</v>
      </c>
      <c r="G98" s="8" t="s">
        <v>24</v>
      </c>
      <c r="H98" s="9"/>
      <c r="I98" s="9"/>
      <c r="N98" s="10" t="str">
        <f t="shared" si="2"/>
        <v>21-5911(b)(2)(E) - Aggravated Escape From Custody; By use of or threat of violence against any person while held upon a commitment to the state security hospital</v>
      </c>
      <c r="O98" s="10" t="str">
        <f t="shared" si="3"/>
        <v>Aggravated Escape From Custody</v>
      </c>
      <c r="Q98" s="10" t="str">
        <f>IFERROR(__xludf.DUMMYFUNCTION("""COMPUTED_VALUE"""),"Club/Drinking Establishment Act")</f>
        <v>Club/Drinking Establishment Act</v>
      </c>
    </row>
    <row r="99">
      <c r="A99" s="7" t="s">
        <v>211</v>
      </c>
      <c r="B99" s="8" t="s">
        <v>212</v>
      </c>
      <c r="C99" s="8">
        <v>6.0</v>
      </c>
      <c r="D99" s="8">
        <v>8.0</v>
      </c>
      <c r="E99" s="8">
        <v>8.0</v>
      </c>
      <c r="F99" s="8">
        <v>9.0</v>
      </c>
      <c r="G99" s="8" t="s">
        <v>24</v>
      </c>
      <c r="H99" s="9"/>
      <c r="I99" s="9"/>
      <c r="N99" s="10" t="str">
        <f t="shared" si="2"/>
        <v>21-5911(b)(2)(D) - Aggravated Escape From Custody; By use of or threat of violence against any person while held upon commitment to a treatment facility as a sexually violent predator</v>
      </c>
      <c r="O99" s="10" t="str">
        <f t="shared" si="3"/>
        <v>Aggravated Escape From Custody</v>
      </c>
      <c r="Q99" s="10" t="str">
        <f>IFERROR(__xludf.DUMMYFUNCTION("""COMPUTED_VALUE"""),"Cockfighting")</f>
        <v>Cockfighting</v>
      </c>
    </row>
    <row r="100">
      <c r="A100" s="7" t="s">
        <v>213</v>
      </c>
      <c r="B100" s="8" t="s">
        <v>214</v>
      </c>
      <c r="C100" s="8">
        <v>5.0</v>
      </c>
      <c r="D100" s="8">
        <v>7.0</v>
      </c>
      <c r="E100" s="8">
        <v>7.0</v>
      </c>
      <c r="F100" s="8">
        <v>8.0</v>
      </c>
      <c r="G100" s="8" t="s">
        <v>24</v>
      </c>
      <c r="H100" s="9"/>
      <c r="I100" s="9"/>
      <c r="N100" s="10" t="str">
        <f t="shared" si="2"/>
        <v>21-5911(b)(2)(G) - Aggravated Escape From Custody; By use of or threat of violence against any person while held upon incarceration at a state correctional institution in the custody of secretary of corrections</v>
      </c>
      <c r="O100" s="10" t="str">
        <f t="shared" si="3"/>
        <v>Aggravated Escape From Custody</v>
      </c>
      <c r="Q100" s="10" t="str">
        <f>IFERROR(__xludf.DUMMYFUNCTION("""COMPUTED_VALUE"""),"Code for Care of Children")</f>
        <v>Code for Care of Children</v>
      </c>
    </row>
    <row r="101">
      <c r="A101" s="7" t="s">
        <v>215</v>
      </c>
      <c r="B101" s="8" t="s">
        <v>216</v>
      </c>
      <c r="C101" s="8">
        <v>8.0</v>
      </c>
      <c r="D101" s="8">
        <v>10.0</v>
      </c>
      <c r="E101" s="8">
        <v>10.0</v>
      </c>
      <c r="F101" s="8">
        <v>10.0</v>
      </c>
      <c r="G101" s="8" t="s">
        <v>21</v>
      </c>
      <c r="H101" s="9"/>
      <c r="I101" s="9"/>
      <c r="N101" s="10" t="str">
        <f t="shared" si="2"/>
        <v>21-5911(b)(1)(F) - Aggravated Escape From Custody; While held in custody by a person 18 or over who is being held on an adjudication of a felony</v>
      </c>
      <c r="O101" s="10" t="str">
        <f t="shared" si="3"/>
        <v>Aggravated Escape From Custody</v>
      </c>
      <c r="Q101" s="10" t="str">
        <f>IFERROR(__xludf.DUMMYFUNCTION("""COMPUTED_VALUE"""),"Code for care of Children")</f>
        <v>Code for care of Children</v>
      </c>
    </row>
    <row r="102">
      <c r="A102" s="7" t="s">
        <v>217</v>
      </c>
      <c r="B102" s="8" t="s">
        <v>218</v>
      </c>
      <c r="C102" s="8">
        <v>5.0</v>
      </c>
      <c r="D102" s="8">
        <v>7.0</v>
      </c>
      <c r="E102" s="8">
        <v>7.0</v>
      </c>
      <c r="F102" s="8">
        <v>8.0</v>
      </c>
      <c r="G102" s="8" t="s">
        <v>21</v>
      </c>
      <c r="H102" s="9"/>
      <c r="I102" s="9"/>
      <c r="N102" s="10" t="str">
        <f t="shared" si="2"/>
        <v>21-5911(b)(1)(B) - Aggravated Escape From Custody; While held on charge, adjudication or arrest as a juvenile offender where act, if committed by adult, would be a felony</v>
      </c>
      <c r="O102" s="10" t="str">
        <f t="shared" si="3"/>
        <v>Aggravated Escape From Custody</v>
      </c>
      <c r="Q102" s="10" t="str">
        <f>IFERROR(__xludf.DUMMYFUNCTION("""COMPUTED_VALUE"""),"Code of Military Justice")</f>
        <v>Code of Military Justice</v>
      </c>
    </row>
    <row r="103">
      <c r="A103" s="7" t="s">
        <v>219</v>
      </c>
      <c r="B103" s="8" t="s">
        <v>220</v>
      </c>
      <c r="C103" s="8">
        <v>8.0</v>
      </c>
      <c r="D103" s="8">
        <v>10.0</v>
      </c>
      <c r="E103" s="8">
        <v>10.0</v>
      </c>
      <c r="F103" s="8">
        <v>10.0</v>
      </c>
      <c r="G103" s="8" t="s">
        <v>21</v>
      </c>
      <c r="H103" s="9"/>
      <c r="I103" s="9"/>
      <c r="N103" s="10" t="str">
        <f t="shared" si="2"/>
        <v>21-5911(b)(1)(A) - Aggravated Escape From Custody; While held on charge, conviction of or arrest for a felony</v>
      </c>
      <c r="O103" s="10" t="str">
        <f t="shared" si="3"/>
        <v>Aggravated Escape From Custody</v>
      </c>
      <c r="Q103" s="10" t="str">
        <f>IFERROR(__xludf.DUMMYFUNCTION("""COMPUTED_VALUE"""),"Commercial Bribery")</f>
        <v>Commercial Bribery</v>
      </c>
    </row>
    <row r="104">
      <c r="A104" s="7" t="s">
        <v>221</v>
      </c>
      <c r="B104" s="8" t="s">
        <v>222</v>
      </c>
      <c r="C104" s="8">
        <v>8.0</v>
      </c>
      <c r="D104" s="8">
        <v>10.0</v>
      </c>
      <c r="E104" s="8">
        <v>10.0</v>
      </c>
      <c r="F104" s="8">
        <v>10.0</v>
      </c>
      <c r="G104" s="8" t="s">
        <v>21</v>
      </c>
      <c r="H104" s="9"/>
      <c r="I104" s="9"/>
      <c r="N104" s="10" t="str">
        <f t="shared" si="2"/>
        <v>21-5911(b)(1)(C) - Aggravated Escape From Custody; While held prior to or upon finding of probable cause for evaluation as a sexually violent predator</v>
      </c>
      <c r="O104" s="10" t="str">
        <f t="shared" si="3"/>
        <v>Aggravated Escape From Custody</v>
      </c>
      <c r="Q104" s="10" t="str">
        <f>IFERROR(__xludf.DUMMYFUNCTION("""COMPUTED_VALUE"""),"Commercial Drivers' License Act")</f>
        <v>Commercial Drivers' License Act</v>
      </c>
    </row>
    <row r="105">
      <c r="A105" s="7" t="s">
        <v>223</v>
      </c>
      <c r="B105" s="8" t="s">
        <v>224</v>
      </c>
      <c r="C105" s="8">
        <v>8.0</v>
      </c>
      <c r="D105" s="8">
        <v>10.0</v>
      </c>
      <c r="E105" s="8">
        <v>10.0</v>
      </c>
      <c r="F105" s="8">
        <v>10.0</v>
      </c>
      <c r="G105" s="8" t="s">
        <v>21</v>
      </c>
      <c r="H105" s="9"/>
      <c r="I105" s="9"/>
      <c r="N105" s="10" t="str">
        <f t="shared" si="2"/>
        <v>21-5911(b)(1)(E) - Aggravated Escape From Custody; While held upon a commitment to the state security hospital as provided in K.S.A. 22-3428, based on a finding that the person committed an act constituting a felony</v>
      </c>
      <c r="O105" s="10" t="str">
        <f t="shared" si="3"/>
        <v>Aggravated Escape From Custody</v>
      </c>
      <c r="Q105" s="10" t="str">
        <f>IFERROR(__xludf.DUMMYFUNCTION("""COMPUTED_VALUE"""),"Commercial DUI")</f>
        <v>Commercial DUI</v>
      </c>
    </row>
    <row r="106">
      <c r="A106" s="7" t="s">
        <v>225</v>
      </c>
      <c r="B106" s="8" t="s">
        <v>226</v>
      </c>
      <c r="C106" s="8">
        <v>8.0</v>
      </c>
      <c r="D106" s="8">
        <v>10.0</v>
      </c>
      <c r="E106" s="8">
        <v>10.0</v>
      </c>
      <c r="F106" s="8">
        <v>10.0</v>
      </c>
      <c r="G106" s="8" t="s">
        <v>21</v>
      </c>
      <c r="H106" s="9"/>
      <c r="I106" s="9"/>
      <c r="N106" s="10" t="str">
        <f t="shared" si="2"/>
        <v>21-5911(b)(1)(D) - Aggravated Escape From Custody; While held upon commitment to treatment facility as a sexually violent predator</v>
      </c>
      <c r="O106" s="10" t="str">
        <f t="shared" si="3"/>
        <v>Aggravated Escape From Custody</v>
      </c>
      <c r="Q106" s="10" t="str">
        <f>IFERROR(__xludf.DUMMYFUNCTION("""COMPUTED_VALUE"""),"Commercial Feed Stuffs")</f>
        <v>Commercial Feed Stuffs</v>
      </c>
    </row>
    <row r="107">
      <c r="A107" s="7" t="s">
        <v>227</v>
      </c>
      <c r="B107" s="8" t="s">
        <v>228</v>
      </c>
      <c r="C107" s="8">
        <v>5.0</v>
      </c>
      <c r="D107" s="8">
        <v>7.0</v>
      </c>
      <c r="E107" s="8">
        <v>7.0</v>
      </c>
      <c r="F107" s="8">
        <v>8.0</v>
      </c>
      <c r="G107" s="8" t="s">
        <v>21</v>
      </c>
      <c r="H107" s="9"/>
      <c r="I107" s="9"/>
      <c r="N107" s="10" t="str">
        <f t="shared" si="2"/>
        <v>21-5911(b)(1)(G) - Aggravated Escape From Custody; While held upon incarceration at a state correctional institution in the custody of the secretary of corrections</v>
      </c>
      <c r="O107" s="10" t="str">
        <f t="shared" si="3"/>
        <v>Aggravated Escape From Custody</v>
      </c>
      <c r="Q107" s="10" t="str">
        <f>IFERROR(__xludf.DUMMYFUNCTION("""COMPUTED_VALUE"""),"Commercial Fertilizers")</f>
        <v>Commercial Fertilizers</v>
      </c>
    </row>
    <row r="108">
      <c r="A108" s="7" t="s">
        <v>229</v>
      </c>
      <c r="B108" s="8" t="s">
        <v>230</v>
      </c>
      <c r="C108" s="8">
        <v>10.0</v>
      </c>
      <c r="D108" s="8">
        <v>10.0</v>
      </c>
      <c r="E108" s="8">
        <v>10.0</v>
      </c>
      <c r="F108" s="8">
        <v>10.0</v>
      </c>
      <c r="G108" s="8" t="s">
        <v>21</v>
      </c>
      <c r="H108" s="9"/>
      <c r="I108" s="9"/>
      <c r="N108" s="10" t="str">
        <f t="shared" si="2"/>
        <v>21-5915(b) - Aggravated Failure to Appear; Knowingly incurring a forfeiture of an appearance bond and failing to surrender oneself within 30 days of forfeiture or conviction by one who is charged with or convicted of a felony</v>
      </c>
      <c r="O108" s="10" t="str">
        <f t="shared" si="3"/>
        <v>Aggravated Failure to Appear</v>
      </c>
      <c r="Q108" s="10" t="str">
        <f>IFERROR(__xludf.DUMMYFUNCTION("""COMPUTED_VALUE"""),"Commercial Fossil Hunting")</f>
        <v>Commercial Fossil Hunting</v>
      </c>
    </row>
    <row r="109">
      <c r="A109" s="7" t="s">
        <v>231</v>
      </c>
      <c r="B109" s="8" t="s">
        <v>232</v>
      </c>
      <c r="C109" s="8">
        <v>9.0</v>
      </c>
      <c r="D109" s="8">
        <v>10.0</v>
      </c>
      <c r="E109" s="8">
        <v>10.0</v>
      </c>
      <c r="F109" s="8">
        <v>10.0</v>
      </c>
      <c r="G109" s="8" t="s">
        <v>21</v>
      </c>
      <c r="H109" s="9"/>
      <c r="I109" s="9"/>
      <c r="N109" s="10" t="str">
        <f t="shared" si="2"/>
        <v>21-5917(b)(3) - Aggravated False Impersonation; Acknowledging the execution of any conveyance of property, or any other instrument which by law may be recorded</v>
      </c>
      <c r="O109" s="10" t="str">
        <f t="shared" si="3"/>
        <v>Aggravated False Impersonation</v>
      </c>
      <c r="Q109" s="10" t="str">
        <f>IFERROR(__xludf.DUMMYFUNCTION("""COMPUTED_VALUE"""),"Commercial Gambling")</f>
        <v>Commercial Gambling</v>
      </c>
    </row>
    <row r="110">
      <c r="A110" s="7" t="s">
        <v>233</v>
      </c>
      <c r="B110" s="8" t="s">
        <v>234</v>
      </c>
      <c r="C110" s="8">
        <v>9.0</v>
      </c>
      <c r="D110" s="8">
        <v>10.0</v>
      </c>
      <c r="E110" s="8">
        <v>10.0</v>
      </c>
      <c r="F110" s="8">
        <v>10.0</v>
      </c>
      <c r="G110" s="8" t="s">
        <v>21</v>
      </c>
      <c r="H110" s="9"/>
      <c r="I110" s="9"/>
      <c r="N110" s="10" t="str">
        <f t="shared" si="2"/>
        <v>21-5917(b)(4) - Aggravated False Impersonation; Any other act in the course of a suit, proceeding or prosecution whereby the person who is represented or impersonated may be made liable for payment of any debt, damages, costs or sum of money, or such person's rights or interests may be in any manner affected</v>
      </c>
      <c r="O110" s="10" t="str">
        <f t="shared" si="3"/>
        <v>Aggravated False Impersonation</v>
      </c>
      <c r="Q110" s="10" t="str">
        <f>IFERROR(__xludf.DUMMYFUNCTION("""COMPUTED_VALUE"""),"Commercial Sexual Exploitation of a Child")</f>
        <v>Commercial Sexual Exploitation of a Child</v>
      </c>
    </row>
    <row r="111">
      <c r="A111" s="7" t="s">
        <v>235</v>
      </c>
      <c r="B111" s="8" t="s">
        <v>236</v>
      </c>
      <c r="C111" s="8">
        <v>9.0</v>
      </c>
      <c r="D111" s="8">
        <v>10.0</v>
      </c>
      <c r="E111" s="8">
        <v>10.0</v>
      </c>
      <c r="F111" s="8">
        <v>10.0</v>
      </c>
      <c r="G111" s="8" t="s">
        <v>21</v>
      </c>
      <c r="H111" s="9"/>
      <c r="I111" s="9"/>
      <c r="N111" s="10" t="str">
        <f t="shared" si="2"/>
        <v>21-5917(b)(1) - Aggravated False Impersonation; Becoming bail or security, or acknowledging or executing any bond or other instrument as bail or security, for any party in any proceeding</v>
      </c>
      <c r="O111" s="10" t="str">
        <f t="shared" si="3"/>
        <v>Aggravated False Impersonation</v>
      </c>
      <c r="Q111" s="10" t="str">
        <f>IFERROR(__xludf.DUMMYFUNCTION("""COMPUTED_VALUE"""),"Commercialization of Wildlife")</f>
        <v>Commercialization of Wildlife</v>
      </c>
    </row>
    <row r="112">
      <c r="A112" s="7" t="s">
        <v>237</v>
      </c>
      <c r="B112" s="8" t="s">
        <v>238</v>
      </c>
      <c r="C112" s="8">
        <v>9.0</v>
      </c>
      <c r="D112" s="8">
        <v>10.0</v>
      </c>
      <c r="E112" s="8">
        <v>10.0</v>
      </c>
      <c r="F112" s="8">
        <v>10.0</v>
      </c>
      <c r="G112" s="8" t="s">
        <v>21</v>
      </c>
      <c r="H112" s="9"/>
      <c r="I112" s="9"/>
      <c r="N112" s="10" t="str">
        <f t="shared" si="2"/>
        <v>21-5917(b)(2) - Aggravated False Impersonation; Confessing any judgment</v>
      </c>
      <c r="O112" s="10" t="str">
        <f t="shared" si="3"/>
        <v>Aggravated False Impersonation</v>
      </c>
      <c r="Q112" s="10" t="str">
        <f>IFERROR(__xludf.DUMMYFUNCTION("""COMPUTED_VALUE"""),"Common Nuisance")</f>
        <v>Common Nuisance</v>
      </c>
    </row>
    <row r="113">
      <c r="A113" s="7" t="s">
        <v>239</v>
      </c>
      <c r="B113" s="8" t="s">
        <v>240</v>
      </c>
      <c r="C113" s="8" t="s">
        <v>178</v>
      </c>
      <c r="D113" s="8" t="s">
        <v>179</v>
      </c>
      <c r="E113" s="8" t="s">
        <v>179</v>
      </c>
      <c r="F113" s="8" t="s">
        <v>179</v>
      </c>
      <c r="G113" s="8" t="s">
        <v>24</v>
      </c>
      <c r="H113" s="8" t="s">
        <v>109</v>
      </c>
      <c r="I113" s="9"/>
      <c r="N113" s="10" t="str">
        <f t="shared" si="2"/>
        <v>21-5426(b)(2) - Aggravated Human Trafficking; Commit, attempt, conspire or solicit to commit; Human trafficking committed for the purpose of sexual gratification; victim under 14; offender 18 or older</v>
      </c>
      <c r="O113" s="10" t="str">
        <f t="shared" si="3"/>
        <v>Aggravated Human Trafficking</v>
      </c>
      <c r="Q113" s="10" t="str">
        <f>IFERROR(__xludf.DUMMYFUNCTION("""COMPUTED_VALUE"""),"Compensation for Past Official Acts")</f>
        <v>Compensation for Past Official Acts</v>
      </c>
    </row>
    <row r="114">
      <c r="A114" s="7" t="s">
        <v>241</v>
      </c>
      <c r="B114" s="8" t="s">
        <v>242</v>
      </c>
      <c r="C114" s="8" t="s">
        <v>178</v>
      </c>
      <c r="D114" s="8" t="s">
        <v>179</v>
      </c>
      <c r="E114" s="8" t="s">
        <v>179</v>
      </c>
      <c r="F114" s="8" t="s">
        <v>179</v>
      </c>
      <c r="G114" s="8" t="s">
        <v>24</v>
      </c>
      <c r="H114" s="8" t="s">
        <v>109</v>
      </c>
      <c r="I114" s="9"/>
      <c r="N114" s="10" t="str">
        <f t="shared" si="2"/>
        <v>21-5426(b)(1) - Aggravated Human Trafficking; Commit, attempt, conspire or solicit to commit; Human trafficking involving kidnapping or attempted kidnapping; victim under 14; offender 18 or older</v>
      </c>
      <c r="O114" s="10" t="str">
        <f t="shared" si="3"/>
        <v>Aggravated Human Trafficking</v>
      </c>
      <c r="Q114" s="10" t="str">
        <f>IFERROR(__xludf.DUMMYFUNCTION("""COMPUTED_VALUE"""),"Computer Crime: Knowing and unauthorized disclosure of number, code or password to access computer or computer network, social networking website or personal electronic content")</f>
        <v>Computer Crime: Knowing and unauthorized disclosure of number, code or password to access computer or computer network, social networking website or personal electronic content</v>
      </c>
    </row>
    <row r="115">
      <c r="A115" s="7" t="s">
        <v>243</v>
      </c>
      <c r="B115" s="8" t="s">
        <v>244</v>
      </c>
      <c r="C115" s="8" t="s">
        <v>178</v>
      </c>
      <c r="D115" s="8" t="s">
        <v>179</v>
      </c>
      <c r="E115" s="8" t="s">
        <v>179</v>
      </c>
      <c r="F115" s="8" t="s">
        <v>179</v>
      </c>
      <c r="G115" s="8" t="s">
        <v>24</v>
      </c>
      <c r="H115" s="8" t="s">
        <v>109</v>
      </c>
      <c r="I115" s="9"/>
      <c r="N115" s="10" t="str">
        <f t="shared" si="2"/>
        <v>21-5426(b)(3) - Aggravated Human Trafficking; Commit, attempt, conspire or solicit to commit; Human trafficking resulting in a death; victim under 14; offender 18 or older</v>
      </c>
      <c r="O115" s="10" t="str">
        <f t="shared" si="3"/>
        <v>Aggravated Human Trafficking</v>
      </c>
      <c r="Q115" s="10" t="str">
        <f>IFERROR(__xludf.DUMMYFUNCTION("""COMPUTED_VALUE"""),"Computer Crime: Knowingly and without authorization access or attempt to access computer, computer system, social networking website, computer network or software, program, documentation, data or property contained therein")</f>
        <v>Computer Crime: Knowingly and without authorization access or attempt to access computer, computer system, social networking website, computer network or software, program, documentation, data or property contained therein</v>
      </c>
    </row>
    <row r="116">
      <c r="A116" s="7" t="s">
        <v>245</v>
      </c>
      <c r="B116" s="8" t="s">
        <v>246</v>
      </c>
      <c r="C116" s="8" t="s">
        <v>178</v>
      </c>
      <c r="D116" s="8" t="s">
        <v>179</v>
      </c>
      <c r="E116" s="8" t="s">
        <v>179</v>
      </c>
      <c r="F116" s="8" t="s">
        <v>179</v>
      </c>
      <c r="G116" s="8" t="s">
        <v>24</v>
      </c>
      <c r="H116" s="8" t="s">
        <v>109</v>
      </c>
      <c r="I116" s="9"/>
      <c r="N116" s="10" t="str">
        <f t="shared" si="2"/>
        <v>21-5426(b)(4) - Aggravated Human Trafficking; Commit, attempt, conspire or solicit to commit; Involve, recruit, harbor, transport, provide or obtain a person under 14 for forced labor, involuntary servitude or sexual gratification; offender 18 yrs of age or older</v>
      </c>
      <c r="O116" s="10" t="str">
        <f t="shared" si="3"/>
        <v>Aggravated Human Trafficking</v>
      </c>
      <c r="Q116" s="10" t="str">
        <f>IFERROR(__xludf.DUMMYFUNCTION("""COMPUTED_VALUE"""),"Computer Crime")</f>
        <v>Computer Crime</v>
      </c>
    </row>
    <row r="117">
      <c r="A117" s="7" t="s">
        <v>247</v>
      </c>
      <c r="B117" s="8" t="s">
        <v>240</v>
      </c>
      <c r="C117" s="8">
        <v>1.0</v>
      </c>
      <c r="D117" s="8">
        <v>3.0</v>
      </c>
      <c r="E117" s="8">
        <v>3.0</v>
      </c>
      <c r="F117" s="8">
        <v>4.0</v>
      </c>
      <c r="G117" s="8" t="s">
        <v>24</v>
      </c>
      <c r="H117" s="8" t="s">
        <v>109</v>
      </c>
      <c r="I117" s="9"/>
      <c r="N117" s="10" t="str">
        <f t="shared" si="2"/>
        <v>21-5426(b)(2) - Aggravated Human Trafficking; Human trafficking committed for the purpose of sexual gratification</v>
      </c>
      <c r="O117" s="10" t="str">
        <f t="shared" si="3"/>
        <v>Aggravated Human Trafficking</v>
      </c>
      <c r="Q117" s="10" t="str">
        <f>IFERROR(__xludf.DUMMYFUNCTION("""COMPUTED_VALUE"""),"Concealed Handgun")</f>
        <v>Concealed Handgun</v>
      </c>
    </row>
    <row r="118">
      <c r="A118" s="7" t="s">
        <v>248</v>
      </c>
      <c r="B118" s="8" t="s">
        <v>242</v>
      </c>
      <c r="C118" s="8">
        <v>1.0</v>
      </c>
      <c r="D118" s="8">
        <v>3.0</v>
      </c>
      <c r="E118" s="8">
        <v>3.0</v>
      </c>
      <c r="F118" s="8">
        <v>4.0</v>
      </c>
      <c r="G118" s="8" t="s">
        <v>24</v>
      </c>
      <c r="H118" s="8" t="s">
        <v>109</v>
      </c>
      <c r="I118" s="9"/>
      <c r="N118" s="10" t="str">
        <f t="shared" si="2"/>
        <v>21-5426(b)(1) - Aggravated Human Trafficking; Human trafficking involving kidnapping or attempted kidnapping</v>
      </c>
      <c r="O118" s="10" t="str">
        <f t="shared" si="3"/>
        <v>Aggravated Human Trafficking</v>
      </c>
      <c r="Q118" s="10" t="str">
        <f>IFERROR(__xludf.DUMMYFUNCTION("""COMPUTED_VALUE"""),"Construction Defects")</f>
        <v>Construction Defects</v>
      </c>
    </row>
    <row r="119">
      <c r="A119" s="7" t="s">
        <v>249</v>
      </c>
      <c r="B119" s="8" t="s">
        <v>244</v>
      </c>
      <c r="C119" s="8">
        <v>1.0</v>
      </c>
      <c r="D119" s="8">
        <v>3.0</v>
      </c>
      <c r="E119" s="8">
        <v>3.0</v>
      </c>
      <c r="F119" s="8">
        <v>4.0</v>
      </c>
      <c r="G119" s="8" t="s">
        <v>24</v>
      </c>
      <c r="H119" s="8" t="s">
        <v>109</v>
      </c>
      <c r="I119" s="9"/>
      <c r="N119" s="10" t="str">
        <f t="shared" si="2"/>
        <v>21-5426(b)(3) - Aggravated Human Trafficking; Human trafficking resulting in a death</v>
      </c>
      <c r="O119" s="10" t="str">
        <f t="shared" si="3"/>
        <v>Aggravated Human Trafficking</v>
      </c>
      <c r="Q119" s="10" t="str">
        <f>IFERROR(__xludf.DUMMYFUNCTION("""COMPUTED_VALUE"""),"Consumer Protection Act")</f>
        <v>Consumer Protection Act</v>
      </c>
    </row>
    <row r="120">
      <c r="A120" s="7" t="s">
        <v>250</v>
      </c>
      <c r="B120" s="8" t="s">
        <v>246</v>
      </c>
      <c r="C120" s="8">
        <v>1.0</v>
      </c>
      <c r="D120" s="8">
        <v>3.0</v>
      </c>
      <c r="E120" s="8">
        <v>3.0</v>
      </c>
      <c r="F120" s="8">
        <v>4.0</v>
      </c>
      <c r="G120" s="8" t="s">
        <v>24</v>
      </c>
      <c r="H120" s="8" t="s">
        <v>109</v>
      </c>
      <c r="I120" s="9"/>
      <c r="N120" s="10" t="str">
        <f t="shared" si="2"/>
        <v>21-5426(b)(4) - Aggravated Human Trafficking; Involve, recruit, harbor, transport, provide or obtain a person under 18 for forced labor, involuntary servitude or sexual gratification</v>
      </c>
      <c r="O120" s="10" t="str">
        <f t="shared" si="3"/>
        <v>Aggravated Human Trafficking</v>
      </c>
      <c r="Q120" s="10" t="str">
        <f>IFERROR(__xludf.DUMMYFUNCTION("""COMPUTED_VALUE"""),"Contempt of Legislature")</f>
        <v>Contempt of Legislature</v>
      </c>
    </row>
    <row r="121">
      <c r="A121" s="7" t="s">
        <v>251</v>
      </c>
      <c r="B121" s="8" t="s">
        <v>252</v>
      </c>
      <c r="C121" s="8">
        <v>7.0</v>
      </c>
      <c r="D121" s="8">
        <v>9.0</v>
      </c>
      <c r="E121" s="8">
        <v>9.0</v>
      </c>
      <c r="F121" s="8">
        <v>10.0</v>
      </c>
      <c r="G121" s="8" t="s">
        <v>24</v>
      </c>
      <c r="H121" s="8" t="s">
        <v>109</v>
      </c>
      <c r="I121" s="8" t="s">
        <v>54</v>
      </c>
      <c r="N121" s="10" t="str">
        <f t="shared" si="2"/>
        <v>21-5604(b)(2)(B) - Aggravated Incest; Lewd fondling/touching with a relative 16 or 17</v>
      </c>
      <c r="O121" s="10" t="str">
        <f t="shared" si="3"/>
        <v>Aggravated Incest</v>
      </c>
      <c r="Q121" s="10" t="str">
        <f>IFERROR(__xludf.DUMMYFUNCTION("""COMPUTED_VALUE"""),"Contracts &amp; Promises")</f>
        <v>Contracts &amp; Promises</v>
      </c>
    </row>
    <row r="122">
      <c r="A122" s="7" t="s">
        <v>253</v>
      </c>
      <c r="B122" s="8" t="s">
        <v>254</v>
      </c>
      <c r="C122" s="8">
        <v>7.0</v>
      </c>
      <c r="D122" s="8">
        <v>9.0</v>
      </c>
      <c r="E122" s="8">
        <v>9.0</v>
      </c>
      <c r="F122" s="8">
        <v>10.0</v>
      </c>
      <c r="G122" s="8" t="s">
        <v>24</v>
      </c>
      <c r="H122" s="8" t="s">
        <v>109</v>
      </c>
      <c r="I122" s="8" t="s">
        <v>54</v>
      </c>
      <c r="N122" s="10" t="str">
        <f t="shared" si="2"/>
        <v>21-5604(b)(1) - Aggravated Incest; Marriage to a person who is less than 18 and a known relative</v>
      </c>
      <c r="O122" s="10" t="str">
        <f t="shared" si="3"/>
        <v>Aggravated Incest</v>
      </c>
      <c r="Q122" s="10" t="str">
        <f>IFERROR(__xludf.DUMMYFUNCTION("""COMPUTED_VALUE"""),"Contributing to a Child's Misconduct")</f>
        <v>Contributing to a Child's Misconduct</v>
      </c>
    </row>
    <row r="123">
      <c r="A123" s="7" t="s">
        <v>255</v>
      </c>
      <c r="B123" s="8" t="s">
        <v>256</v>
      </c>
      <c r="C123" s="8">
        <v>5.0</v>
      </c>
      <c r="D123" s="8">
        <v>7.0</v>
      </c>
      <c r="E123" s="8">
        <v>7.0</v>
      </c>
      <c r="F123" s="8">
        <v>8.0</v>
      </c>
      <c r="G123" s="8" t="s">
        <v>24</v>
      </c>
      <c r="H123" s="8" t="s">
        <v>109</v>
      </c>
      <c r="I123" s="8" t="s">
        <v>54</v>
      </c>
      <c r="N123" s="10" t="str">
        <f t="shared" si="2"/>
        <v>21-5604(b)(2)(A) - Aggravated Incest; Sexual intercourse or sodomy with a person who is 16 or more years of age but under 18 years of age and who is known to the offender to be related to the offender as any of the following biological, step or adoptive relatives: Child, grandchild of any degree, brother, sister, half-brother, half-sister, uncle, aunt, nephew or niece</v>
      </c>
      <c r="O123" s="10" t="str">
        <f t="shared" si="3"/>
        <v>Aggravated Incest</v>
      </c>
      <c r="Q123" s="10" t="str">
        <f>IFERROR(__xludf.DUMMYFUNCTION("""COMPUTED_VALUE"""),"Corporations")</f>
        <v>Corporations</v>
      </c>
    </row>
    <row r="124">
      <c r="A124" s="7" t="s">
        <v>257</v>
      </c>
      <c r="B124" s="8" t="s">
        <v>256</v>
      </c>
      <c r="C124" s="8">
        <v>3.0</v>
      </c>
      <c r="D124" s="8">
        <v>5.0</v>
      </c>
      <c r="E124" s="8">
        <v>6.0</v>
      </c>
      <c r="F124" s="8">
        <v>6.0</v>
      </c>
      <c r="G124" s="8" t="s">
        <v>24</v>
      </c>
      <c r="H124" s="8" t="s">
        <v>109</v>
      </c>
      <c r="I124" s="8" t="s">
        <v>54</v>
      </c>
      <c r="N124" s="10" t="str">
        <f t="shared" si="2"/>
        <v>21-5604(b)(2)(A) - Aggravated Incest; Sexual intercourse or sodomy with a person who is 16 or more years of age but under 18 years of age and who is known to the offender to be related to the offender as any of the following biological, step or adoptive relatives: Child, grandchild of any degree, brother, sister, half-brother, half-sister, uncle, aunt, nephew or niece; victim is offender's biological, step or adoptive child</v>
      </c>
      <c r="O124" s="10" t="str">
        <f t="shared" si="3"/>
        <v>Aggravated Incest</v>
      </c>
      <c r="Q124" s="10" t="str">
        <f>IFERROR(__xludf.DUMMYFUNCTION("""COMPUTED_VALUE"""),"Cosmetology")</f>
        <v>Cosmetology</v>
      </c>
    </row>
    <row r="125">
      <c r="A125" s="7" t="s">
        <v>258</v>
      </c>
      <c r="B125" s="8" t="s">
        <v>259</v>
      </c>
      <c r="C125" s="8">
        <v>4.0</v>
      </c>
      <c r="D125" s="8">
        <v>6.0</v>
      </c>
      <c r="E125" s="8">
        <v>6.0</v>
      </c>
      <c r="F125" s="8">
        <v>7.0</v>
      </c>
      <c r="G125" s="8" t="s">
        <v>24</v>
      </c>
      <c r="H125" s="8" t="s">
        <v>109</v>
      </c>
      <c r="I125" s="8" t="s">
        <v>54</v>
      </c>
      <c r="N125" s="10" t="str">
        <f t="shared" si="2"/>
        <v>21-5506(b)(2)(B) - Aggravated Indecent Liberties with a Child; Causing child to engage in lewd fondling/touching without consent; child 14 or more but less than 16</v>
      </c>
      <c r="O125" s="10" t="str">
        <f t="shared" si="3"/>
        <v>Aggravated Indecent Liberties with a Child</v>
      </c>
      <c r="Q125" s="10" t="str">
        <f>IFERROR(__xludf.DUMMYFUNCTION("""COMPUTED_VALUE"""),"Counterfeiting")</f>
        <v>Counterfeiting</v>
      </c>
    </row>
    <row r="126">
      <c r="A126" s="7" t="s">
        <v>260</v>
      </c>
      <c r="B126" s="8" t="s">
        <v>261</v>
      </c>
      <c r="C126" s="8" t="s">
        <v>178</v>
      </c>
      <c r="D126" s="8" t="s">
        <v>179</v>
      </c>
      <c r="E126" s="8" t="s">
        <v>179</v>
      </c>
      <c r="F126" s="8" t="s">
        <v>179</v>
      </c>
      <c r="G126" s="8" t="s">
        <v>24</v>
      </c>
      <c r="H126" s="8" t="s">
        <v>109</v>
      </c>
      <c r="I126" s="8" t="s">
        <v>54</v>
      </c>
      <c r="N126" s="10" t="str">
        <f t="shared" si="2"/>
        <v>21-5506(b)(3)(A) - Aggravated Indecent Liberties with a Child; Commit, attempt, conspire or solicit to commit; Lewd fondling/touching; child less than 14; offender 18 or older</v>
      </c>
      <c r="O126" s="10" t="str">
        <f t="shared" si="3"/>
        <v>Aggravated Indecent Liberties with a Child</v>
      </c>
      <c r="Q126" s="10" t="str">
        <f>IFERROR(__xludf.DUMMYFUNCTION("""COMPUTED_VALUE"""),"Counties &amp; County Officers")</f>
        <v>Counties &amp; County Officers</v>
      </c>
    </row>
    <row r="127">
      <c r="A127" s="7" t="s">
        <v>262</v>
      </c>
      <c r="B127" s="8" t="s">
        <v>263</v>
      </c>
      <c r="C127" s="8" t="s">
        <v>178</v>
      </c>
      <c r="D127" s="8" t="s">
        <v>179</v>
      </c>
      <c r="E127" s="8" t="s">
        <v>179</v>
      </c>
      <c r="F127" s="8" t="s">
        <v>179</v>
      </c>
      <c r="G127" s="8" t="s">
        <v>24</v>
      </c>
      <c r="H127" s="8" t="s">
        <v>109</v>
      </c>
      <c r="I127" s="8" t="s">
        <v>54</v>
      </c>
      <c r="N127" s="10" t="str">
        <f t="shared" si="2"/>
        <v>21-5506(b)(3)(B) - Aggravated Indecent Liberties with a Child; Commit, attempt, conspire or solicit to commit; Soliciting the child to engage in any lewd fondling/touching; child less than 14; offender 18 or older</v>
      </c>
      <c r="O127" s="10" t="str">
        <f t="shared" si="3"/>
        <v>Aggravated Indecent Liberties with a Child</v>
      </c>
      <c r="Q127" s="10" t="str">
        <f>IFERROR(__xludf.DUMMYFUNCTION("""COMPUTED_VALUE"""),"Counties/County Clerks")</f>
        <v>Counties/County Clerks</v>
      </c>
    </row>
    <row r="128">
      <c r="A128" s="7" t="s">
        <v>264</v>
      </c>
      <c r="B128" s="8" t="s">
        <v>261</v>
      </c>
      <c r="C128" s="8">
        <v>3.0</v>
      </c>
      <c r="D128" s="8">
        <v>5.0</v>
      </c>
      <c r="E128" s="8">
        <v>5.0</v>
      </c>
      <c r="F128" s="8">
        <v>6.0</v>
      </c>
      <c r="G128" s="8" t="s">
        <v>24</v>
      </c>
      <c r="H128" s="8" t="s">
        <v>109</v>
      </c>
      <c r="I128" s="8" t="s">
        <v>54</v>
      </c>
      <c r="N128" s="10" t="str">
        <f t="shared" si="2"/>
        <v>21-5506(b)(3)(A) - Aggravated Indecent Liberties with a Child; Lewd fondling/touching; child less than 14; offender less than 18</v>
      </c>
      <c r="O128" s="10" t="str">
        <f t="shared" si="3"/>
        <v>Aggravated Indecent Liberties with a Child</v>
      </c>
      <c r="Q128" s="10" t="str">
        <f>IFERROR(__xludf.DUMMYFUNCTION("""COMPUTED_VALUE"""),"Counties/County Commissioners")</f>
        <v>Counties/County Commissioners</v>
      </c>
    </row>
    <row r="129">
      <c r="A129" s="7" t="s">
        <v>265</v>
      </c>
      <c r="B129" s="8" t="s">
        <v>266</v>
      </c>
      <c r="C129" s="8">
        <v>4.0</v>
      </c>
      <c r="D129" s="8">
        <v>6.0</v>
      </c>
      <c r="E129" s="8">
        <v>6.0</v>
      </c>
      <c r="F129" s="8">
        <v>7.0</v>
      </c>
      <c r="G129" s="8" t="s">
        <v>24</v>
      </c>
      <c r="H129" s="8" t="s">
        <v>109</v>
      </c>
      <c r="I129" s="8" t="s">
        <v>54</v>
      </c>
      <c r="N129" s="10" t="str">
        <f t="shared" si="2"/>
        <v>21-5506(b)(2)(A) - Aggravated Indecent Liberties with a Child; Nonconsensual lewd fondling/touching; child 14 or more but less than 16</v>
      </c>
      <c r="O129" s="10" t="str">
        <f t="shared" si="3"/>
        <v>Aggravated Indecent Liberties with a Child</v>
      </c>
      <c r="Q129" s="10" t="str">
        <f>IFERROR(__xludf.DUMMYFUNCTION("""COMPUTED_VALUE"""),"Counties/County Officers")</f>
        <v>Counties/County Officers</v>
      </c>
    </row>
    <row r="130">
      <c r="A130" s="7" t="s">
        <v>267</v>
      </c>
      <c r="B130" s="8" t="s">
        <v>268</v>
      </c>
      <c r="C130" s="8">
        <v>3.0</v>
      </c>
      <c r="D130" s="8">
        <v>5.0</v>
      </c>
      <c r="E130" s="8">
        <v>5.0</v>
      </c>
      <c r="F130" s="8">
        <v>6.0</v>
      </c>
      <c r="G130" s="8" t="s">
        <v>24</v>
      </c>
      <c r="H130" s="8" t="s">
        <v>109</v>
      </c>
      <c r="I130" s="8" t="s">
        <v>54</v>
      </c>
      <c r="N130" s="10" t="str">
        <f t="shared" si="2"/>
        <v>21-5506(b)(1) - Aggravated Indecent Liberties with a Child; Sexual intercourse; child 14 or more but less than 16</v>
      </c>
      <c r="O130" s="10" t="str">
        <f t="shared" si="3"/>
        <v>Aggravated Indecent Liberties with a Child</v>
      </c>
      <c r="Q130" s="10" t="str">
        <f>IFERROR(__xludf.DUMMYFUNCTION("""COMPUTED_VALUE"""),"Counties/County Treasurers")</f>
        <v>Counties/County Treasurers</v>
      </c>
    </row>
    <row r="131">
      <c r="A131" s="7" t="s">
        <v>269</v>
      </c>
      <c r="B131" s="8" t="s">
        <v>263</v>
      </c>
      <c r="C131" s="8">
        <v>3.0</v>
      </c>
      <c r="D131" s="8">
        <v>5.0</v>
      </c>
      <c r="E131" s="8">
        <v>5.0</v>
      </c>
      <c r="F131" s="8">
        <v>6.0</v>
      </c>
      <c r="G131" s="8" t="s">
        <v>24</v>
      </c>
      <c r="H131" s="8" t="s">
        <v>109</v>
      </c>
      <c r="I131" s="8" t="s">
        <v>54</v>
      </c>
      <c r="N131" s="10" t="str">
        <f t="shared" si="2"/>
        <v>21-5506(b)(3)(B) - Aggravated Indecent Liberties with a Child; Soliciting the child to engage in any lewd fondling/touching; child less than 14; offender less than 18</v>
      </c>
      <c r="O131" s="10" t="str">
        <f t="shared" si="3"/>
        <v>Aggravated Indecent Liberties with a Child</v>
      </c>
      <c r="Q131" s="10" t="str">
        <f>IFERROR(__xludf.DUMMYFUNCTION("""COMPUTED_VALUE"""),"Court Reporters")</f>
        <v>Court Reporters</v>
      </c>
    </row>
    <row r="132">
      <c r="A132" s="7" t="s">
        <v>270</v>
      </c>
      <c r="B132" s="8" t="s">
        <v>271</v>
      </c>
      <c r="C132" s="8">
        <v>5.0</v>
      </c>
      <c r="D132" s="8">
        <v>7.0</v>
      </c>
      <c r="E132" s="8">
        <v>7.0</v>
      </c>
      <c r="F132" s="8">
        <v>8.0</v>
      </c>
      <c r="G132" s="8" t="s">
        <v>24</v>
      </c>
      <c r="H132" s="8" t="s">
        <v>109</v>
      </c>
      <c r="I132" s="8" t="s">
        <v>54</v>
      </c>
      <c r="N132" s="10" t="str">
        <f t="shared" si="2"/>
        <v>21-5508(b)(2) - Aggravated Indecent Solicitation of a Child; Inviting to enter secluded place; child less than 14</v>
      </c>
      <c r="O132" s="10" t="str">
        <f t="shared" si="3"/>
        <v>Aggravated Indecent Solicitation of a Child</v>
      </c>
      <c r="Q132" s="10" t="str">
        <f>IFERROR(__xludf.DUMMYFUNCTION("""COMPUTED_VALUE"""),"Creating a Hazard")</f>
        <v>Creating a Hazard</v>
      </c>
    </row>
    <row r="133">
      <c r="A133" s="7" t="s">
        <v>272</v>
      </c>
      <c r="B133" s="8" t="s">
        <v>273</v>
      </c>
      <c r="C133" s="8">
        <v>5.0</v>
      </c>
      <c r="D133" s="8">
        <v>7.0</v>
      </c>
      <c r="E133" s="8">
        <v>7.0</v>
      </c>
      <c r="F133" s="8">
        <v>8.0</v>
      </c>
      <c r="G133" s="8" t="s">
        <v>24</v>
      </c>
      <c r="H133" s="8" t="s">
        <v>109</v>
      </c>
      <c r="I133" s="8" t="s">
        <v>54</v>
      </c>
      <c r="N133" s="10" t="str">
        <f t="shared" si="2"/>
        <v>21-5508(b)(1) - Aggravated Indecent Solicitation of a Child; To commit or submit to unlawful sexual act; child less than 14</v>
      </c>
      <c r="O133" s="10" t="str">
        <f t="shared" si="3"/>
        <v>Aggravated Indecent Solicitation of a Child</v>
      </c>
      <c r="Q133" s="10" t="str">
        <f>IFERROR(__xludf.DUMMYFUNCTION("""COMPUTED_VALUE"""),"Credit Cards")</f>
        <v>Credit Cards</v>
      </c>
    </row>
    <row r="134">
      <c r="A134" s="7" t="s">
        <v>274</v>
      </c>
      <c r="B134" s="8" t="s">
        <v>275</v>
      </c>
      <c r="C134" s="8">
        <v>7.0</v>
      </c>
      <c r="D134" s="8">
        <v>9.0</v>
      </c>
      <c r="E134" s="8">
        <v>9.0</v>
      </c>
      <c r="F134" s="8">
        <v>10.0</v>
      </c>
      <c r="G134" s="8" t="s">
        <v>24</v>
      </c>
      <c r="H134" s="9"/>
      <c r="I134" s="9"/>
      <c r="N134" s="10" t="str">
        <f t="shared" si="2"/>
        <v>21-5409(b)(2)(B) - Aggravated Interference with Parental Custody; Commission of interference with parental custody by one who commits the crime for hire</v>
      </c>
      <c r="O134" s="10" t="str">
        <f t="shared" si="3"/>
        <v>Aggravated Interference with Parental Custody</v>
      </c>
      <c r="Q134" s="10" t="str">
        <f>IFERROR(__xludf.DUMMYFUNCTION("""COMPUTED_VALUE"""),"Credit Services Organization Act")</f>
        <v>Credit Services Organization Act</v>
      </c>
    </row>
    <row r="135">
      <c r="A135" s="7" t="s">
        <v>276</v>
      </c>
      <c r="B135" s="8" t="s">
        <v>277</v>
      </c>
      <c r="C135" s="8">
        <v>7.0</v>
      </c>
      <c r="D135" s="8">
        <v>9.0</v>
      </c>
      <c r="E135" s="8">
        <v>9.0</v>
      </c>
      <c r="F135" s="8">
        <v>10.0</v>
      </c>
      <c r="G135" s="8" t="s">
        <v>24</v>
      </c>
      <c r="H135" s="9"/>
      <c r="I135" s="9"/>
      <c r="N135" s="10" t="str">
        <f t="shared" si="2"/>
        <v>21-5409(b)(2)(F) - Aggravated Interference with Parental Custody; Commission of interference with parental custody by one who detains or conceals the child in an unknown place, whether inside or outside the state</v>
      </c>
      <c r="O135" s="10" t="str">
        <f t="shared" si="3"/>
        <v>Aggravated Interference with Parental Custody</v>
      </c>
      <c r="Q135" s="10" t="str">
        <f>IFERROR(__xludf.DUMMYFUNCTION("""COMPUTED_VALUE"""),"Credit Unions")</f>
        <v>Credit Unions</v>
      </c>
    </row>
    <row r="136">
      <c r="A136" s="7" t="s">
        <v>278</v>
      </c>
      <c r="B136" s="8" t="s">
        <v>279</v>
      </c>
      <c r="C136" s="8">
        <v>7.0</v>
      </c>
      <c r="D136" s="8">
        <v>9.0</v>
      </c>
      <c r="E136" s="8">
        <v>9.0</v>
      </c>
      <c r="F136" s="8">
        <v>10.0</v>
      </c>
      <c r="G136" s="8" t="s">
        <v>24</v>
      </c>
      <c r="H136" s="9"/>
      <c r="I136" s="9"/>
      <c r="N136" s="10" t="str">
        <f t="shared" si="2"/>
        <v>21-5409(b)(2)(A) - Aggravated Interference with Parental Custody; Commission of interference with parental custody by one who has previously been convicted of the crime</v>
      </c>
      <c r="O136" s="10" t="str">
        <f t="shared" si="3"/>
        <v>Aggravated Interference with Parental Custody</v>
      </c>
      <c r="Q136" s="10" t="str">
        <f>IFERROR(__xludf.DUMMYFUNCTION("""COMPUTED_VALUE"""),"Criminal Carrying of a Weapon")</f>
        <v>Criminal Carrying of a Weapon</v>
      </c>
    </row>
    <row r="137">
      <c r="A137" s="7" t="s">
        <v>280</v>
      </c>
      <c r="B137" s="8" t="s">
        <v>281</v>
      </c>
      <c r="C137" s="8">
        <v>7.0</v>
      </c>
      <c r="D137" s="8">
        <v>9.0</v>
      </c>
      <c r="E137" s="8">
        <v>9.0</v>
      </c>
      <c r="F137" s="8">
        <v>10.0</v>
      </c>
      <c r="G137" s="8" t="s">
        <v>24</v>
      </c>
      <c r="H137" s="9"/>
      <c r="I137" s="9"/>
      <c r="N137" s="10" t="str">
        <f t="shared" si="2"/>
        <v>21-5409(b)(2)(C) - Aggravated Interference with Parental Custody; Commission of interference with parental custody by one who takes the child outside the state without consent of one with custody or the court</v>
      </c>
      <c r="O137" s="10" t="str">
        <f t="shared" si="3"/>
        <v>Aggravated Interference with Parental Custody</v>
      </c>
      <c r="Q137" s="10" t="str">
        <f>IFERROR(__xludf.DUMMYFUNCTION("""COMPUTED_VALUE"""),"Criminal Damage to Property")</f>
        <v>Criminal Damage to Property</v>
      </c>
    </row>
    <row r="138">
      <c r="A138" s="7" t="s">
        <v>282</v>
      </c>
      <c r="B138" s="8" t="s">
        <v>283</v>
      </c>
      <c r="C138" s="8">
        <v>7.0</v>
      </c>
      <c r="D138" s="8">
        <v>9.0</v>
      </c>
      <c r="E138" s="8">
        <v>9.0</v>
      </c>
      <c r="F138" s="8">
        <v>10.0</v>
      </c>
      <c r="G138" s="8" t="s">
        <v>24</v>
      </c>
      <c r="H138" s="9"/>
      <c r="I138" s="9"/>
      <c r="N138" s="10" t="str">
        <f t="shared" si="2"/>
        <v>21-5409(b)(2)(D) - Aggravated Interference with Parental Custody; Commission of interference with parental custody by one who, after lawfully taking the child outside the state while exercising visitation rights or parenting time, refuses to return the child at the expiration of that time</v>
      </c>
      <c r="O138" s="10" t="str">
        <f t="shared" si="3"/>
        <v>Aggravated Interference with Parental Custody</v>
      </c>
      <c r="Q138" s="10" t="str">
        <f>IFERROR(__xludf.DUMMYFUNCTION("""COMPUTED_VALUE"""),"Criminal Deprivation of Property")</f>
        <v>Criminal Deprivation of Property</v>
      </c>
    </row>
    <row r="139">
      <c r="A139" s="7" t="s">
        <v>284</v>
      </c>
      <c r="B139" s="8" t="s">
        <v>285</v>
      </c>
      <c r="C139" s="8">
        <v>7.0</v>
      </c>
      <c r="D139" s="8">
        <v>9.0</v>
      </c>
      <c r="E139" s="8">
        <v>9.0</v>
      </c>
      <c r="F139" s="8">
        <v>10.0</v>
      </c>
      <c r="G139" s="8" t="s">
        <v>24</v>
      </c>
      <c r="H139" s="9"/>
      <c r="I139" s="9"/>
      <c r="N139" s="10" t="str">
        <f t="shared" si="2"/>
        <v>21-5409(b)(2)(E) - Aggravated Interference with Parental Custody; Commission of interference with parental custody by one who, at the expiration of any visitation rights or parenting time outside the state, refuses to return or impedes the return of the child</v>
      </c>
      <c r="O139" s="10" t="str">
        <f t="shared" si="3"/>
        <v>Aggravated Interference with Parental Custody</v>
      </c>
      <c r="Q139" s="10" t="str">
        <f>IFERROR(__xludf.DUMMYFUNCTION("""COMPUTED_VALUE"""),"Criminal Desecration")</f>
        <v>Criminal Desecration</v>
      </c>
    </row>
    <row r="140">
      <c r="A140" s="7" t="s">
        <v>286</v>
      </c>
      <c r="B140" s="8" t="s">
        <v>287</v>
      </c>
      <c r="C140" s="8">
        <v>7.0</v>
      </c>
      <c r="D140" s="8">
        <v>9.0</v>
      </c>
      <c r="E140" s="8">
        <v>9.0</v>
      </c>
      <c r="F140" s="8">
        <v>10.0</v>
      </c>
      <c r="G140" s="8" t="s">
        <v>24</v>
      </c>
      <c r="H140" s="9"/>
      <c r="I140" s="9"/>
      <c r="N140" s="10" t="str">
        <f t="shared" si="2"/>
        <v>21-5409(b)(1) - Aggravated Interference with Parental Custody; Hiring one to commit crime of interference with parental custody</v>
      </c>
      <c r="O140" s="10" t="str">
        <f t="shared" si="3"/>
        <v>Aggravated Interference with Parental Custody</v>
      </c>
      <c r="Q140" s="10" t="str">
        <f>IFERROR(__xludf.DUMMYFUNCTION("""COMPUTED_VALUE"""),"Criminal Discharge of Firearm")</f>
        <v>Criminal Discharge of Firearm</v>
      </c>
    </row>
    <row r="141">
      <c r="A141" s="7" t="s">
        <v>288</v>
      </c>
      <c r="B141" s="8" t="s">
        <v>289</v>
      </c>
      <c r="C141" s="8">
        <v>6.0</v>
      </c>
      <c r="D141" s="8">
        <v>8.0</v>
      </c>
      <c r="E141" s="8">
        <v>8.0</v>
      </c>
      <c r="F141" s="8">
        <v>9.0</v>
      </c>
      <c r="G141" s="8" t="s">
        <v>24</v>
      </c>
      <c r="H141" s="9"/>
      <c r="I141" s="9"/>
      <c r="N141" s="10" t="str">
        <f t="shared" si="2"/>
        <v>21-5922(b) - Aggravated Interference with Public Business; Interference when in possession of firearm or weapon</v>
      </c>
      <c r="O141" s="10" t="str">
        <f t="shared" si="3"/>
        <v>Aggravated Interference with Public Business</v>
      </c>
      <c r="Q141" s="10" t="str">
        <f>IFERROR(__xludf.DUMMYFUNCTION("""COMPUTED_VALUE"""),"Criminal Disclosure of a Warrant")</f>
        <v>Criminal Disclosure of a Warrant</v>
      </c>
    </row>
    <row r="142">
      <c r="A142" s="7" t="s">
        <v>290</v>
      </c>
      <c r="B142" s="8" t="s">
        <v>291</v>
      </c>
      <c r="C142" s="8">
        <v>6.0</v>
      </c>
      <c r="D142" s="8">
        <v>8.0</v>
      </c>
      <c r="E142" s="8">
        <v>8.0</v>
      </c>
      <c r="F142" s="8">
        <v>9.0</v>
      </c>
      <c r="G142" s="8" t="s">
        <v>24</v>
      </c>
      <c r="H142" s="9"/>
      <c r="I142" s="9"/>
      <c r="N142" s="10" t="str">
        <f t="shared" si="2"/>
        <v>21-5909(b)(3) - Aggravated Intimidation of a Witness or Victim; By one who has prior conviction for corruptly influencing a witness, or a violation of this act or any similar crime</v>
      </c>
      <c r="O142" s="10" t="str">
        <f t="shared" si="3"/>
        <v>Aggravated Intimidation of a Witness or Victim</v>
      </c>
      <c r="Q142" s="10" t="str">
        <f>IFERROR(__xludf.DUMMYFUNCTION("""COMPUTED_VALUE"""),"Criminal Disposal of Explosives")</f>
        <v>Criminal Disposal of Explosives</v>
      </c>
    </row>
    <row r="143">
      <c r="A143" s="7" t="s">
        <v>292</v>
      </c>
      <c r="B143" s="8" t="s">
        <v>293</v>
      </c>
      <c r="C143" s="8">
        <v>6.0</v>
      </c>
      <c r="D143" s="8">
        <v>8.0</v>
      </c>
      <c r="E143" s="8">
        <v>8.0</v>
      </c>
      <c r="F143" s="8">
        <v>9.0</v>
      </c>
      <c r="G143" s="8" t="s">
        <v>24</v>
      </c>
      <c r="H143" s="9"/>
      <c r="I143" s="9"/>
      <c r="N143" s="10" t="str">
        <f t="shared" si="2"/>
        <v>21-5909(b)(5) - Aggravated Intimidation of a Witness or Victim; Committed for pecuniary gain or for any other consideration by a person acting upon the request of another person</v>
      </c>
      <c r="O143" s="10" t="str">
        <f t="shared" si="3"/>
        <v>Aggravated Intimidation of a Witness or Victim</v>
      </c>
      <c r="Q143" s="10" t="str">
        <f>IFERROR(__xludf.DUMMYFUNCTION("""COMPUTED_VALUE"""),"Criminal Distribution of Firearms to a Felon")</f>
        <v>Criminal Distribution of Firearms to a Felon</v>
      </c>
    </row>
    <row r="144">
      <c r="A144" s="7" t="s">
        <v>294</v>
      </c>
      <c r="B144" s="8" t="s">
        <v>295</v>
      </c>
      <c r="C144" s="8">
        <v>6.0</v>
      </c>
      <c r="D144" s="8">
        <v>8.0</v>
      </c>
      <c r="E144" s="8">
        <v>8.0</v>
      </c>
      <c r="F144" s="8">
        <v>9.0</v>
      </c>
      <c r="G144" s="8" t="s">
        <v>24</v>
      </c>
      <c r="H144" s="9"/>
      <c r="I144" s="9"/>
      <c r="N144" s="10" t="str">
        <f t="shared" si="2"/>
        <v>21-5909(b)(1) - Aggravated Intimidation of a Witness or Victim; Express or implied threat of force or violence against a witness, victim or other person or the property of any witness, victim or other person</v>
      </c>
      <c r="O144" s="10" t="str">
        <f t="shared" si="3"/>
        <v>Aggravated Intimidation of a Witness or Victim</v>
      </c>
      <c r="Q144" s="10" t="str">
        <f>IFERROR(__xludf.DUMMYFUNCTION("""COMPUTED_VALUE"""),"Criminal False Communication")</f>
        <v>Criminal False Communication</v>
      </c>
    </row>
    <row r="145">
      <c r="A145" s="7" t="s">
        <v>296</v>
      </c>
      <c r="B145" s="8" t="s">
        <v>297</v>
      </c>
      <c r="C145" s="8">
        <v>6.0</v>
      </c>
      <c r="D145" s="8">
        <v>8.0</v>
      </c>
      <c r="E145" s="8">
        <v>8.0</v>
      </c>
      <c r="F145" s="8">
        <v>9.0</v>
      </c>
      <c r="G145" s="8" t="s">
        <v>24</v>
      </c>
      <c r="H145" s="9"/>
      <c r="I145" s="9"/>
      <c r="N145" s="10" t="str">
        <f t="shared" si="2"/>
        <v>21-5909(b)(2) - Aggravated Intimidation of a Witness or Victim; In furtherance of a conspiracy</v>
      </c>
      <c r="O145" s="10" t="str">
        <f t="shared" si="3"/>
        <v>Aggravated Intimidation of a Witness or Victim</v>
      </c>
      <c r="Q145" s="10" t="str">
        <f>IFERROR(__xludf.DUMMYFUNCTION("""COMPUTED_VALUE"""),"Criminal Hunting")</f>
        <v>Criminal Hunting</v>
      </c>
    </row>
    <row r="146">
      <c r="A146" s="7" t="s">
        <v>298</v>
      </c>
      <c r="B146" s="8" t="s">
        <v>299</v>
      </c>
      <c r="C146" s="8">
        <v>6.0</v>
      </c>
      <c r="D146" s="8">
        <v>8.0</v>
      </c>
      <c r="E146" s="8">
        <v>8.0</v>
      </c>
      <c r="F146" s="8">
        <v>9.0</v>
      </c>
      <c r="G146" s="8" t="s">
        <v>24</v>
      </c>
      <c r="H146" s="9"/>
      <c r="I146" s="9"/>
      <c r="N146" s="10" t="str">
        <f t="shared" si="2"/>
        <v>21-5909(b)(4) - Aggravated Intimidation of a Witness or Victim; Witness or victim is under 18</v>
      </c>
      <c r="O146" s="10" t="str">
        <f t="shared" si="3"/>
        <v>Aggravated Intimidation of a Witness or Victim</v>
      </c>
      <c r="Q146" s="10" t="str">
        <f>IFERROR(__xludf.DUMMYFUNCTION("""COMPUTED_VALUE"""),"Criminal Littering")</f>
        <v>Criminal Littering</v>
      </c>
    </row>
    <row r="147">
      <c r="A147" s="7" t="s">
        <v>300</v>
      </c>
      <c r="B147" s="8" t="s">
        <v>301</v>
      </c>
      <c r="C147" s="8">
        <v>1.0</v>
      </c>
      <c r="D147" s="8">
        <v>3.0</v>
      </c>
      <c r="E147" s="8">
        <v>3.0</v>
      </c>
      <c r="F147" s="8">
        <v>4.0</v>
      </c>
      <c r="G147" s="8" t="s">
        <v>24</v>
      </c>
      <c r="H147" s="8" t="s">
        <v>109</v>
      </c>
      <c r="I147" s="9"/>
      <c r="N147" s="10" t="str">
        <f t="shared" si="2"/>
        <v>21-5408(b) - Aggravated Kidnapping; Bodily harm inflicted upon the person kidnapped</v>
      </c>
      <c r="O147" s="10" t="str">
        <f t="shared" si="3"/>
        <v>Aggravated Kidnapping</v>
      </c>
      <c r="Q147" s="10" t="str">
        <f>IFERROR(__xludf.DUMMYFUNCTION("""COMPUTED_VALUE"""),"Criminal Possession of Explosives")</f>
        <v>Criminal Possession of Explosives</v>
      </c>
    </row>
    <row r="148">
      <c r="A148" s="7" t="s">
        <v>302</v>
      </c>
      <c r="B148" s="8" t="s">
        <v>303</v>
      </c>
      <c r="C148" s="8">
        <v>3.0</v>
      </c>
      <c r="D148" s="8">
        <v>5.0</v>
      </c>
      <c r="E148" s="8">
        <v>5.0</v>
      </c>
      <c r="F148" s="8">
        <v>6.0</v>
      </c>
      <c r="G148" s="8" t="s">
        <v>24</v>
      </c>
      <c r="H148" s="9"/>
      <c r="I148" s="9"/>
      <c r="N148" s="10" t="str">
        <f t="shared" si="2"/>
        <v>21-5420(b) - Aggravated Robbery; Armed with a dangerous weapon or inflicts bodily harm upon a person during robbery</v>
      </c>
      <c r="O148" s="10" t="str">
        <f t="shared" si="3"/>
        <v>Aggravated Robbery</v>
      </c>
      <c r="Q148" s="10" t="str">
        <f>IFERROR(__xludf.DUMMYFUNCTION("""COMPUTED_VALUE"""),"Criminal Possession of Firearm")</f>
        <v>Criminal Possession of Firearm</v>
      </c>
    </row>
    <row r="149">
      <c r="A149" s="7" t="s">
        <v>304</v>
      </c>
      <c r="B149" s="8" t="s">
        <v>305</v>
      </c>
      <c r="C149" s="8">
        <v>5.0</v>
      </c>
      <c r="D149" s="8">
        <v>7.0</v>
      </c>
      <c r="E149" s="8">
        <v>7.0</v>
      </c>
      <c r="F149" s="8">
        <v>8.0</v>
      </c>
      <c r="G149" s="8" t="s">
        <v>24</v>
      </c>
      <c r="H149" s="8" t="s">
        <v>109</v>
      </c>
      <c r="I149" s="8" t="s">
        <v>54</v>
      </c>
      <c r="N149" s="10" t="str">
        <f t="shared" si="2"/>
        <v>21-5505(b)(3) - Aggravated Sexual Battery; Intentional nonconsensual touching; child 16 or more; victim incapable of giving consent because of mental deficiency or disease or under effect of any alcoholic liquor, narcotic, drug or other substance</v>
      </c>
      <c r="O149" s="10" t="str">
        <f t="shared" si="3"/>
        <v>Aggravated Sexual Battery</v>
      </c>
      <c r="Q149" s="10" t="str">
        <f>IFERROR(__xludf.DUMMYFUNCTION("""COMPUTED_VALUE"""),"Criminal Possession of Weapon by a Convicted Felon")</f>
        <v>Criminal Possession of Weapon by a Convicted Felon</v>
      </c>
    </row>
    <row r="150">
      <c r="A150" s="7" t="s">
        <v>306</v>
      </c>
      <c r="B150" s="8" t="s">
        <v>307</v>
      </c>
      <c r="C150" s="8">
        <v>5.0</v>
      </c>
      <c r="D150" s="8">
        <v>7.0</v>
      </c>
      <c r="E150" s="8">
        <v>7.0</v>
      </c>
      <c r="F150" s="8">
        <v>8.0</v>
      </c>
      <c r="G150" s="8" t="s">
        <v>24</v>
      </c>
      <c r="H150" s="8" t="s">
        <v>109</v>
      </c>
      <c r="I150" s="8" t="s">
        <v>54</v>
      </c>
      <c r="N150" s="10" t="str">
        <f t="shared" si="2"/>
        <v>21-5505(b)(1) - Aggravated Sexual Battery; Intentional nonconsensual touching; child 16 or more; victim overcome by force or fear</v>
      </c>
      <c r="O150" s="10" t="str">
        <f t="shared" si="3"/>
        <v>Aggravated Sexual Battery</v>
      </c>
      <c r="Q150" s="10" t="str">
        <f>IFERROR(__xludf.DUMMYFUNCTION("""COMPUTED_VALUE"""),"Criminal Procedure")</f>
        <v>Criminal Procedure</v>
      </c>
    </row>
    <row r="151">
      <c r="A151" s="7" t="s">
        <v>308</v>
      </c>
      <c r="B151" s="8" t="s">
        <v>309</v>
      </c>
      <c r="C151" s="8">
        <v>5.0</v>
      </c>
      <c r="D151" s="8">
        <v>7.0</v>
      </c>
      <c r="E151" s="8">
        <v>7.0</v>
      </c>
      <c r="F151" s="8">
        <v>8.0</v>
      </c>
      <c r="G151" s="8" t="s">
        <v>24</v>
      </c>
      <c r="H151" s="8" t="s">
        <v>109</v>
      </c>
      <c r="I151" s="8" t="s">
        <v>54</v>
      </c>
      <c r="N151" s="10" t="str">
        <f t="shared" si="2"/>
        <v>21-5505(b)(2) - Aggravated Sexual Battery; Intentional nonconsensual touching; child 16 or more; victim unconscious or physically powerless</v>
      </c>
      <c r="O151" s="10" t="str">
        <f t="shared" si="3"/>
        <v>Aggravated Sexual Battery</v>
      </c>
      <c r="Q151" s="10" t="str">
        <f>IFERROR(__xludf.DUMMYFUNCTION("""COMPUTED_VALUE"""),"Criminal Restraint")</f>
        <v>Criminal Restraint</v>
      </c>
    </row>
    <row r="152">
      <c r="A152" s="7" t="s">
        <v>310</v>
      </c>
      <c r="B152" s="8" t="s">
        <v>311</v>
      </c>
      <c r="C152" s="8">
        <v>7.0</v>
      </c>
      <c r="D152" s="8">
        <v>9.0</v>
      </c>
      <c r="E152" s="8">
        <v>9.0</v>
      </c>
      <c r="F152" s="8">
        <v>10.0</v>
      </c>
      <c r="G152" s="8" t="s">
        <v>21</v>
      </c>
      <c r="H152" s="9"/>
      <c r="I152" s="9"/>
      <c r="N152" s="10" t="str">
        <f t="shared" si="2"/>
        <v>21-5817(b) - Aggravated Tampering with a Traffic Signal; Tampering which creates an unreasonable risk of an accident causing death or great bodily injury of any person</v>
      </c>
      <c r="O152" s="10" t="str">
        <f t="shared" si="3"/>
        <v>Aggravated Tampering with a Traffic Signal</v>
      </c>
      <c r="Q152" s="10" t="str">
        <f>IFERROR(__xludf.DUMMYFUNCTION("""COMPUTED_VALUE"""),"Criminal Sodomy")</f>
        <v>Criminal Sodomy</v>
      </c>
    </row>
    <row r="153">
      <c r="A153" s="7" t="s">
        <v>312</v>
      </c>
      <c r="B153" s="8" t="s">
        <v>313</v>
      </c>
      <c r="C153" s="8">
        <v>9.0</v>
      </c>
      <c r="D153" s="8">
        <v>10.0</v>
      </c>
      <c r="E153" s="8">
        <v>10.0</v>
      </c>
      <c r="F153" s="8">
        <v>10.0</v>
      </c>
      <c r="G153" s="8" t="s">
        <v>24</v>
      </c>
      <c r="H153" s="9"/>
      <c r="I153" s="9"/>
      <c r="N153" s="10" t="str">
        <f t="shared" si="2"/>
        <v>21-5611(b)(1)(B) - Aggravated unlawful transmission of a visual depiction of a child; Knowingly transmitting a visual depiction of a child 12 or more years of age but less than 18 years of age in a state of nudity for pecuniary gain</v>
      </c>
      <c r="O153" s="10" t="str">
        <f t="shared" si="3"/>
        <v>Aggravated unlawful transmission of a visual depiction of a child</v>
      </c>
      <c r="Q153" s="10" t="str">
        <f>IFERROR(__xludf.DUMMYFUNCTION("""COMPUTED_VALUE"""),"Criminal Street Gangs")</f>
        <v>Criminal Street Gangs</v>
      </c>
    </row>
    <row r="154">
      <c r="A154" s="7" t="s">
        <v>314</v>
      </c>
      <c r="B154" s="8" t="s">
        <v>313</v>
      </c>
      <c r="C154" s="8">
        <v>7.0</v>
      </c>
      <c r="D154" s="8">
        <v>9.0</v>
      </c>
      <c r="E154" s="8">
        <v>9.0</v>
      </c>
      <c r="F154" s="8">
        <v>10.0</v>
      </c>
      <c r="G154" s="8" t="s">
        <v>24</v>
      </c>
      <c r="H154" s="9"/>
      <c r="I154" s="9"/>
      <c r="N154" s="10" t="str">
        <f t="shared" si="2"/>
        <v>21-5611(b)(1)(B) - Aggravated unlawful transmission of a visual depiction of a child; Knowingly transmitting a visual depiction of a child 12 or more years of age but less than 18 years of age in a state of nudity for pecuniary gain; 2nd or subsequent offense</v>
      </c>
      <c r="O154" s="10" t="str">
        <f t="shared" si="3"/>
        <v>Aggravated unlawful transmission of a visual depiction of a child</v>
      </c>
      <c r="Q154" s="10" t="str">
        <f>IFERROR(__xludf.DUMMYFUNCTION("""COMPUTED_VALUE"""),"Criminal Threat")</f>
        <v>Criminal Threat</v>
      </c>
    </row>
    <row r="155">
      <c r="A155" s="7" t="s">
        <v>315</v>
      </c>
      <c r="B155" s="8" t="s">
        <v>316</v>
      </c>
      <c r="C155" s="8">
        <v>9.0</v>
      </c>
      <c r="D155" s="8">
        <v>10.0</v>
      </c>
      <c r="E155" s="8">
        <v>10.0</v>
      </c>
      <c r="F155" s="8">
        <v>10.0</v>
      </c>
      <c r="G155" s="8" t="s">
        <v>24</v>
      </c>
      <c r="H155" s="9"/>
      <c r="I155" s="9"/>
      <c r="N155" s="10" t="str">
        <f t="shared" si="2"/>
        <v>21-5611(b)(1)(C) - Aggravated unlawful transmission of a visual depiction of a child; Knowingly transmitting a visual depiction of a child 12 or more years of age but less than 18 years of age in a state of nudity with the intent to exhibit or transmit such visual depiction to more than one person</v>
      </c>
      <c r="O155" s="10" t="str">
        <f t="shared" si="3"/>
        <v>Aggravated unlawful transmission of a visual depiction of a child</v>
      </c>
      <c r="Q155" s="10" t="str">
        <f>IFERROR(__xludf.DUMMYFUNCTION("""COMPUTED_VALUE"""),"Criminal Trespass on a Nuclear Generating Facility")</f>
        <v>Criminal Trespass on a Nuclear Generating Facility</v>
      </c>
    </row>
    <row r="156">
      <c r="A156" s="7" t="s">
        <v>317</v>
      </c>
      <c r="B156" s="8" t="s">
        <v>316</v>
      </c>
      <c r="C156" s="8">
        <v>7.0</v>
      </c>
      <c r="D156" s="8">
        <v>9.0</v>
      </c>
      <c r="E156" s="8">
        <v>9.0</v>
      </c>
      <c r="F156" s="8">
        <v>10.0</v>
      </c>
      <c r="G156" s="8" t="s">
        <v>24</v>
      </c>
      <c r="H156" s="9"/>
      <c r="I156" s="9"/>
      <c r="N156" s="10" t="str">
        <f t="shared" si="2"/>
        <v>21-5611(b)(1)(C) - Aggravated unlawful transmission of a visual depiction of a child; Knowingly transmitting a visual depiction of a child 12 or more years of age but less than 18 years of age in a state of nudity with the intent to exhibit or transmit such visual depiction to more than one person; 2nd or subsequent offense</v>
      </c>
      <c r="O156" s="10" t="str">
        <f t="shared" si="3"/>
        <v>Aggravated unlawful transmission of a visual depiction of a child</v>
      </c>
      <c r="Q156" s="10" t="str">
        <f>IFERROR(__xludf.DUMMYFUNCTION("""COMPUTED_VALUE"""),"Criminal Trespass")</f>
        <v>Criminal Trespass</v>
      </c>
    </row>
    <row r="157">
      <c r="A157" s="7" t="s">
        <v>318</v>
      </c>
      <c r="B157" s="8" t="s">
        <v>319</v>
      </c>
      <c r="C157" s="8">
        <v>9.0</v>
      </c>
      <c r="D157" s="8">
        <v>10.0</v>
      </c>
      <c r="E157" s="8">
        <v>10.0</v>
      </c>
      <c r="F157" s="8">
        <v>10.0</v>
      </c>
      <c r="G157" s="8" t="s">
        <v>24</v>
      </c>
      <c r="H157" s="9"/>
      <c r="I157" s="9"/>
      <c r="N157" s="10" t="str">
        <f t="shared" si="2"/>
        <v>21-5611(b)(1)(A) - Aggravated unlawful transmission of a visual depiction of a child; Knowingly transmitting a visual depiction of a child 12 or more years of age but less than 18 years of age in a state of nudity with the intent to harass, embarrass, intimidate, defame or otherwise inflict emotional, psychological or physical harm</v>
      </c>
      <c r="O157" s="10" t="str">
        <f t="shared" si="3"/>
        <v>Aggravated unlawful transmission of a visual depiction of a child</v>
      </c>
      <c r="Q157" s="10" t="str">
        <f>IFERROR(__xludf.DUMMYFUNCTION("""COMPUTED_VALUE"""),"Criminal Use of  Financial Card")</f>
        <v>Criminal Use of  Financial Card</v>
      </c>
    </row>
    <row r="158">
      <c r="A158" s="7" t="s">
        <v>320</v>
      </c>
      <c r="B158" s="8" t="s">
        <v>319</v>
      </c>
      <c r="C158" s="8">
        <v>7.0</v>
      </c>
      <c r="D158" s="8">
        <v>9.0</v>
      </c>
      <c r="E158" s="8">
        <v>9.0</v>
      </c>
      <c r="F158" s="8">
        <v>10.0</v>
      </c>
      <c r="G158" s="8" t="s">
        <v>24</v>
      </c>
      <c r="H158" s="9"/>
      <c r="I158" s="9"/>
      <c r="N158" s="10" t="str">
        <f t="shared" si="2"/>
        <v>21-5611(b)(1)(A) - Aggravated unlawful transmission of a visual depiction of a child; Knowingly transmitting a visual depiction of a child 12 or more years of age but less than 18 years of age in a state of nudity with the intent to harass, embarrass, intimidate, defame or otherwise inflict emotional, psychological or physical harm; 2nd or subsequent offense</v>
      </c>
      <c r="O158" s="10" t="str">
        <f t="shared" si="3"/>
        <v>Aggravated unlawful transmission of a visual depiction of a child</v>
      </c>
      <c r="Q158" s="10" t="str">
        <f>IFERROR(__xludf.DUMMYFUNCTION("""COMPUTED_VALUE"""),"Criminal Use of a Financial Card")</f>
        <v>Criminal Use of a Financial Card</v>
      </c>
    </row>
    <row r="159">
      <c r="A159" s="7" t="s">
        <v>321</v>
      </c>
      <c r="B159" s="8" t="s">
        <v>322</v>
      </c>
      <c r="C159" s="8">
        <v>9.0</v>
      </c>
      <c r="D159" s="8">
        <v>10.0</v>
      </c>
      <c r="E159" s="8">
        <v>10.0</v>
      </c>
      <c r="F159" s="8">
        <v>10.0</v>
      </c>
      <c r="G159" s="8" t="s">
        <v>21</v>
      </c>
      <c r="H159" s="9"/>
      <c r="I159" s="9"/>
      <c r="N159" s="10" t="str">
        <f t="shared" si="2"/>
        <v>21-6305(a)(1) - Aggravated Weapons Violation by a Convicted Felon; Violation of subsections (a)(1) through (a)(3) of K.S.A. 21-6301 or K.S.A. 21-6302 by a person who within 5 yrs preceding the violation, has been convicted of a nonperson felony or released from imprisonment for such nonperson felony</v>
      </c>
      <c r="O159" s="10" t="str">
        <f t="shared" si="3"/>
        <v>Aggravated Weapons Violation by a Convicted Felon</v>
      </c>
      <c r="Q159" s="10" t="str">
        <f>IFERROR(__xludf.DUMMYFUNCTION("""COMPUTED_VALUE"""),"Criminal Use of Explosives")</f>
        <v>Criminal Use of Explosives</v>
      </c>
    </row>
    <row r="160">
      <c r="A160" s="7" t="s">
        <v>323</v>
      </c>
      <c r="B160" s="8" t="s">
        <v>324</v>
      </c>
      <c r="C160" s="8">
        <v>9.0</v>
      </c>
      <c r="D160" s="8">
        <v>10.0</v>
      </c>
      <c r="E160" s="8">
        <v>10.0</v>
      </c>
      <c r="F160" s="8">
        <v>10.0</v>
      </c>
      <c r="G160" s="8" t="s">
        <v>21</v>
      </c>
      <c r="H160" s="9"/>
      <c r="I160" s="9"/>
      <c r="N160" s="10" t="str">
        <f t="shared" si="2"/>
        <v>21-6305(a)(2) - Aggravated Weapons Violation by a Convicted Felon; Violation of subsections (a)(1) through (a)(3) of K.S.A. 21-6301 or subsections (a)(1) through (a)(4) of K.S.A. 21-6302 by a person who has been convicted of a person felony or has been released from imprisonment for such and has not had the conviction expunged or been pardoned for such crime</v>
      </c>
      <c r="O160" s="10" t="str">
        <f t="shared" si="3"/>
        <v>Aggravated Weapons Violation by a Convicted Felon</v>
      </c>
      <c r="Q160" s="10" t="str">
        <f>IFERROR(__xludf.DUMMYFUNCTION("""COMPUTED_VALUE"""),"Criminal Use of Financial Card")</f>
        <v>Criminal Use of Financial Card</v>
      </c>
    </row>
    <row r="161">
      <c r="A161" s="7" t="s">
        <v>325</v>
      </c>
      <c r="B161" s="8" t="s">
        <v>324</v>
      </c>
      <c r="C161" s="8">
        <v>8.0</v>
      </c>
      <c r="D161" s="8">
        <v>10.0</v>
      </c>
      <c r="E161" s="8">
        <v>10.0</v>
      </c>
      <c r="F161" s="8">
        <v>10.0</v>
      </c>
      <c r="G161" s="8" t="s">
        <v>21</v>
      </c>
      <c r="H161" s="9"/>
      <c r="I161" s="9"/>
      <c r="N161" s="10" t="str">
        <f t="shared" si="2"/>
        <v>21-6305(a)(2) - Aggravated Weapons Violation by a Convicted Felon; Violation of subsections (a)(4) through (a)(6) of K.S.A. 21-6301 or subsection (a)(5) of K.S.A. 21-6302 by a person who has been convicted of a person felony or has been released from imprisonment for such and has not had the conviction expunged or been pardoned for such crime</v>
      </c>
      <c r="O161" s="10" t="str">
        <f t="shared" si="3"/>
        <v>Aggravated Weapons Violation by a Convicted Felon</v>
      </c>
      <c r="Q161" s="10" t="str">
        <f>IFERROR(__xludf.DUMMYFUNCTION("""COMPUTED_VALUE"""),"Criminal Use of Weapons")</f>
        <v>Criminal Use of Weapons</v>
      </c>
    </row>
    <row r="162">
      <c r="A162" s="7" t="s">
        <v>326</v>
      </c>
      <c r="B162" s="8" t="s">
        <v>322</v>
      </c>
      <c r="C162" s="8">
        <v>8.0</v>
      </c>
      <c r="D162" s="8">
        <v>10.0</v>
      </c>
      <c r="E162" s="8">
        <v>10.0</v>
      </c>
      <c r="F162" s="8">
        <v>10.0</v>
      </c>
      <c r="G162" s="8" t="s">
        <v>21</v>
      </c>
      <c r="H162" s="9"/>
      <c r="I162" s="9"/>
      <c r="N162" s="10" t="str">
        <f t="shared" si="2"/>
        <v>21-6305(a)(1) - Aggravated Weapons Violation by a Convicted Felon; Violation of subsections (a)(4) through (a)(6) of K.S.A. 21-6301 or subsection (a)(5) of K.S.A. 21-6302 by a person who within 5 yrs preceding the violation, has been convicted of a nonperson felony or released from imprisonment for such nonperson felony</v>
      </c>
      <c r="O162" s="10" t="str">
        <f t="shared" si="3"/>
        <v>Aggravated Weapons Violation by a Convicted Felon</v>
      </c>
      <c r="Q162" s="10" t="str">
        <f>IFERROR(__xludf.DUMMYFUNCTION("""COMPUTED_VALUE"""),"Crude Oil or Petroleum")</f>
        <v>Crude Oil or Petroleum</v>
      </c>
    </row>
    <row r="163">
      <c r="A163" s="7" t="s">
        <v>327</v>
      </c>
      <c r="B163" s="8" t="s">
        <v>328</v>
      </c>
      <c r="C163" s="8" t="s">
        <v>18</v>
      </c>
      <c r="D163" s="8" t="s">
        <v>18</v>
      </c>
      <c r="E163" s="8" t="s">
        <v>19</v>
      </c>
      <c r="F163" s="8" t="s">
        <v>20</v>
      </c>
      <c r="G163" s="8" t="s">
        <v>21</v>
      </c>
      <c r="H163" s="9"/>
      <c r="I163" s="9"/>
      <c r="J163" s="10">
        <f t="shared" ref="J163:M163" si="36">ifs(OR($H163="R",$I163="N"),"N/A",OR(C163="A",C163="B",C163="C",C163="U"),3,TRUE,"FLAG")</f>
        <v>3</v>
      </c>
      <c r="K163" s="10">
        <f t="shared" si="36"/>
        <v>3</v>
      </c>
      <c r="L163" s="10">
        <f t="shared" si="36"/>
        <v>3</v>
      </c>
      <c r="M163" s="10" t="str">
        <f t="shared" si="36"/>
        <v>FLAG</v>
      </c>
      <c r="N163" s="10" t="str">
        <f t="shared" si="2"/>
        <v>2-2203(b)(1) - Agricultural Chemical Act of 1947; Detach, alter, deface, or destroy, any label or labeling required; add substance to, or take substance from, an agricultural chemical which may defeat the purposes of this act</v>
      </c>
      <c r="O163" s="10" t="str">
        <f t="shared" si="3"/>
        <v>Agricultural Chemical Act of 1947</v>
      </c>
      <c r="Q163" s="10" t="str">
        <f>IFERROR(__xludf.DUMMYFUNCTION("""COMPUTED_VALUE"""),"Cruelty to Animals")</f>
        <v>Cruelty to Animals</v>
      </c>
    </row>
    <row r="164">
      <c r="A164" s="7" t="s">
        <v>329</v>
      </c>
      <c r="B164" s="8" t="s">
        <v>330</v>
      </c>
      <c r="C164" s="8" t="s">
        <v>18</v>
      </c>
      <c r="D164" s="8" t="s">
        <v>18</v>
      </c>
      <c r="E164" s="8" t="s">
        <v>19</v>
      </c>
      <c r="F164" s="8" t="s">
        <v>20</v>
      </c>
      <c r="G164" s="8" t="s">
        <v>21</v>
      </c>
      <c r="H164" s="9"/>
      <c r="I164" s="9"/>
      <c r="J164" s="10">
        <f t="shared" ref="J164:M164" si="37">ifs(OR($H164="R",$I164="N"),"N/A",OR(C164="A",C164="B",C164="C",C164="U"),3,TRUE,"FLAG")</f>
        <v>3</v>
      </c>
      <c r="K164" s="10">
        <f t="shared" si="37"/>
        <v>3</v>
      </c>
      <c r="L164" s="10">
        <f t="shared" si="37"/>
        <v>3</v>
      </c>
      <c r="M164" s="10" t="str">
        <f t="shared" si="37"/>
        <v>FLAG</v>
      </c>
      <c r="N164" s="10" t="str">
        <f t="shared" si="2"/>
        <v>2-2203(a)(7) - Agricultural Chemical Act of 1947; Distribution/sale of any agricultural chemical which is adulterated or misbranded</v>
      </c>
      <c r="O164" s="10" t="str">
        <f t="shared" si="3"/>
        <v>Agricultural Chemical Act of 1947</v>
      </c>
      <c r="Q164" s="10" t="str">
        <f>IFERROR(__xludf.DUMMYFUNCTION("""COMPUTED_VALUE"""),"Dairy Commission")</f>
        <v>Dairy Commission</v>
      </c>
    </row>
    <row r="165">
      <c r="A165" s="7" t="s">
        <v>331</v>
      </c>
      <c r="B165" s="8" t="s">
        <v>332</v>
      </c>
      <c r="C165" s="8" t="s">
        <v>18</v>
      </c>
      <c r="D165" s="8" t="s">
        <v>18</v>
      </c>
      <c r="E165" s="8" t="s">
        <v>19</v>
      </c>
      <c r="F165" s="8" t="s">
        <v>20</v>
      </c>
      <c r="G165" s="8" t="s">
        <v>21</v>
      </c>
      <c r="H165" s="9"/>
      <c r="I165" s="9"/>
      <c r="J165" s="10">
        <f t="shared" ref="J165:M165" si="38">ifs(OR($H165="R",$I165="N"),"N/A",OR(C165="A",C165="B",C165="C",C165="U"),3,TRUE,"FLAG")</f>
        <v>3</v>
      </c>
      <c r="K165" s="10">
        <f t="shared" si="38"/>
        <v>3</v>
      </c>
      <c r="L165" s="10">
        <f t="shared" si="38"/>
        <v>3</v>
      </c>
      <c r="M165" s="10" t="str">
        <f t="shared" si="38"/>
        <v>FLAG</v>
      </c>
      <c r="N165" s="10" t="str">
        <f t="shared" si="2"/>
        <v>2-2203(a)(3) - Agricultural Chemical Act of 1947; Distribution/sale of any agricultural chemical with different composition from what is represented in connection with its registration, unless authorized by the secretary</v>
      </c>
      <c r="O165" s="10" t="str">
        <f t="shared" si="3"/>
        <v>Agricultural Chemical Act of 1947</v>
      </c>
      <c r="Q165" s="10" t="str">
        <f>IFERROR(__xludf.DUMMYFUNCTION("""COMPUTED_VALUE"""),"Dangerous Animals")</f>
        <v>Dangerous Animals</v>
      </c>
    </row>
    <row r="166">
      <c r="A166" s="7" t="s">
        <v>333</v>
      </c>
      <c r="B166" s="8" t="s">
        <v>334</v>
      </c>
      <c r="C166" s="8" t="s">
        <v>18</v>
      </c>
      <c r="D166" s="8" t="s">
        <v>18</v>
      </c>
      <c r="E166" s="8" t="s">
        <v>19</v>
      </c>
      <c r="F166" s="8" t="s">
        <v>20</v>
      </c>
      <c r="G166" s="8" t="s">
        <v>21</v>
      </c>
      <c r="H166" s="9"/>
      <c r="I166" s="9"/>
      <c r="J166" s="10">
        <f t="shared" ref="J166:M166" si="39">ifs(OR($H166="R",$I166="N"),"N/A",OR(C166="A",C166="B",C166="C",C166="U"),3,TRUE,"FLAG")</f>
        <v>3</v>
      </c>
      <c r="K166" s="10">
        <f t="shared" si="39"/>
        <v>3</v>
      </c>
      <c r="L166" s="10">
        <f t="shared" si="39"/>
        <v>3</v>
      </c>
      <c r="M166" s="10" t="str">
        <f t="shared" si="39"/>
        <v>FLAG</v>
      </c>
      <c r="N166" s="10" t="str">
        <f t="shared" si="2"/>
        <v>2-2203(a)(4) - Agricultural Chemical Act of 1947; Distribution/sale of any agricultural chemical, not in the registrant's or manufacturer's unbroken immediate container and properly labeled</v>
      </c>
      <c r="O166" s="10" t="str">
        <f t="shared" si="3"/>
        <v>Agricultural Chemical Act of 1947</v>
      </c>
      <c r="Q166" s="10" t="str">
        <f>IFERROR(__xludf.DUMMYFUNCTION("""COMPUTED_VALUE"""),"Dangerous Regulated Animals")</f>
        <v>Dangerous Regulated Animals</v>
      </c>
    </row>
    <row r="167">
      <c r="A167" s="7" t="s">
        <v>335</v>
      </c>
      <c r="B167" s="8" t="s">
        <v>336</v>
      </c>
      <c r="C167" s="8" t="s">
        <v>18</v>
      </c>
      <c r="D167" s="8" t="s">
        <v>18</v>
      </c>
      <c r="E167" s="8" t="s">
        <v>19</v>
      </c>
      <c r="F167" s="8" t="s">
        <v>20</v>
      </c>
      <c r="G167" s="8" t="s">
        <v>21</v>
      </c>
      <c r="H167" s="9"/>
      <c r="I167" s="9"/>
      <c r="J167" s="10">
        <f t="shared" ref="J167:M167" si="40">ifs(OR($H167="R",$I167="N"),"N/A",OR(C167="A",C167="B",C167="C",C167="U"),3,TRUE,"FLAG")</f>
        <v>3</v>
      </c>
      <c r="K167" s="10">
        <f t="shared" si="40"/>
        <v>3</v>
      </c>
      <c r="L167" s="10">
        <f t="shared" si="40"/>
        <v>3</v>
      </c>
      <c r="M167" s="10" t="str">
        <f t="shared" si="40"/>
        <v>FLAG</v>
      </c>
      <c r="N167" s="10" t="str">
        <f t="shared" si="2"/>
        <v>2-2203(a)(5) - Agricultural Chemical Act of 1947; Distribution/sale of any improperly labeled agricultural chemical which contains any substance or substances in quantities highly toxic to man</v>
      </c>
      <c r="O167" s="10" t="str">
        <f t="shared" si="3"/>
        <v>Agricultural Chemical Act of 1947</v>
      </c>
      <c r="Q167" s="10" t="str">
        <f>IFERROR(__xludf.DUMMYFUNCTION("""COMPUTED_VALUE"""),"Dealing in False Identification Documents")</f>
        <v>Dealing in False Identification Documents</v>
      </c>
    </row>
    <row r="168">
      <c r="A168" s="7" t="s">
        <v>337</v>
      </c>
      <c r="B168" s="8" t="s">
        <v>338</v>
      </c>
      <c r="C168" s="8" t="s">
        <v>18</v>
      </c>
      <c r="D168" s="8" t="s">
        <v>18</v>
      </c>
      <c r="E168" s="8" t="s">
        <v>19</v>
      </c>
      <c r="F168" s="8" t="s">
        <v>20</v>
      </c>
      <c r="G168" s="8" t="s">
        <v>21</v>
      </c>
      <c r="H168" s="9"/>
      <c r="I168" s="9"/>
      <c r="J168" s="10">
        <f t="shared" ref="J168:M168" si="41">ifs(OR($H168="R",$I168="N"),"N/A",OR(C168="A",C168="B",C168="C",C168="U"),3,TRUE,"FLAG")</f>
        <v>3</v>
      </c>
      <c r="K168" s="10">
        <f t="shared" si="41"/>
        <v>3</v>
      </c>
      <c r="L168" s="10">
        <f t="shared" si="41"/>
        <v>3</v>
      </c>
      <c r="M168" s="10" t="str">
        <f t="shared" si="41"/>
        <v>FLAG</v>
      </c>
      <c r="N168" s="10" t="str">
        <f t="shared" si="2"/>
        <v>2-2203(a)(6) - Agricultural Chemical Act of 1947; Distribution/sale of certain chemicals without distinctly coloring such as required</v>
      </c>
      <c r="O168" s="10" t="str">
        <f t="shared" si="3"/>
        <v>Agricultural Chemical Act of 1947</v>
      </c>
      <c r="Q168" s="10" t="str">
        <f>IFERROR(__xludf.DUMMYFUNCTION("""COMPUTED_VALUE"""),"Dealing in Gambling Devices")</f>
        <v>Dealing in Gambling Devices</v>
      </c>
    </row>
    <row r="169">
      <c r="A169" s="7" t="s">
        <v>339</v>
      </c>
      <c r="B169" s="8" t="s">
        <v>340</v>
      </c>
      <c r="C169" s="8" t="s">
        <v>18</v>
      </c>
      <c r="D169" s="8" t="s">
        <v>18</v>
      </c>
      <c r="E169" s="8" t="s">
        <v>19</v>
      </c>
      <c r="F169" s="8" t="s">
        <v>20</v>
      </c>
      <c r="G169" s="8" t="s">
        <v>21</v>
      </c>
      <c r="H169" s="9"/>
      <c r="I169" s="9"/>
      <c r="J169" s="10">
        <f t="shared" ref="J169:M169" si="42">ifs(OR($H169="R",$I169="N"),"N/A",OR(C169="A",C169="B",C169="C",C169="U"),3,TRUE,"FLAG")</f>
        <v>3</v>
      </c>
      <c r="K169" s="10">
        <f t="shared" si="42"/>
        <v>3</v>
      </c>
      <c r="L169" s="10">
        <f t="shared" si="42"/>
        <v>3</v>
      </c>
      <c r="M169" s="10" t="str">
        <f t="shared" si="42"/>
        <v>FLAG</v>
      </c>
      <c r="N169" s="10" t="str">
        <f t="shared" si="2"/>
        <v>2-2203(a)(2) - Agricultural Chemical Act of 1947; Distribution/sale; agricultural chemical, with claims or directions differing in substance from representations made in its registration</v>
      </c>
      <c r="O169" s="10" t="str">
        <f t="shared" si="3"/>
        <v>Agricultural Chemical Act of 1947</v>
      </c>
      <c r="Q169" s="10" t="str">
        <f>IFERROR(__xludf.DUMMYFUNCTION("""COMPUTED_VALUE"""),"Defacing Identification Marks of Firearm")</f>
        <v>Defacing Identification Marks of Firearm</v>
      </c>
    </row>
    <row r="170">
      <c r="A170" s="7" t="s">
        <v>341</v>
      </c>
      <c r="B170" s="8" t="s">
        <v>342</v>
      </c>
      <c r="C170" s="8" t="s">
        <v>18</v>
      </c>
      <c r="D170" s="8" t="s">
        <v>18</v>
      </c>
      <c r="E170" s="8" t="s">
        <v>19</v>
      </c>
      <c r="F170" s="8" t="s">
        <v>20</v>
      </c>
      <c r="G170" s="8" t="s">
        <v>21</v>
      </c>
      <c r="H170" s="9"/>
      <c r="I170" s="9"/>
      <c r="J170" s="10">
        <f t="shared" ref="J170:M170" si="43">ifs(OR($H170="R",$I170="N"),"N/A",OR(C170="A",C170="B",C170="C",C170="U"),3,TRUE,"FLAG")</f>
        <v>3</v>
      </c>
      <c r="K170" s="10">
        <f t="shared" si="43"/>
        <v>3</v>
      </c>
      <c r="L170" s="10">
        <f t="shared" si="43"/>
        <v>3</v>
      </c>
      <c r="M170" s="10" t="str">
        <f t="shared" si="43"/>
        <v>FLAG</v>
      </c>
      <c r="N170" s="10" t="str">
        <f t="shared" si="2"/>
        <v>2-2203(a)(1) - Agricultural Chemical Act of 1947; Distribution/sale; unregistered agricultural chemical</v>
      </c>
      <c r="O170" s="10" t="str">
        <f t="shared" si="3"/>
        <v>Agricultural Chemical Act of 1947</v>
      </c>
      <c r="Q170" s="10" t="str">
        <f>IFERROR(__xludf.DUMMYFUNCTION("""COMPUTED_VALUE"""),"Denial of Civil Rights")</f>
        <v>Denial of Civil Rights</v>
      </c>
    </row>
    <row r="171">
      <c r="A171" s="7" t="s">
        <v>343</v>
      </c>
      <c r="B171" s="8" t="s">
        <v>344</v>
      </c>
      <c r="C171" s="8" t="s">
        <v>18</v>
      </c>
      <c r="D171" s="8" t="s">
        <v>18</v>
      </c>
      <c r="E171" s="8" t="s">
        <v>19</v>
      </c>
      <c r="F171" s="8" t="s">
        <v>20</v>
      </c>
      <c r="G171" s="8" t="s">
        <v>21</v>
      </c>
      <c r="H171" s="9"/>
      <c r="I171" s="9"/>
      <c r="J171" s="10">
        <f t="shared" ref="J171:M171" si="44">ifs(OR($H171="R",$I171="N"),"N/A",OR(C171="A",C171="B",C171="C",C171="U"),3,TRUE,"FLAG")</f>
        <v>3</v>
      </c>
      <c r="K171" s="10">
        <f t="shared" si="44"/>
        <v>3</v>
      </c>
      <c r="L171" s="10">
        <f t="shared" si="44"/>
        <v>3</v>
      </c>
      <c r="M171" s="10" t="str">
        <f t="shared" si="44"/>
        <v>FLAG</v>
      </c>
      <c r="N171" s="10" t="str">
        <f t="shared" si="2"/>
        <v>2-2203(b)(2) - Agricultural Chemical Act of 1947; Use for his or her own advantage or to reveal, other than to authorized persons, any information relative to formulas of products acquired by authority of K.S.A. 2-2204</v>
      </c>
      <c r="O171" s="10" t="str">
        <f t="shared" si="3"/>
        <v>Agricultural Chemical Act of 1947</v>
      </c>
      <c r="Q171" s="10" t="str">
        <f>IFERROR(__xludf.DUMMYFUNCTION("""COMPUTED_VALUE"""),"Dental Practices Act")</f>
        <v>Dental Practices Act</v>
      </c>
    </row>
    <row r="172">
      <c r="A172" s="7" t="s">
        <v>345</v>
      </c>
      <c r="B172" s="8" t="s">
        <v>346</v>
      </c>
      <c r="C172" s="8" t="s">
        <v>27</v>
      </c>
      <c r="D172" s="8" t="s">
        <v>28</v>
      </c>
      <c r="E172" s="8" t="s">
        <v>19</v>
      </c>
      <c r="F172" s="8" t="s">
        <v>20</v>
      </c>
      <c r="G172" s="8" t="s">
        <v>21</v>
      </c>
      <c r="H172" s="9"/>
      <c r="I172" s="9"/>
      <c r="J172" s="10">
        <f t="shared" ref="J172:M172" si="45">ifs(OR($H172="R",$I172="N"),"N/A",OR(C172="A",C172="B",C172="C",C172="U"),3,TRUE,"FLAG")</f>
        <v>3</v>
      </c>
      <c r="K172" s="10">
        <f t="shared" si="45"/>
        <v>3</v>
      </c>
      <c r="L172" s="10">
        <f t="shared" si="45"/>
        <v>3</v>
      </c>
      <c r="M172" s="10" t="str">
        <f t="shared" si="45"/>
        <v>FLAG</v>
      </c>
      <c r="N172" s="10" t="str">
        <f t="shared" si="2"/>
        <v>17-5902(b) - Agricultural Corporations; Knowingly submit false or materially misleading information or statements; fail or refuse to submit information and statements as required</v>
      </c>
      <c r="O172" s="10" t="str">
        <f t="shared" si="3"/>
        <v>Agricultural Corporations</v>
      </c>
      <c r="Q172" s="10" t="str">
        <f>IFERROR(__xludf.DUMMYFUNCTION("""COMPUTED_VALUE"""),"Department of Administration")</f>
        <v>Department of Administration</v>
      </c>
    </row>
    <row r="173">
      <c r="A173" s="7" t="s">
        <v>347</v>
      </c>
      <c r="B173" s="8" t="s">
        <v>348</v>
      </c>
      <c r="C173" s="8" t="s">
        <v>18</v>
      </c>
      <c r="D173" s="8" t="s">
        <v>18</v>
      </c>
      <c r="E173" s="8" t="s">
        <v>19</v>
      </c>
      <c r="F173" s="8" t="s">
        <v>20</v>
      </c>
      <c r="G173" s="8" t="s">
        <v>21</v>
      </c>
      <c r="H173" s="9"/>
      <c r="I173" s="9"/>
      <c r="J173" s="10">
        <f t="shared" ref="J173:M173" si="46">ifs(OR($H173="R",$I173="N"),"N/A",OR(C173="A",C173="B",C173="C",C173="U"),3,TRUE,"FLAG")</f>
        <v>3</v>
      </c>
      <c r="K173" s="10">
        <f t="shared" si="46"/>
        <v>3</v>
      </c>
      <c r="L173" s="10">
        <f t="shared" si="46"/>
        <v>3</v>
      </c>
      <c r="M173" s="10" t="str">
        <f t="shared" si="46"/>
        <v>FLAG</v>
      </c>
      <c r="N173" s="10" t="str">
        <f t="shared" si="2"/>
        <v>2-2904(b) - Agricultural Liming Materials Act; Sale of agricultural liming material containing toxic materials in quantities injurious to plants or animals</v>
      </c>
      <c r="O173" s="10" t="str">
        <f t="shared" si="3"/>
        <v>Agricultural Liming Materials Act</v>
      </c>
      <c r="Q173" s="10" t="str">
        <f>IFERROR(__xludf.DUMMYFUNCTION("""COMPUTED_VALUE"""),"Department of Agriculture")</f>
        <v>Department of Agriculture</v>
      </c>
    </row>
    <row r="174">
      <c r="A174" s="7" t="s">
        <v>349</v>
      </c>
      <c r="B174" s="8" t="s">
        <v>350</v>
      </c>
      <c r="C174" s="8" t="s">
        <v>18</v>
      </c>
      <c r="D174" s="8" t="s">
        <v>18</v>
      </c>
      <c r="E174" s="8" t="s">
        <v>19</v>
      </c>
      <c r="F174" s="8" t="s">
        <v>20</v>
      </c>
      <c r="G174" s="8" t="s">
        <v>21</v>
      </c>
      <c r="H174" s="9"/>
      <c r="I174" s="9"/>
      <c r="J174" s="10">
        <f t="shared" ref="J174:M174" si="47">ifs(OR($H174="R",$I174="N"),"N/A",OR(C174="A",C174="B",C174="C",C174="U"),3,TRUE,"FLAG")</f>
        <v>3</v>
      </c>
      <c r="K174" s="10">
        <f t="shared" si="47"/>
        <v>3</v>
      </c>
      <c r="L174" s="10">
        <f t="shared" si="47"/>
        <v>3</v>
      </c>
      <c r="M174" s="10" t="str">
        <f t="shared" si="47"/>
        <v>FLAG</v>
      </c>
      <c r="N174" s="10" t="str">
        <f t="shared" si="2"/>
        <v>2-2904(a) - Agricultural Liming Materials Act; Sale of noncompliant agricultural liming material</v>
      </c>
      <c r="O174" s="10" t="str">
        <f t="shared" si="3"/>
        <v>Agricultural Liming Materials Act</v>
      </c>
      <c r="Q174" s="10" t="str">
        <f>IFERROR(__xludf.DUMMYFUNCTION("""COMPUTED_VALUE"""),"Department of Commerce")</f>
        <v>Department of Commerce</v>
      </c>
    </row>
    <row r="175">
      <c r="A175" s="7" t="s">
        <v>351</v>
      </c>
      <c r="B175" s="8" t="s">
        <v>352</v>
      </c>
      <c r="C175" s="8" t="s">
        <v>18</v>
      </c>
      <c r="D175" s="8" t="s">
        <v>18</v>
      </c>
      <c r="E175" s="8" t="s">
        <v>19</v>
      </c>
      <c r="F175" s="8" t="s">
        <v>20</v>
      </c>
      <c r="G175" s="8" t="s">
        <v>21</v>
      </c>
      <c r="H175" s="9"/>
      <c r="I175" s="9"/>
      <c r="J175" s="10">
        <f t="shared" ref="J175:M175" si="48">ifs(OR($H175="R",$I175="N"),"N/A",OR(C175="A",C175="B",C175="C",C175="U"),3,TRUE,"FLAG")</f>
        <v>3</v>
      </c>
      <c r="K175" s="10">
        <f t="shared" si="48"/>
        <v>3</v>
      </c>
      <c r="L175" s="10">
        <f t="shared" si="48"/>
        <v>3</v>
      </c>
      <c r="M175" s="10" t="str">
        <f t="shared" si="48"/>
        <v>FLAG</v>
      </c>
      <c r="N175" s="10" t="str">
        <f t="shared" si="2"/>
        <v>2-1421(b)(1) - Agricultural Seeds; Sale/Distribution of; alter or deface any label so that the information is false or misleading or to mutilate any label</v>
      </c>
      <c r="O175" s="10" t="str">
        <f t="shared" si="3"/>
        <v>Agricultural Seeds</v>
      </c>
      <c r="Q175" s="10" t="str">
        <f>IFERROR(__xludf.DUMMYFUNCTION("""COMPUTED_VALUE"""),"Derailment of Train")</f>
        <v>Derailment of Train</v>
      </c>
    </row>
    <row r="176">
      <c r="A176" s="7" t="s">
        <v>353</v>
      </c>
      <c r="B176" s="12" t="s">
        <v>354</v>
      </c>
      <c r="C176" s="8" t="s">
        <v>18</v>
      </c>
      <c r="D176" s="8" t="s">
        <v>18</v>
      </c>
      <c r="E176" s="8" t="s">
        <v>19</v>
      </c>
      <c r="F176" s="8" t="s">
        <v>20</v>
      </c>
      <c r="G176" s="8" t="s">
        <v>21</v>
      </c>
      <c r="H176" s="9"/>
      <c r="I176" s="9"/>
      <c r="J176" s="10">
        <f t="shared" ref="J176:M176" si="49">ifs(OR($H176="R",$I176="N"),"N/A",OR(C176="A",C176="B",C176="C",C176="U"),3,TRUE,"FLAG")</f>
        <v>3</v>
      </c>
      <c r="K176" s="10">
        <f t="shared" si="49"/>
        <v>3</v>
      </c>
      <c r="L176" s="10">
        <f t="shared" si="49"/>
        <v>3</v>
      </c>
      <c r="M176" s="10" t="str">
        <f t="shared" si="49"/>
        <v>FLAG</v>
      </c>
      <c r="N176" s="10" t="str">
        <f t="shared" si="2"/>
        <v>-168709 - Agricultural Seeds; Sale/Distribution of; certification of Seeds/Plant Parts; issue, make, use or circulate any certification, or evidence of certification, without authority and approval</v>
      </c>
      <c r="O176" s="10" t="str">
        <f t="shared" si="3"/>
        <v>Agricultural Seeds</v>
      </c>
      <c r="Q176" s="10" t="str">
        <f>IFERROR(__xludf.DUMMYFUNCTION("""COMPUTED_VALUE"""),"Destroying a Written Instrument")</f>
        <v>Destroying a Written Instrument</v>
      </c>
    </row>
    <row r="177">
      <c r="A177" s="7" t="s">
        <v>355</v>
      </c>
      <c r="B177" s="8" t="s">
        <v>356</v>
      </c>
      <c r="C177" s="8" t="s">
        <v>18</v>
      </c>
      <c r="D177" s="8" t="s">
        <v>18</v>
      </c>
      <c r="E177" s="8" t="s">
        <v>19</v>
      </c>
      <c r="F177" s="8" t="s">
        <v>20</v>
      </c>
      <c r="G177" s="8" t="s">
        <v>21</v>
      </c>
      <c r="H177" s="9"/>
      <c r="I177" s="9"/>
      <c r="J177" s="10">
        <f t="shared" ref="J177:M177" si="50">ifs(OR($H177="R",$I177="N"),"N/A",OR(C177="A",C177="B",C177="C",C177="U"),3,TRUE,"FLAG")</f>
        <v>3</v>
      </c>
      <c r="K177" s="10">
        <f t="shared" si="50"/>
        <v>3</v>
      </c>
      <c r="L177" s="10">
        <f t="shared" si="50"/>
        <v>3</v>
      </c>
      <c r="M177" s="10" t="str">
        <f t="shared" si="50"/>
        <v>FLAG</v>
      </c>
      <c r="N177" s="10" t="str">
        <f t="shared" si="2"/>
        <v>2-1421(b)(2) - Agricultural Seeds; Sale/Distribution of; disseminate any false or misleading advertisements concerning agricultural seed</v>
      </c>
      <c r="O177" s="10" t="str">
        <f t="shared" si="3"/>
        <v>Agricultural Seeds</v>
      </c>
      <c r="Q177" s="10" t="str">
        <f>IFERROR(__xludf.DUMMYFUNCTION("""COMPUTED_VALUE"""),"Dietitians Licensing Act")</f>
        <v>Dietitians Licensing Act</v>
      </c>
    </row>
    <row r="178">
      <c r="A178" s="7" t="s">
        <v>357</v>
      </c>
      <c r="B178" s="8" t="s">
        <v>358</v>
      </c>
      <c r="C178" s="8" t="s">
        <v>18</v>
      </c>
      <c r="D178" s="8" t="s">
        <v>18</v>
      </c>
      <c r="E178" s="8" t="s">
        <v>19</v>
      </c>
      <c r="F178" s="8" t="s">
        <v>20</v>
      </c>
      <c r="G178" s="8" t="s">
        <v>21</v>
      </c>
      <c r="H178" s="9"/>
      <c r="I178" s="9"/>
      <c r="J178" s="10">
        <f t="shared" ref="J178:M178" si="51">ifs(OR($H178="R",$I178="N"),"N/A",OR(C178="A",C178="B",C178="C",C178="U"),3,TRUE,"FLAG")</f>
        <v>3</v>
      </c>
      <c r="K178" s="10">
        <f t="shared" si="51"/>
        <v>3</v>
      </c>
      <c r="L178" s="10">
        <f t="shared" si="51"/>
        <v>3</v>
      </c>
      <c r="M178" s="10" t="str">
        <f t="shared" si="51"/>
        <v>FLAG</v>
      </c>
      <c r="N178" s="10" t="str">
        <f t="shared" si="2"/>
        <v>2-1421(b)(5) - Agricultural Seeds; Sale/Distribution of; fail to comply with a stop sale order, or to move or otherwise handle or dispose of any quantity of seed held under a stop sale order, or a stop sale tag attached</v>
      </c>
      <c r="O178" s="10" t="str">
        <f t="shared" si="3"/>
        <v>Agricultural Seeds</v>
      </c>
      <c r="Q178" s="10" t="str">
        <f>IFERROR(__xludf.DUMMYFUNCTION("""COMPUTED_VALUE"""),"Disorderly Conduct")</f>
        <v>Disorderly Conduct</v>
      </c>
    </row>
    <row r="179">
      <c r="A179" s="7" t="s">
        <v>359</v>
      </c>
      <c r="B179" s="8" t="s">
        <v>360</v>
      </c>
      <c r="C179" s="8" t="s">
        <v>18</v>
      </c>
      <c r="D179" s="8" t="s">
        <v>18</v>
      </c>
      <c r="E179" s="8" t="s">
        <v>19</v>
      </c>
      <c r="F179" s="8" t="s">
        <v>20</v>
      </c>
      <c r="G179" s="8" t="s">
        <v>21</v>
      </c>
      <c r="H179" s="9"/>
      <c r="I179" s="9"/>
      <c r="J179" s="10">
        <f t="shared" ref="J179:M179" si="52">ifs(OR($H179="R",$I179="N"),"N/A",OR(C179="A",C179="B",C179="C",C179="U"),3,TRUE,"FLAG")</f>
        <v>3</v>
      </c>
      <c r="K179" s="10">
        <f t="shared" si="52"/>
        <v>3</v>
      </c>
      <c r="L179" s="10">
        <f t="shared" si="52"/>
        <v>3</v>
      </c>
      <c r="M179" s="10" t="str">
        <f t="shared" si="52"/>
        <v>FLAG</v>
      </c>
      <c r="N179" s="10" t="str">
        <f t="shared" si="2"/>
        <v>2-1421(b)(4) - Agricultural Seeds; Sale/Distribution of; hinder or obstruct the secretary or an authorized representative of the secretary in the performance of official duties</v>
      </c>
      <c r="O179" s="10" t="str">
        <f t="shared" si="3"/>
        <v>Agricultural Seeds</v>
      </c>
      <c r="Q179" s="10" t="str">
        <f>IFERROR(__xludf.DUMMYFUNCTION("""COMPUTED_VALUE"""),"Distribution of a Controlled Substance Causing Death")</f>
        <v>Distribution of a Controlled Substance Causing Death</v>
      </c>
    </row>
    <row r="180">
      <c r="A180" s="7" t="s">
        <v>361</v>
      </c>
      <c r="B180" s="8" t="s">
        <v>362</v>
      </c>
      <c r="C180" s="8" t="s">
        <v>18</v>
      </c>
      <c r="D180" s="8" t="s">
        <v>18</v>
      </c>
      <c r="E180" s="8" t="s">
        <v>19</v>
      </c>
      <c r="F180" s="8" t="s">
        <v>20</v>
      </c>
      <c r="G180" s="8" t="s">
        <v>21</v>
      </c>
      <c r="H180" s="9"/>
      <c r="I180" s="9"/>
      <c r="J180" s="10">
        <f t="shared" ref="J180:M180" si="53">ifs(OR($H180="R",$I180="N"),"N/A",OR(C180="A",C180="B",C180="C",C180="U"),3,TRUE,"FLAG")</f>
        <v>3</v>
      </c>
      <c r="K180" s="10">
        <f t="shared" si="53"/>
        <v>3</v>
      </c>
      <c r="L180" s="10">
        <f t="shared" si="53"/>
        <v>3</v>
      </c>
      <c r="M180" s="10" t="str">
        <f t="shared" si="53"/>
        <v>FLAG</v>
      </c>
      <c r="N180" s="10" t="str">
        <f t="shared" si="2"/>
        <v>2-1421(b)(3) - Agricultural Seeds; Sale/Distribution of; issue any statement, invoice or declaration as to the variety of any agricultural seed which is false or misleading</v>
      </c>
      <c r="O180" s="10" t="str">
        <f t="shared" si="3"/>
        <v>Agricultural Seeds</v>
      </c>
      <c r="Q180" s="10" t="str">
        <f>IFERROR(__xludf.DUMMYFUNCTION("""COMPUTED_VALUE"""),"Distribution of a Controlled Substance Causing Great Bodily Harm")</f>
        <v>Distribution of a Controlled Substance Causing Great Bodily Harm</v>
      </c>
    </row>
    <row r="181">
      <c r="A181" s="7" t="s">
        <v>363</v>
      </c>
      <c r="B181" s="8" t="s">
        <v>364</v>
      </c>
      <c r="C181" s="8" t="s">
        <v>18</v>
      </c>
      <c r="D181" s="8" t="s">
        <v>18</v>
      </c>
      <c r="E181" s="8" t="s">
        <v>19</v>
      </c>
      <c r="F181" s="8" t="s">
        <v>20</v>
      </c>
      <c r="G181" s="8" t="s">
        <v>21</v>
      </c>
      <c r="H181" s="9"/>
      <c r="I181" s="9"/>
      <c r="J181" s="10">
        <f t="shared" ref="J181:M181" si="54">ifs(OR($H181="R",$I181="N"),"N/A",OR(C181="A",C181="B",C181="C",C181="U"),3,TRUE,"FLAG")</f>
        <v>3</v>
      </c>
      <c r="K181" s="10">
        <f t="shared" si="54"/>
        <v>3</v>
      </c>
      <c r="L181" s="10">
        <f t="shared" si="54"/>
        <v>3</v>
      </c>
      <c r="M181" s="10" t="str">
        <f t="shared" si="54"/>
        <v>FLAG</v>
      </c>
      <c r="N181" s="10" t="str">
        <f t="shared" si="2"/>
        <v>2-1421(a)(8) - Agricultural Seeds; Sale/Distribution of; sale, offer for sale or advertise ag. seeds by variety name not certified by an official seed certifying agency, if such certification is required</v>
      </c>
      <c r="O181" s="10" t="str">
        <f t="shared" si="3"/>
        <v>Agricultural Seeds</v>
      </c>
      <c r="Q181" s="10" t="str">
        <f>IFERROR(__xludf.DUMMYFUNCTION("""COMPUTED_VALUE"""),"District Officers &amp; Employers")</f>
        <v>District Officers &amp; Employers</v>
      </c>
    </row>
    <row r="182">
      <c r="A182" s="7" t="s">
        <v>365</v>
      </c>
      <c r="B182" s="8" t="s">
        <v>366</v>
      </c>
      <c r="C182" s="8" t="s">
        <v>18</v>
      </c>
      <c r="D182" s="8" t="s">
        <v>18</v>
      </c>
      <c r="E182" s="8" t="s">
        <v>19</v>
      </c>
      <c r="F182" s="8" t="s">
        <v>20</v>
      </c>
      <c r="G182" s="8" t="s">
        <v>21</v>
      </c>
      <c r="H182" s="9"/>
      <c r="I182" s="9"/>
      <c r="J182" s="10">
        <f t="shared" ref="J182:M182" si="55">ifs(OR($H182="R",$I182="N"),"N/A",OR(C182="A",C182="B",C182="C",C182="U"),3,TRUE,"FLAG")</f>
        <v>3</v>
      </c>
      <c r="K182" s="10">
        <f t="shared" si="55"/>
        <v>3</v>
      </c>
      <c r="L182" s="10">
        <f t="shared" si="55"/>
        <v>3</v>
      </c>
      <c r="M182" s="10" t="str">
        <f t="shared" si="55"/>
        <v>FLAG</v>
      </c>
      <c r="N182" s="10" t="str">
        <f t="shared" si="2"/>
        <v>2-1421(a)(6) - Agricultural Seeds; Sale/Distribution of; sale, offer for sale or advertise ag. seeds containing more than 1% of weed seeds by weight, unless an exception herein applies</v>
      </c>
      <c r="O182" s="10" t="str">
        <f t="shared" si="3"/>
        <v>Agricultural Seeds</v>
      </c>
      <c r="Q182" s="10" t="str">
        <f>IFERROR(__xludf.DUMMYFUNCTION("""COMPUTED_VALUE"""),"Dog Fighting")</f>
        <v>Dog Fighting</v>
      </c>
    </row>
    <row r="183">
      <c r="A183" s="7" t="s">
        <v>367</v>
      </c>
      <c r="B183" s="8" t="s">
        <v>368</v>
      </c>
      <c r="C183" s="8" t="s">
        <v>18</v>
      </c>
      <c r="D183" s="8" t="s">
        <v>18</v>
      </c>
      <c r="E183" s="8" t="s">
        <v>19</v>
      </c>
      <c r="F183" s="8" t="s">
        <v>20</v>
      </c>
      <c r="G183" s="8" t="s">
        <v>21</v>
      </c>
      <c r="H183" s="9"/>
      <c r="I183" s="9"/>
      <c r="J183" s="10">
        <f t="shared" ref="J183:M183" si="56">ifs(OR($H183="R",$I183="N"),"N/A",OR(C183="A",C183="B",C183="C",C183="U"),3,TRUE,"FLAG")</f>
        <v>3</v>
      </c>
      <c r="K183" s="10">
        <f t="shared" si="56"/>
        <v>3</v>
      </c>
      <c r="L183" s="10">
        <f t="shared" si="56"/>
        <v>3</v>
      </c>
      <c r="M183" s="10" t="str">
        <f t="shared" si="56"/>
        <v>FLAG</v>
      </c>
      <c r="N183" s="10" t="str">
        <f t="shared" si="2"/>
        <v>2-1421(a)(4) - Agricultural Seeds; Sale/Distribution of; Sale, offer for sale or advertise ag. seeds containing noxious weed seeds</v>
      </c>
      <c r="O183" s="10" t="str">
        <f t="shared" si="3"/>
        <v>Agricultural Seeds</v>
      </c>
      <c r="Q183" s="10" t="str">
        <f>IFERROR(__xludf.DUMMYFUNCTION("""COMPUTED_VALUE"""),"Domestic Battery")</f>
        <v>Domestic Battery</v>
      </c>
    </row>
    <row r="184">
      <c r="A184" s="7" t="s">
        <v>369</v>
      </c>
      <c r="B184" s="8" t="s">
        <v>370</v>
      </c>
      <c r="C184" s="8" t="s">
        <v>18</v>
      </c>
      <c r="D184" s="8" t="s">
        <v>18</v>
      </c>
      <c r="E184" s="8" t="s">
        <v>19</v>
      </c>
      <c r="F184" s="8" t="s">
        <v>20</v>
      </c>
      <c r="G184" s="8" t="s">
        <v>21</v>
      </c>
      <c r="H184" s="9"/>
      <c r="I184" s="9"/>
      <c r="J184" s="10">
        <f t="shared" ref="J184:M184" si="57">ifs(OR($H184="R",$I184="N"),"N/A",OR(C184="A",C184="B",C184="C",C184="U"),3,TRUE,"FLAG")</f>
        <v>3</v>
      </c>
      <c r="K184" s="10">
        <f t="shared" si="57"/>
        <v>3</v>
      </c>
      <c r="L184" s="10">
        <f t="shared" si="57"/>
        <v>3</v>
      </c>
      <c r="M184" s="10" t="str">
        <f t="shared" si="57"/>
        <v>FLAG</v>
      </c>
      <c r="N184" s="10" t="str">
        <f t="shared" si="2"/>
        <v>2-1421(a)(5) - Agricultural Seeds; Sale/Distribution of; sale, offer for sale or advertise ag. seeds containing restricted weed seeds in excess of the quantity prescribed by subsection (k) of K.S.A. 2-1415</v>
      </c>
      <c r="O184" s="10" t="str">
        <f t="shared" si="3"/>
        <v>Agricultural Seeds</v>
      </c>
      <c r="Q184" s="10" t="str">
        <f>IFERROR(__xludf.DUMMYFUNCTION("""COMPUTED_VALUE"""),"Drainage &amp; Levees")</f>
        <v>Drainage &amp; Levees</v>
      </c>
    </row>
    <row r="185">
      <c r="A185" s="7" t="s">
        <v>371</v>
      </c>
      <c r="B185" s="8" t="s">
        <v>372</v>
      </c>
      <c r="C185" s="8" t="s">
        <v>18</v>
      </c>
      <c r="D185" s="8" t="s">
        <v>18</v>
      </c>
      <c r="E185" s="8" t="s">
        <v>19</v>
      </c>
      <c r="F185" s="8" t="s">
        <v>20</v>
      </c>
      <c r="G185" s="8" t="s">
        <v>21</v>
      </c>
      <c r="H185" s="9"/>
      <c r="I185" s="9"/>
      <c r="J185" s="10">
        <f t="shared" ref="J185:M185" si="58">ifs(OR($H185="R",$I185="N"),"N/A",OR(C185="A",C185="B",C185="C",C185="U"),3,TRUE,"FLAG")</f>
        <v>3</v>
      </c>
      <c r="K185" s="10">
        <f t="shared" si="58"/>
        <v>3</v>
      </c>
      <c r="L185" s="10">
        <f t="shared" si="58"/>
        <v>3</v>
      </c>
      <c r="M185" s="10" t="str">
        <f t="shared" si="58"/>
        <v>FLAG</v>
      </c>
      <c r="N185" s="10" t="str">
        <f t="shared" si="2"/>
        <v>2-1421(a)(3) - Agricultural Seeds; Sale/Distribution of; Sale, offer for sale or advertise ag. seeds having a false, misleading or incomplete label</v>
      </c>
      <c r="O185" s="10" t="str">
        <f t="shared" si="3"/>
        <v>Agricultural Seeds</v>
      </c>
      <c r="Q185" s="10" t="str">
        <f>IFERROR(__xludf.DUMMYFUNCTION("""COMPUTED_VALUE"""),"Drainage Districts within Counties or Cities")</f>
        <v>Drainage Districts within Counties or Cities</v>
      </c>
    </row>
    <row r="186">
      <c r="A186" s="7" t="s">
        <v>373</v>
      </c>
      <c r="B186" s="8" t="s">
        <v>374</v>
      </c>
      <c r="C186" s="8" t="s">
        <v>18</v>
      </c>
      <c r="D186" s="8" t="s">
        <v>18</v>
      </c>
      <c r="E186" s="8" t="s">
        <v>19</v>
      </c>
      <c r="F186" s="8" t="s">
        <v>20</v>
      </c>
      <c r="G186" s="8" t="s">
        <v>21</v>
      </c>
      <c r="H186" s="9"/>
      <c r="I186" s="9"/>
      <c r="J186" s="10">
        <f t="shared" ref="J186:M186" si="59">ifs(OR($H186="R",$I186="N"),"N/A",OR(C186="A",C186="B",C186="C",C186="U"),3,TRUE,"FLAG")</f>
        <v>3</v>
      </c>
      <c r="K186" s="10">
        <f t="shared" si="59"/>
        <v>3</v>
      </c>
      <c r="L186" s="10">
        <f t="shared" si="59"/>
        <v>3</v>
      </c>
      <c r="M186" s="10" t="str">
        <f t="shared" si="59"/>
        <v>FLAG</v>
      </c>
      <c r="N186" s="10" t="str">
        <f t="shared" si="2"/>
        <v>2-1421(a)(7) - Agricultural Seeds; Sale/Distribution of; sale, offer for sale or advertise ag. seeds labeled, advertised or represented to be certified or registered unless so certified or registered</v>
      </c>
      <c r="O186" s="10" t="str">
        <f t="shared" si="3"/>
        <v>Agricultural Seeds</v>
      </c>
      <c r="Q186" s="10" t="str">
        <f>IFERROR(__xludf.DUMMYFUNCTION("""COMPUTED_VALUE"""),"Drainage in One or More Counties")</f>
        <v>Drainage in One or More Counties</v>
      </c>
    </row>
    <row r="187">
      <c r="A187" s="7" t="s">
        <v>375</v>
      </c>
      <c r="B187" s="8" t="s">
        <v>376</v>
      </c>
      <c r="C187" s="8" t="s">
        <v>18</v>
      </c>
      <c r="D187" s="8" t="s">
        <v>18</v>
      </c>
      <c r="E187" s="8" t="s">
        <v>19</v>
      </c>
      <c r="F187" s="8" t="s">
        <v>20</v>
      </c>
      <c r="G187" s="8" t="s">
        <v>21</v>
      </c>
      <c r="H187" s="9"/>
      <c r="I187" s="9"/>
      <c r="J187" s="10">
        <f t="shared" ref="J187:M187" si="60">ifs(OR($H187="R",$I187="N"),"N/A",OR(C187="A",C187="B",C187="C",C187="U"),3,TRUE,"FLAG")</f>
        <v>3</v>
      </c>
      <c r="K187" s="10">
        <f t="shared" si="60"/>
        <v>3</v>
      </c>
      <c r="L187" s="10">
        <f t="shared" si="60"/>
        <v>3</v>
      </c>
      <c r="M187" s="10" t="str">
        <f t="shared" si="60"/>
        <v>FLAG</v>
      </c>
      <c r="N187" s="10" t="str">
        <f t="shared" si="2"/>
        <v>2-1421(a)(2) - Agricultural Seeds; Sale/Distribution of; Sale, offer for sale or advertise ag. seeds not properly labeled</v>
      </c>
      <c r="O187" s="10" t="str">
        <f t="shared" si="3"/>
        <v>Agricultural Seeds</v>
      </c>
      <c r="Q187" s="10" t="str">
        <f>IFERROR(__xludf.DUMMYFUNCTION("""COMPUTED_VALUE"""),"Drainage of Swamps, Bottoms or Lowlands")</f>
        <v>Drainage of Swamps, Bottoms or Lowlands</v>
      </c>
    </row>
    <row r="188">
      <c r="A188" s="7" t="s">
        <v>377</v>
      </c>
      <c r="B188" s="8" t="s">
        <v>378</v>
      </c>
      <c r="C188" s="8" t="s">
        <v>18</v>
      </c>
      <c r="D188" s="8" t="s">
        <v>18</v>
      </c>
      <c r="E188" s="8" t="s">
        <v>19</v>
      </c>
      <c r="F188" s="8" t="s">
        <v>20</v>
      </c>
      <c r="G188" s="8" t="s">
        <v>21</v>
      </c>
      <c r="H188" s="9"/>
      <c r="I188" s="9"/>
      <c r="J188" s="10">
        <f t="shared" ref="J188:M188" si="61">ifs(OR($H188="R",$I188="N"),"N/A",OR(C188="A",C188="B",C188="C",C188="U"),3,TRUE,"FLAG")</f>
        <v>3</v>
      </c>
      <c r="K188" s="10">
        <f t="shared" si="61"/>
        <v>3</v>
      </c>
      <c r="L188" s="10">
        <f t="shared" si="61"/>
        <v>3</v>
      </c>
      <c r="M188" s="10" t="str">
        <f t="shared" si="61"/>
        <v>FLAG</v>
      </c>
      <c r="N188" s="10" t="str">
        <f t="shared" si="2"/>
        <v>2-1421(a)(9) - Agricultural Seeds; Sale/Distribution of; sale, offer for sale or advertise ag. seeds without having registered with the secretary as required by K.S.A. 2-1421a</v>
      </c>
      <c r="O188" s="10" t="str">
        <f t="shared" si="3"/>
        <v>Agricultural Seeds</v>
      </c>
      <c r="Q188" s="10" t="str">
        <f>IFERROR(__xludf.DUMMYFUNCTION("""COMPUTED_VALUE"""),"Drainage on Petition to Court")</f>
        <v>Drainage on Petition to Court</v>
      </c>
    </row>
    <row r="189">
      <c r="A189" s="7" t="s">
        <v>379</v>
      </c>
      <c r="B189" s="8" t="s">
        <v>380</v>
      </c>
      <c r="C189" s="8" t="s">
        <v>18</v>
      </c>
      <c r="D189" s="8" t="s">
        <v>18</v>
      </c>
      <c r="E189" s="8" t="s">
        <v>19</v>
      </c>
      <c r="F189" s="8" t="s">
        <v>20</v>
      </c>
      <c r="G189" s="8" t="s">
        <v>21</v>
      </c>
      <c r="H189" s="9"/>
      <c r="I189" s="9"/>
      <c r="J189" s="10">
        <f t="shared" ref="J189:M189" si="62">ifs(OR($H189="R",$I189="N"),"N/A",OR(C189="A",C189="B",C189="C",C189="U"),3,TRUE,"FLAG")</f>
        <v>3</v>
      </c>
      <c r="K189" s="10">
        <f t="shared" si="62"/>
        <v>3</v>
      </c>
      <c r="L189" s="10">
        <f t="shared" si="62"/>
        <v>3</v>
      </c>
      <c r="M189" s="10" t="str">
        <f t="shared" si="62"/>
        <v>FLAG</v>
      </c>
      <c r="N189" s="10" t="str">
        <f t="shared" si="2"/>
        <v>2-1421(a)(1) - Agricultural Seeds; Sale/Distribution of; sale, offer for sale or advertise ag. seeds without testing to determine percentage of germination completed within a 9 month period immediately prior</v>
      </c>
      <c r="O189" s="10" t="str">
        <f t="shared" si="3"/>
        <v>Agricultural Seeds</v>
      </c>
      <c r="Q189" s="10" t="str">
        <f>IFERROR(__xludf.DUMMYFUNCTION("""COMPUTED_VALUE"""),"Drivers' Licenses")</f>
        <v>Drivers' Licenses</v>
      </c>
    </row>
    <row r="190">
      <c r="A190" s="7" t="s">
        <v>381</v>
      </c>
      <c r="B190" s="12" t="s">
        <v>382</v>
      </c>
      <c r="C190" s="8" t="s">
        <v>18</v>
      </c>
      <c r="D190" s="8" t="s">
        <v>18</v>
      </c>
      <c r="E190" s="8" t="s">
        <v>19</v>
      </c>
      <c r="F190" s="8" t="s">
        <v>20</v>
      </c>
      <c r="G190" s="8" t="s">
        <v>21</v>
      </c>
      <c r="H190" s="9"/>
      <c r="I190" s="9"/>
      <c r="J190" s="10">
        <f t="shared" ref="J190:M190" si="63">ifs(OR($H190="R",$I190="N"),"N/A",OR(C190="A",C190="B",C190="C",C190="U"),3,TRUE,"FLAG")</f>
        <v>3</v>
      </c>
      <c r="K190" s="10">
        <f t="shared" si="63"/>
        <v>3</v>
      </c>
      <c r="L190" s="10">
        <f t="shared" si="63"/>
        <v>3</v>
      </c>
      <c r="M190" s="10" t="str">
        <f t="shared" si="63"/>
        <v>FLAG</v>
      </c>
      <c r="N190" s="10" t="str">
        <f t="shared" si="2"/>
        <v>-176745 - Agricultural Seeds; Sale/Distribution of; sale/exchange of untested or unlabeled agricultural seeds</v>
      </c>
      <c r="O190" s="10" t="str">
        <f t="shared" si="3"/>
        <v>Agricultural Seeds</v>
      </c>
      <c r="Q190" s="10" t="str">
        <f>IFERROR(__xludf.DUMMYFUNCTION("""COMPUTED_VALUE"""),"Drugs")</f>
        <v>Drugs</v>
      </c>
    </row>
    <row r="191">
      <c r="A191" s="7" t="s">
        <v>383</v>
      </c>
      <c r="B191" s="8" t="s">
        <v>384</v>
      </c>
      <c r="C191" s="8" t="s">
        <v>18</v>
      </c>
      <c r="D191" s="8" t="s">
        <v>18</v>
      </c>
      <c r="E191" s="8" t="s">
        <v>19</v>
      </c>
      <c r="F191" s="8" t="s">
        <v>20</v>
      </c>
      <c r="G191" s="8" t="s">
        <v>21</v>
      </c>
      <c r="H191" s="9"/>
      <c r="I191" s="9"/>
      <c r="J191" s="10">
        <f t="shared" ref="J191:M191" si="64">ifs(OR($H191="R",$I191="N"),"N/A",OR(C191="A",C191="B",C191="C",C191="U"),3,TRUE,"FLAG")</f>
        <v>3</v>
      </c>
      <c r="K191" s="10">
        <f t="shared" si="64"/>
        <v>3</v>
      </c>
      <c r="L191" s="10">
        <f t="shared" si="64"/>
        <v>3</v>
      </c>
      <c r="M191" s="10" t="str">
        <f t="shared" si="64"/>
        <v>FLAG</v>
      </c>
      <c r="N191" s="10" t="str">
        <f t="shared" si="2"/>
        <v>2-1421(b)(6) - Agricultural Seeds; Sale/Distribution of; use the word "trace" as a substitute for any statement which is required</v>
      </c>
      <c r="O191" s="10" t="str">
        <f t="shared" si="3"/>
        <v>Agricultural Seeds</v>
      </c>
      <c r="Q191" s="10" t="str">
        <f>IFERROR(__xludf.DUMMYFUNCTION("""COMPUTED_VALUE"""),"DUI Provisions")</f>
        <v>DUI Provisions</v>
      </c>
    </row>
    <row r="192">
      <c r="A192" s="7" t="s">
        <v>385</v>
      </c>
      <c r="B192" s="8" t="s">
        <v>386</v>
      </c>
      <c r="C192" s="8" t="s">
        <v>18</v>
      </c>
      <c r="D192" s="8" t="s">
        <v>18</v>
      </c>
      <c r="E192" s="8" t="s">
        <v>19</v>
      </c>
      <c r="F192" s="8" t="s">
        <v>20</v>
      </c>
      <c r="G192" s="8" t="s">
        <v>21</v>
      </c>
      <c r="H192" s="9"/>
      <c r="I192" s="9"/>
      <c r="J192" s="10">
        <f t="shared" ref="J192:M192" si="65">ifs(OR($H192="R",$I192="N"),"N/A",OR(C192="A",C192="B",C192="C",C192="U"),3,TRUE,"FLAG")</f>
        <v>3</v>
      </c>
      <c r="K192" s="10">
        <f t="shared" si="65"/>
        <v>3</v>
      </c>
      <c r="L192" s="10">
        <f t="shared" si="65"/>
        <v>3</v>
      </c>
      <c r="M192" s="10" t="str">
        <f t="shared" si="65"/>
        <v>FLAG</v>
      </c>
      <c r="N192" s="10" t="str">
        <f t="shared" si="2"/>
        <v>2-1421(b)(7) - Agricultural Seeds; Sale/Distribution of; use the word "type" in any labeling in connection with the name of any agricultural seed variety</v>
      </c>
      <c r="O192" s="10" t="str">
        <f t="shared" si="3"/>
        <v>Agricultural Seeds</v>
      </c>
      <c r="Q192" s="10" t="str">
        <f>IFERROR(__xludf.DUMMYFUNCTION("""COMPUTED_VALUE"""),"DUI")</f>
        <v>DUI</v>
      </c>
    </row>
    <row r="193">
      <c r="A193" s="7" t="s">
        <v>387</v>
      </c>
      <c r="B193" s="8" t="s">
        <v>388</v>
      </c>
      <c r="C193" s="8">
        <v>8.0</v>
      </c>
      <c r="D193" s="8">
        <v>10.0</v>
      </c>
      <c r="E193" s="8">
        <v>10.0</v>
      </c>
      <c r="F193" s="8">
        <v>10.0</v>
      </c>
      <c r="G193" s="8" t="s">
        <v>21</v>
      </c>
      <c r="H193" s="9"/>
      <c r="I193" s="9"/>
      <c r="N193" s="10" t="str">
        <f t="shared" si="2"/>
        <v>21-5912(a)(1) - Aiding an Escape; Assist another to escape from such lawful custody</v>
      </c>
      <c r="O193" s="10" t="str">
        <f t="shared" si="3"/>
        <v>Aiding an Escape</v>
      </c>
      <c r="Q193" s="10" t="str">
        <f>IFERROR(__xludf.DUMMYFUNCTION("""COMPUTED_VALUE"""),"Egg Law")</f>
        <v>Egg Law</v>
      </c>
    </row>
    <row r="194">
      <c r="A194" s="7" t="s">
        <v>389</v>
      </c>
      <c r="B194" s="8" t="s">
        <v>388</v>
      </c>
      <c r="C194" s="8">
        <v>4.0</v>
      </c>
      <c r="D194" s="8">
        <v>6.0</v>
      </c>
      <c r="E194" s="8">
        <v>6.0</v>
      </c>
      <c r="F194" s="8">
        <v>7.0</v>
      </c>
      <c r="G194" s="8" t="s">
        <v>21</v>
      </c>
      <c r="H194" s="9"/>
      <c r="I194" s="9"/>
      <c r="N194" s="10" t="str">
        <f t="shared" si="2"/>
        <v>21-5912(a)(1) - Aiding an Escape; Assist another to escape from such lawful custody; KDOC employee/volunteer or KDOC contractor employee/volunteer</v>
      </c>
      <c r="O194" s="10" t="str">
        <f t="shared" si="3"/>
        <v>Aiding an Escape</v>
      </c>
      <c r="Q194" s="10" t="str">
        <f>IFERROR(__xludf.DUMMYFUNCTION("""COMPUTED_VALUE"""),"Elections")</f>
        <v>Elections</v>
      </c>
    </row>
    <row r="195">
      <c r="A195" s="7" t="s">
        <v>390</v>
      </c>
      <c r="B195" s="8" t="s">
        <v>391</v>
      </c>
      <c r="C195" s="8">
        <v>8.0</v>
      </c>
      <c r="D195" s="8">
        <v>10.0</v>
      </c>
      <c r="E195" s="8">
        <v>10.0</v>
      </c>
      <c r="F195" s="8">
        <v>10.0</v>
      </c>
      <c r="G195" s="8" t="s">
        <v>21</v>
      </c>
      <c r="H195" s="9"/>
      <c r="I195" s="9"/>
      <c r="N195" s="10" t="str">
        <f t="shared" si="2"/>
        <v>21-5912(a)(3) - Aiding an Escape; Introduce into an institution any object or thing adapted or designed for use in an escape</v>
      </c>
      <c r="O195" s="10" t="str">
        <f t="shared" si="3"/>
        <v>Aiding an Escape</v>
      </c>
      <c r="Q195" s="10" t="str">
        <f>IFERROR(__xludf.DUMMYFUNCTION("""COMPUTED_VALUE"""),"Electronic Solicitation")</f>
        <v>Electronic Solicitation</v>
      </c>
    </row>
    <row r="196">
      <c r="A196" s="7" t="s">
        <v>392</v>
      </c>
      <c r="B196" s="8" t="s">
        <v>391</v>
      </c>
      <c r="C196" s="8">
        <v>4.0</v>
      </c>
      <c r="D196" s="8">
        <v>6.0</v>
      </c>
      <c r="E196" s="8">
        <v>6.0</v>
      </c>
      <c r="F196" s="8">
        <v>7.0</v>
      </c>
      <c r="G196" s="8" t="s">
        <v>21</v>
      </c>
      <c r="H196" s="9"/>
      <c r="I196" s="9"/>
      <c r="N196" s="10" t="str">
        <f t="shared" si="2"/>
        <v>21-5912(a)(3) - Aiding an Escape; Introduce into an institution any object or thing adapted or designed for use in an escape; KDOC employee/volunteer or KDOC contractor employee/volunteer</v>
      </c>
      <c r="O196" s="10" t="str">
        <f t="shared" si="3"/>
        <v>Aiding an Escape</v>
      </c>
      <c r="Q196" s="10" t="str">
        <f>IFERROR(__xludf.DUMMYFUNCTION("""COMPUTED_VALUE"""),"Embalmers &amp; Funeral Directors")</f>
        <v>Embalmers &amp; Funeral Directors</v>
      </c>
    </row>
    <row r="197">
      <c r="A197" s="7" t="s">
        <v>393</v>
      </c>
      <c r="B197" s="8" t="s">
        <v>394</v>
      </c>
      <c r="C197" s="8">
        <v>8.0</v>
      </c>
      <c r="D197" s="8">
        <v>10.0</v>
      </c>
      <c r="E197" s="8">
        <v>10.0</v>
      </c>
      <c r="F197" s="8">
        <v>10.0</v>
      </c>
      <c r="G197" s="8" t="s">
        <v>21</v>
      </c>
      <c r="H197" s="9"/>
      <c r="I197" s="9"/>
      <c r="N197" s="10" t="str">
        <f t="shared" si="2"/>
        <v>21-5912(a)(2) - Aiding an Escape; Supply to another any object or thing adapted or designed for use in making an escape</v>
      </c>
      <c r="O197" s="10" t="str">
        <f t="shared" si="3"/>
        <v>Aiding an Escape</v>
      </c>
      <c r="Q197" s="10" t="str">
        <f>IFERROR(__xludf.DUMMYFUNCTION("""COMPUTED_VALUE"""),"Emergency Management Act")</f>
        <v>Emergency Management Act</v>
      </c>
    </row>
    <row r="198">
      <c r="A198" s="7" t="s">
        <v>395</v>
      </c>
      <c r="B198" s="8" t="s">
        <v>394</v>
      </c>
      <c r="C198" s="8">
        <v>4.0</v>
      </c>
      <c r="D198" s="8">
        <v>6.0</v>
      </c>
      <c r="E198" s="8">
        <v>6.0</v>
      </c>
      <c r="F198" s="8">
        <v>7.0</v>
      </c>
      <c r="G198" s="8" t="s">
        <v>21</v>
      </c>
      <c r="H198" s="9"/>
      <c r="I198" s="9"/>
      <c r="N198" s="10" t="str">
        <f t="shared" si="2"/>
        <v>21-5912(a)(2) - Aiding an Escape; Supply to another any object or thing adapted or designed for use in making an escape; KDOC employee/volunteer or KDOC contractor employee/volunteer</v>
      </c>
      <c r="O198" s="10" t="str">
        <f t="shared" si="3"/>
        <v>Aiding an Escape</v>
      </c>
      <c r="Q198" s="10" t="str">
        <f>IFERROR(__xludf.DUMMYFUNCTION("""COMPUTED_VALUE"""),"Emergency Planning &amp; Community Right-To-Know")</f>
        <v>Emergency Planning &amp; Community Right-To-Know</v>
      </c>
    </row>
    <row r="199">
      <c r="A199" s="7" t="s">
        <v>396</v>
      </c>
      <c r="B199" s="8" t="s">
        <v>397</v>
      </c>
      <c r="C199" s="8" t="s">
        <v>19</v>
      </c>
      <c r="D199" s="8" t="s">
        <v>19</v>
      </c>
      <c r="E199" s="8" t="s">
        <v>19</v>
      </c>
      <c r="F199" s="8" t="s">
        <v>20</v>
      </c>
      <c r="G199" s="8" t="s">
        <v>21</v>
      </c>
      <c r="H199" s="9"/>
      <c r="I199" s="9"/>
      <c r="J199" s="10">
        <f t="shared" ref="J199:M199" si="66">ifs(OR($H199="R",$I199="N"),"N/A",OR(C199="A",C199="B",C199="C",C199="U"),3,TRUE,"FLAG")</f>
        <v>3</v>
      </c>
      <c r="K199" s="10">
        <f t="shared" si="66"/>
        <v>3</v>
      </c>
      <c r="L199" s="10">
        <f t="shared" si="66"/>
        <v>3</v>
      </c>
      <c r="M199" s="10" t="str">
        <f t="shared" si="66"/>
        <v>FLAG</v>
      </c>
      <c r="N199" s="10" t="str">
        <f t="shared" si="2"/>
        <v>65-6017(e) - AIDS &amp; Hepatitis B; Breach in confidentiality of Court ordered testing of certain offenders in custody of secretary of corrections or commissioner of juvenile justice authority</v>
      </c>
      <c r="O199" s="10" t="str">
        <f t="shared" si="3"/>
        <v>AIDS &amp; Hepatitis B</v>
      </c>
      <c r="Q199" s="10" t="str">
        <f>IFERROR(__xludf.DUMMYFUNCTION("""COMPUTED_VALUE"""),"Employment Security Law")</f>
        <v>Employment Security Law</v>
      </c>
    </row>
    <row r="200">
      <c r="A200" s="7" t="s">
        <v>398</v>
      </c>
      <c r="B200" s="8" t="s">
        <v>399</v>
      </c>
      <c r="C200" s="8" t="s">
        <v>18</v>
      </c>
      <c r="D200" s="8" t="s">
        <v>18</v>
      </c>
      <c r="E200" s="8" t="s">
        <v>19</v>
      </c>
      <c r="F200" s="8" t="s">
        <v>20</v>
      </c>
      <c r="G200" s="8" t="s">
        <v>21</v>
      </c>
      <c r="H200" s="9"/>
      <c r="I200" s="9"/>
      <c r="J200" s="10">
        <f t="shared" ref="J200:M200" si="67">ifs(OR($H200="R",$I200="N"),"N/A",OR(C200="A",C200="B",C200="C",C200="U"),3,TRUE,"FLAG")</f>
        <v>3</v>
      </c>
      <c r="K200" s="10">
        <f t="shared" si="67"/>
        <v>3</v>
      </c>
      <c r="L200" s="10">
        <f t="shared" si="67"/>
        <v>3</v>
      </c>
      <c r="M200" s="10" t="str">
        <f t="shared" si="67"/>
        <v>FLAG</v>
      </c>
      <c r="N200" s="10" t="str">
        <f t="shared" si="2"/>
        <v>65-6005 - AIDS &amp; Hepatitis B; Disclosure of information made confidential and prohibited from disclosure under K.S.A. 65-6002 through 65-6004</v>
      </c>
      <c r="O200" s="10" t="str">
        <f t="shared" si="3"/>
        <v>AIDS &amp; Hepatitis B</v>
      </c>
      <c r="Q200" s="10" t="str">
        <f>IFERROR(__xludf.DUMMYFUNCTION("""COMPUTED_VALUE"""),"Employment Systems")</f>
        <v>Employment Systems</v>
      </c>
    </row>
    <row r="201">
      <c r="A201" s="7" t="s">
        <v>400</v>
      </c>
      <c r="B201" s="8" t="s">
        <v>401</v>
      </c>
      <c r="C201" s="8" t="s">
        <v>19</v>
      </c>
      <c r="D201" s="8" t="s">
        <v>19</v>
      </c>
      <c r="E201" s="8" t="s">
        <v>19</v>
      </c>
      <c r="F201" s="8" t="s">
        <v>20</v>
      </c>
      <c r="G201" s="8" t="s">
        <v>21</v>
      </c>
      <c r="H201" s="9"/>
      <c r="I201" s="9"/>
      <c r="J201" s="10">
        <f t="shared" ref="J201:M201" si="68">ifs(OR($H201="R",$I201="N"),"N/A",OR(C201="A",C201="B",C201="C",C201="U"),3,TRUE,"FLAG")</f>
        <v>3</v>
      </c>
      <c r="K201" s="10">
        <f t="shared" si="68"/>
        <v>3</v>
      </c>
      <c r="L201" s="10">
        <f t="shared" si="68"/>
        <v>3</v>
      </c>
      <c r="M201" s="10" t="str">
        <f t="shared" si="68"/>
        <v>FLAG</v>
      </c>
      <c r="N201" s="10" t="str">
        <f t="shared" si="2"/>
        <v>65-6016(a) - AIDS &amp; Hepatitis B; Unauthorized disclosure by corrections employees, of confidential information pertaining to infectious disease</v>
      </c>
      <c r="O201" s="10" t="str">
        <f t="shared" si="3"/>
        <v>AIDS &amp; Hepatitis B</v>
      </c>
      <c r="Q201" s="10" t="str">
        <f>IFERROR(__xludf.DUMMYFUNCTION("""COMPUTED_VALUE"""),"EMS")</f>
        <v>EMS</v>
      </c>
    </row>
    <row r="202">
      <c r="A202" s="7" t="s">
        <v>402</v>
      </c>
      <c r="B202" s="8" t="s">
        <v>403</v>
      </c>
      <c r="C202" s="8" t="s">
        <v>19</v>
      </c>
      <c r="D202" s="8" t="s">
        <v>19</v>
      </c>
      <c r="E202" s="8" t="s">
        <v>19</v>
      </c>
      <c r="F202" s="8" t="s">
        <v>20</v>
      </c>
      <c r="G202" s="8" t="s">
        <v>21</v>
      </c>
      <c r="H202" s="9"/>
      <c r="I202" s="9"/>
      <c r="J202" s="10">
        <f t="shared" ref="J202:M202" si="69">ifs(OR($H202="R",$I202="N"),"N/A",OR(C202="A",C202="B",C202="C",C202="U"),3,TRUE,"FLAG")</f>
        <v>3</v>
      </c>
      <c r="K202" s="10">
        <f t="shared" si="69"/>
        <v>3</v>
      </c>
      <c r="L202" s="10">
        <f t="shared" si="69"/>
        <v>3</v>
      </c>
      <c r="M202" s="10" t="str">
        <f t="shared" si="69"/>
        <v>FLAG</v>
      </c>
      <c r="N202" s="10" t="str">
        <f t="shared" si="2"/>
        <v>65-6010(b) - AIDS &amp; Hepatitis B; Unauthorized disclosure of confidential results of tests or reports, or information therein, obtained under this act</v>
      </c>
      <c r="O202" s="10" t="str">
        <f t="shared" si="3"/>
        <v>AIDS &amp; Hepatitis B</v>
      </c>
      <c r="Q202" s="10" t="str">
        <f>IFERROR(__xludf.DUMMYFUNCTION("""COMPUTED_VALUE"""),"Endangering a Child")</f>
        <v>Endangering a Child</v>
      </c>
    </row>
    <row r="203">
      <c r="A203" s="7" t="s">
        <v>404</v>
      </c>
      <c r="B203" s="8" t="s">
        <v>399</v>
      </c>
      <c r="C203" s="8" t="s">
        <v>19</v>
      </c>
      <c r="D203" s="8" t="s">
        <v>19</v>
      </c>
      <c r="E203" s="8" t="s">
        <v>19</v>
      </c>
      <c r="F203" s="8" t="s">
        <v>20</v>
      </c>
      <c r="G203" s="8" t="s">
        <v>21</v>
      </c>
      <c r="H203" s="9"/>
      <c r="I203" s="9"/>
      <c r="J203" s="10">
        <f t="shared" ref="J203:M203" si="70">ifs(OR($H203="R",$I203="N"),"N/A",OR(C203="A",C203="B",C203="C",C203="U"),3,TRUE,"FLAG")</f>
        <v>3</v>
      </c>
      <c r="K203" s="10">
        <f t="shared" si="70"/>
        <v>3</v>
      </c>
      <c r="L203" s="10">
        <f t="shared" si="70"/>
        <v>3</v>
      </c>
      <c r="M203" s="10" t="str">
        <f t="shared" si="70"/>
        <v>FLAG</v>
      </c>
      <c r="N203" s="10" t="str">
        <f t="shared" si="2"/>
        <v>65-6005 - AIDS &amp; Hepatitis B; Violate, refuse or neglect to obey any provision of K.S.A. 65-6001 through 65-6004</v>
      </c>
      <c r="O203" s="10" t="str">
        <f t="shared" si="3"/>
        <v>AIDS &amp; Hepatitis B</v>
      </c>
      <c r="Q203" s="10" t="str">
        <f>IFERROR(__xludf.DUMMYFUNCTION("""COMPUTED_VALUE"""),"Endangering the Food Supply")</f>
        <v>Endangering the Food Supply</v>
      </c>
    </row>
    <row r="204">
      <c r="A204" s="7" t="s">
        <v>405</v>
      </c>
      <c r="B204" s="8" t="s">
        <v>406</v>
      </c>
      <c r="C204" s="8">
        <v>10.0</v>
      </c>
      <c r="D204" s="8">
        <v>10.0</v>
      </c>
      <c r="E204" s="8">
        <v>10.0</v>
      </c>
      <c r="F204" s="8">
        <v>10.0</v>
      </c>
      <c r="G204" s="8" t="s">
        <v>21</v>
      </c>
      <c r="H204" s="9"/>
      <c r="I204" s="9"/>
      <c r="N204" s="10" t="str">
        <f t="shared" si="2"/>
        <v>65-3025(h) - Air Quality Act; Destroy, alter or conceal any record required to be maintained under this act</v>
      </c>
      <c r="O204" s="10" t="str">
        <f t="shared" si="3"/>
        <v>Air Quality Act</v>
      </c>
      <c r="Q204" s="10" t="str">
        <f>IFERROR(__xludf.DUMMYFUNCTION("""COMPUTED_VALUE"""),"Endangerment")</f>
        <v>Endangerment</v>
      </c>
    </row>
    <row r="205">
      <c r="A205" s="7" t="s">
        <v>407</v>
      </c>
      <c r="B205" s="8" t="s">
        <v>408</v>
      </c>
      <c r="C205" s="8">
        <v>10.0</v>
      </c>
      <c r="D205" s="8">
        <v>10.0</v>
      </c>
      <c r="E205" s="8">
        <v>10.0</v>
      </c>
      <c r="F205" s="8">
        <v>10.0</v>
      </c>
      <c r="G205" s="8" t="s">
        <v>21</v>
      </c>
      <c r="H205" s="9"/>
      <c r="I205" s="9"/>
      <c r="N205" s="10" t="str">
        <f t="shared" si="2"/>
        <v>65-3025(b) - Air Quality Act; Knowingly violate an approval or permit issued under this act</v>
      </c>
      <c r="O205" s="10" t="str">
        <f t="shared" si="3"/>
        <v>Air Quality Act</v>
      </c>
      <c r="Q205" s="10" t="str">
        <f>IFERROR(__xludf.DUMMYFUNCTION("""COMPUTED_VALUE"""),"Escape From Custody")</f>
        <v>Escape From Custody</v>
      </c>
    </row>
    <row r="206">
      <c r="A206" s="7" t="s">
        <v>409</v>
      </c>
      <c r="B206" s="8" t="s">
        <v>410</v>
      </c>
      <c r="C206" s="8">
        <v>10.0</v>
      </c>
      <c r="D206" s="8">
        <v>10.0</v>
      </c>
      <c r="E206" s="8">
        <v>10.0</v>
      </c>
      <c r="F206" s="8">
        <v>10.0</v>
      </c>
      <c r="G206" s="8" t="s">
        <v>21</v>
      </c>
      <c r="H206" s="9"/>
      <c r="I206" s="9"/>
      <c r="N206" s="10" t="str">
        <f t="shared" si="2"/>
        <v>65-3025(a) - Air Quality Act; Knowingly violate an order issued under this act</v>
      </c>
      <c r="O206" s="10" t="str">
        <f t="shared" si="3"/>
        <v>Air Quality Act</v>
      </c>
      <c r="Q206" s="10" t="str">
        <f>IFERROR(__xludf.DUMMYFUNCTION("""COMPUTED_VALUE"""),"Examination/Registration/Licensing &amp; Bonding of Abstracters")</f>
        <v>Examination/Registration/Licensing &amp; Bonding of Abstracters</v>
      </c>
    </row>
    <row r="207">
      <c r="A207" s="7" t="s">
        <v>411</v>
      </c>
      <c r="B207" s="8" t="s">
        <v>412</v>
      </c>
      <c r="C207" s="8">
        <v>10.0</v>
      </c>
      <c r="D207" s="8">
        <v>10.0</v>
      </c>
      <c r="E207" s="8">
        <v>10.0</v>
      </c>
      <c r="F207" s="8">
        <v>10.0</v>
      </c>
      <c r="G207" s="8" t="s">
        <v>21</v>
      </c>
      <c r="H207" s="9"/>
      <c r="I207" s="9"/>
      <c r="N207" s="10" t="str">
        <f t="shared" si="2"/>
        <v>65-3025(d) - Air Quality Act; Knowingly violate any provision of K.S.A. 65-3025</v>
      </c>
      <c r="O207" s="10" t="str">
        <f t="shared" si="3"/>
        <v>Air Quality Act</v>
      </c>
      <c r="Q207" s="10" t="str">
        <f>IFERROR(__xludf.DUMMYFUNCTION("""COMPUTED_VALUE"""),"Expanded Lottery Act")</f>
        <v>Expanded Lottery Act</v>
      </c>
    </row>
    <row r="208">
      <c r="A208" s="7" t="s">
        <v>413</v>
      </c>
      <c r="B208" s="8" t="s">
        <v>414</v>
      </c>
      <c r="C208" s="8">
        <v>10.0</v>
      </c>
      <c r="D208" s="8">
        <v>10.0</v>
      </c>
      <c r="E208" s="8">
        <v>10.0</v>
      </c>
      <c r="F208" s="8">
        <v>10.0</v>
      </c>
      <c r="G208" s="8" t="s">
        <v>21</v>
      </c>
      <c r="H208" s="9"/>
      <c r="I208" s="9"/>
      <c r="N208" s="10" t="str">
        <f t="shared" si="2"/>
        <v>65-3025(g) - Air Quality Act; Make any false material statement, representation or certification in any application, record, report, permit or other document filed, maintained or used for purposes of compliance with this act</v>
      </c>
      <c r="O208" s="10" t="str">
        <f t="shared" si="3"/>
        <v>Air Quality Act</v>
      </c>
      <c r="Q208" s="10" t="str">
        <f>IFERROR(__xludf.DUMMYFUNCTION("""COMPUTED_VALUE"""),"Exposing Another to a Life Threatening Communicable Disease")</f>
        <v>Exposing Another to a Life Threatening Communicable Disease</v>
      </c>
    </row>
    <row r="209">
      <c r="A209" s="7" t="s">
        <v>415</v>
      </c>
      <c r="B209" s="8" t="s">
        <v>416</v>
      </c>
      <c r="C209" s="8">
        <v>10.0</v>
      </c>
      <c r="D209" s="8">
        <v>10.0</v>
      </c>
      <c r="E209" s="8">
        <v>10.0</v>
      </c>
      <c r="F209" s="8">
        <v>10.0</v>
      </c>
      <c r="G209" s="8" t="s">
        <v>21</v>
      </c>
      <c r="H209" s="9"/>
      <c r="I209" s="9"/>
      <c r="N209" s="10" t="str">
        <f t="shared" si="2"/>
        <v>65-3026(b) - Air Quality Act; Penalty for knowingly violating provisions of K.S.A. 65-3025</v>
      </c>
      <c r="O209" s="10" t="str">
        <f t="shared" si="3"/>
        <v>Air Quality Act</v>
      </c>
      <c r="Q209" s="10" t="str">
        <f>IFERROR(__xludf.DUMMYFUNCTION("""COMPUTED_VALUE"""),"Extortion")</f>
        <v>Extortion</v>
      </c>
    </row>
    <row r="210">
      <c r="A210" s="7" t="s">
        <v>417</v>
      </c>
      <c r="B210" s="8" t="s">
        <v>418</v>
      </c>
      <c r="C210" s="8">
        <v>10.0</v>
      </c>
      <c r="D210" s="8">
        <v>10.0</v>
      </c>
      <c r="E210" s="8">
        <v>10.0</v>
      </c>
      <c r="F210" s="8">
        <v>10.0</v>
      </c>
      <c r="G210" s="8" t="s">
        <v>21</v>
      </c>
      <c r="H210" s="9"/>
      <c r="I210" s="9"/>
      <c r="N210" s="10" t="str">
        <f t="shared" si="2"/>
        <v>65-3025(e) - Air Quality Act; Refuse or hinder entry, inspection, sampling or examination or copying of records related to this act by an agent/employee of the secretary after identification of agent/employee and notice of the agent/employee purpose</v>
      </c>
      <c r="O210" s="10" t="str">
        <f t="shared" si="3"/>
        <v>Air Quality Act</v>
      </c>
      <c r="Q210" s="10" t="str">
        <f>IFERROR(__xludf.DUMMYFUNCTION("""COMPUTED_VALUE"""),"Failure to Appear")</f>
        <v>Failure to Appear</v>
      </c>
    </row>
    <row r="211">
      <c r="A211" s="7" t="s">
        <v>419</v>
      </c>
      <c r="B211" s="8" t="s">
        <v>418</v>
      </c>
      <c r="C211" s="8" t="s">
        <v>27</v>
      </c>
      <c r="D211" s="8" t="s">
        <v>28</v>
      </c>
      <c r="E211" s="8" t="s">
        <v>19</v>
      </c>
      <c r="F211" s="8" t="s">
        <v>20</v>
      </c>
      <c r="G211" s="8" t="s">
        <v>21</v>
      </c>
      <c r="H211" s="9"/>
      <c r="I211" s="9"/>
      <c r="J211" s="10">
        <f t="shared" ref="J211:M211" si="71">ifs(OR($H211="R",$I211="N"),"N/A",OR(C211="A",C211="B",C211="C",C211="U"),3,TRUE,"FLAG")</f>
        <v>3</v>
      </c>
      <c r="K211" s="10">
        <f t="shared" si="71"/>
        <v>3</v>
      </c>
      <c r="L211" s="10">
        <f t="shared" si="71"/>
        <v>3</v>
      </c>
      <c r="M211" s="10" t="str">
        <f t="shared" si="71"/>
        <v>FLAG</v>
      </c>
      <c r="N211" s="10" t="str">
        <f t="shared" si="2"/>
        <v>65-3025(e) - Air Quality Act; Refuse or hinder entry, inspection, sampling or examination or copying of records related to this act by an identified agent/employee of the secretary after receiving notice of the agent/employee purpose</v>
      </c>
      <c r="O211" s="10" t="str">
        <f t="shared" si="3"/>
        <v>Air Quality Act</v>
      </c>
      <c r="Q211" s="10" t="str">
        <f>IFERROR(__xludf.DUMMYFUNCTION("""COMPUTED_VALUE"""),"Failure to Maintain Adequate Records")</f>
        <v>Failure to Maintain Adequate Records</v>
      </c>
    </row>
    <row r="212">
      <c r="A212" s="7" t="s">
        <v>420</v>
      </c>
      <c r="B212" s="8" t="s">
        <v>421</v>
      </c>
      <c r="C212" s="8">
        <v>10.0</v>
      </c>
      <c r="D212" s="8">
        <v>10.0</v>
      </c>
      <c r="E212" s="8">
        <v>10.0</v>
      </c>
      <c r="F212" s="8">
        <v>10.0</v>
      </c>
      <c r="G212" s="8" t="s">
        <v>21</v>
      </c>
      <c r="H212" s="9"/>
      <c r="I212" s="9"/>
      <c r="N212" s="10" t="str">
        <f t="shared" si="2"/>
        <v>65-3025(c) - Air Quality Act; Unauthorized violation of this act or any rule and regulation promulgated under this act</v>
      </c>
      <c r="O212" s="10" t="str">
        <f t="shared" si="3"/>
        <v>Air Quality Act</v>
      </c>
      <c r="Q212" s="10" t="str">
        <f>IFERROR(__xludf.DUMMYFUNCTION("""COMPUTED_VALUE"""),"Failure to register an aircraft")</f>
        <v>Failure to register an aircraft</v>
      </c>
    </row>
    <row r="213">
      <c r="A213" s="7" t="s">
        <v>422</v>
      </c>
      <c r="B213" s="8" t="s">
        <v>412</v>
      </c>
      <c r="C213" s="8" t="s">
        <v>27</v>
      </c>
      <c r="D213" s="8" t="s">
        <v>28</v>
      </c>
      <c r="E213" s="8" t="s">
        <v>19</v>
      </c>
      <c r="F213" s="8" t="s">
        <v>20</v>
      </c>
      <c r="G213" s="8" t="s">
        <v>21</v>
      </c>
      <c r="H213" s="9"/>
      <c r="I213" s="9"/>
      <c r="J213" s="10">
        <f t="shared" ref="J213:M213" si="72">ifs(OR($H213="R",$I213="N"),"N/A",OR(C213="A",C213="B",C213="C",C213="U"),3,TRUE,"FLAG")</f>
        <v>3</v>
      </c>
      <c r="K213" s="10">
        <f t="shared" si="72"/>
        <v>3</v>
      </c>
      <c r="L213" s="10">
        <f t="shared" si="72"/>
        <v>3</v>
      </c>
      <c r="M213" s="10" t="str">
        <f t="shared" si="72"/>
        <v>FLAG</v>
      </c>
      <c r="N213" s="10" t="str">
        <f t="shared" si="2"/>
        <v>65-3025(d) - Air Quality Act; Violate any of the provisions of subsections (a) through (f) of K.S.A. 65-3025</v>
      </c>
      <c r="O213" s="10" t="str">
        <f t="shared" si="3"/>
        <v>Air Quality Act</v>
      </c>
      <c r="Q213" s="10" t="str">
        <f>IFERROR(__xludf.DUMMYFUNCTION("""COMPUTED_VALUE"""),"Failure to Register Explosives")</f>
        <v>Failure to Register Explosives</v>
      </c>
    </row>
    <row r="214">
      <c r="A214" s="7" t="s">
        <v>423</v>
      </c>
      <c r="B214" s="8" t="s">
        <v>421</v>
      </c>
      <c r="C214" s="8" t="s">
        <v>27</v>
      </c>
      <c r="D214" s="8" t="s">
        <v>28</v>
      </c>
      <c r="E214" s="8" t="s">
        <v>19</v>
      </c>
      <c r="F214" s="8" t="s">
        <v>20</v>
      </c>
      <c r="G214" s="8" t="s">
        <v>21</v>
      </c>
      <c r="H214" s="9"/>
      <c r="I214" s="9"/>
      <c r="J214" s="10">
        <f t="shared" ref="J214:M214" si="73">ifs(OR($H214="R",$I214="N"),"N/A",OR(C214="A",C214="B",C214="C",C214="U"),3,TRUE,"FLAG")</f>
        <v>3</v>
      </c>
      <c r="K214" s="10">
        <f t="shared" si="73"/>
        <v>3</v>
      </c>
      <c r="L214" s="10">
        <f t="shared" si="73"/>
        <v>3</v>
      </c>
      <c r="M214" s="10" t="str">
        <f t="shared" si="73"/>
        <v>FLAG</v>
      </c>
      <c r="N214" s="10" t="str">
        <f t="shared" si="2"/>
        <v>65-3025(c) - Air Quality Act; Violate of any provision of this act or any rule and regulation promulgated under this act, unless authorized by the secretary</v>
      </c>
      <c r="O214" s="10" t="str">
        <f t="shared" si="3"/>
        <v>Air Quality Act</v>
      </c>
      <c r="Q214" s="10" t="str">
        <f>IFERROR(__xludf.DUMMYFUNCTION("""COMPUTED_VALUE"""),"Failure to Remain")</f>
        <v>Failure to Remain</v>
      </c>
    </row>
    <row r="215">
      <c r="A215" s="7" t="s">
        <v>424</v>
      </c>
      <c r="B215" s="8" t="s">
        <v>408</v>
      </c>
      <c r="C215" s="8" t="s">
        <v>27</v>
      </c>
      <c r="D215" s="8" t="s">
        <v>28</v>
      </c>
      <c r="E215" s="8" t="s">
        <v>19</v>
      </c>
      <c r="F215" s="8" t="s">
        <v>20</v>
      </c>
      <c r="G215" s="8" t="s">
        <v>21</v>
      </c>
      <c r="H215" s="9"/>
      <c r="I215" s="9"/>
      <c r="J215" s="10">
        <f t="shared" ref="J215:M215" si="74">ifs(OR($H215="R",$I215="N"),"N/A",OR(C215="A",C215="B",C215="C",C215="U"),3,TRUE,"FLAG")</f>
        <v>3</v>
      </c>
      <c r="K215" s="10">
        <f t="shared" si="74"/>
        <v>3</v>
      </c>
      <c r="L215" s="10">
        <f t="shared" si="74"/>
        <v>3</v>
      </c>
      <c r="M215" s="10" t="str">
        <f t="shared" si="74"/>
        <v>FLAG</v>
      </c>
      <c r="N215" s="10" t="str">
        <f t="shared" si="2"/>
        <v>65-3025(b) - Air Quality Act; Violation of any provision of an approval or permit issued under this act</v>
      </c>
      <c r="O215" s="10" t="str">
        <f t="shared" si="3"/>
        <v>Air Quality Act</v>
      </c>
      <c r="Q215" s="10" t="str">
        <f>IFERROR(__xludf.DUMMYFUNCTION("""COMPUTED_VALUE"""),"Failure to Report a Wound")</f>
        <v>Failure to Report a Wound</v>
      </c>
    </row>
    <row r="216">
      <c r="A216" s="7" t="s">
        <v>425</v>
      </c>
      <c r="B216" s="8" t="s">
        <v>410</v>
      </c>
      <c r="C216" s="8" t="s">
        <v>27</v>
      </c>
      <c r="D216" s="8" t="s">
        <v>28</v>
      </c>
      <c r="E216" s="8" t="s">
        <v>19</v>
      </c>
      <c r="F216" s="8" t="s">
        <v>20</v>
      </c>
      <c r="G216" s="8" t="s">
        <v>21</v>
      </c>
      <c r="H216" s="9"/>
      <c r="I216" s="9"/>
      <c r="J216" s="10">
        <f t="shared" ref="J216:M216" si="75">ifs(OR($H216="R",$I216="N"),"N/A",OR(C216="A",C216="B",C216="C",C216="U"),3,TRUE,"FLAG")</f>
        <v>3</v>
      </c>
      <c r="K216" s="10">
        <f t="shared" si="75"/>
        <v>3</v>
      </c>
      <c r="L216" s="10">
        <f t="shared" si="75"/>
        <v>3</v>
      </c>
      <c r="M216" s="10" t="str">
        <f t="shared" si="75"/>
        <v>FLAG</v>
      </c>
      <c r="N216" s="10" t="str">
        <f t="shared" si="2"/>
        <v>65-3025(a) - Air Quality Act; Violation of any provision of an order issued under this act</v>
      </c>
      <c r="O216" s="10" t="str">
        <f t="shared" si="3"/>
        <v>Air Quality Act</v>
      </c>
      <c r="Q216" s="10" t="str">
        <f>IFERROR(__xludf.DUMMYFUNCTION("""COMPUTED_VALUE"""),"Failure to Report Accident")</f>
        <v>Failure to Report Accident</v>
      </c>
    </row>
    <row r="217">
      <c r="A217" s="7" t="s">
        <v>426</v>
      </c>
      <c r="B217" s="8" t="s">
        <v>427</v>
      </c>
      <c r="C217" s="8" t="s">
        <v>18</v>
      </c>
      <c r="D217" s="8" t="s">
        <v>18</v>
      </c>
      <c r="E217" s="8" t="s">
        <v>19</v>
      </c>
      <c r="F217" s="8" t="s">
        <v>20</v>
      </c>
      <c r="G217" s="8" t="s">
        <v>21</v>
      </c>
      <c r="H217" s="9"/>
      <c r="I217" s="9"/>
      <c r="J217" s="10">
        <f t="shared" ref="J217:M217" si="76">ifs(OR($H217="R",$I217="N"),"N/A",OR(C217="A",C217="B",C217="C",C217="U"),3,TRUE,"FLAG")</f>
        <v>3</v>
      </c>
      <c r="K217" s="10">
        <f t="shared" si="76"/>
        <v>3</v>
      </c>
      <c r="L217" s="10">
        <f t="shared" si="76"/>
        <v>3</v>
      </c>
      <c r="M217" s="10" t="str">
        <f t="shared" si="76"/>
        <v>FLAG</v>
      </c>
      <c r="N217" s="10" t="str">
        <f t="shared" si="2"/>
        <v>3-202 - Aircraft &amp; Airfields; Navigate any aircraft or use any aircraft for instruction in the art of navigation, without a pilot's certificate</v>
      </c>
      <c r="O217" s="10" t="str">
        <f t="shared" si="3"/>
        <v>Aircraft &amp; Airfields</v>
      </c>
      <c r="Q217" s="10" t="str">
        <f>IFERROR(__xludf.DUMMYFUNCTION("""COMPUTED_VALUE"""),"Failure to Report the Death of a Child")</f>
        <v>Failure to Report the Death of a Child</v>
      </c>
    </row>
    <row r="218">
      <c r="A218" s="7" t="s">
        <v>428</v>
      </c>
      <c r="B218" s="12" t="s">
        <v>429</v>
      </c>
      <c r="C218" s="8" t="s">
        <v>18</v>
      </c>
      <c r="D218" s="8" t="s">
        <v>18</v>
      </c>
      <c r="E218" s="8" t="s">
        <v>18</v>
      </c>
      <c r="F218" s="8" t="s">
        <v>20</v>
      </c>
      <c r="G218" s="8" t="s">
        <v>21</v>
      </c>
      <c r="H218" s="9"/>
      <c r="I218" s="9"/>
      <c r="J218" s="10">
        <f t="shared" ref="J218:M218" si="77">ifs(OR($H218="R",$I218="N"),"N/A",OR(C218="A",C218="B",C218="C",C218="U"),3,TRUE,"FLAG")</f>
        <v>3</v>
      </c>
      <c r="K218" s="10">
        <f t="shared" si="77"/>
        <v>3</v>
      </c>
      <c r="L218" s="10">
        <f t="shared" si="77"/>
        <v>3</v>
      </c>
      <c r="M218" s="10" t="str">
        <f t="shared" si="77"/>
        <v>FLAG</v>
      </c>
      <c r="N218" s="10" t="str">
        <f t="shared" si="2"/>
        <v>-327927 - Aircraft &amp; Airfields; Operation Under Influence of Alcohol</v>
      </c>
      <c r="O218" s="10" t="str">
        <f t="shared" si="3"/>
        <v>Aircraft &amp; Airfields</v>
      </c>
      <c r="Q218" s="10" t="str">
        <f>IFERROR(__xludf.DUMMYFUNCTION("""COMPUTED_VALUE"""),"Failure to Report the Disappearance of a Child under 13")</f>
        <v>Failure to Report the Disappearance of a Child under 13</v>
      </c>
    </row>
    <row r="219">
      <c r="A219" s="7" t="s">
        <v>430</v>
      </c>
      <c r="B219" s="12" t="s">
        <v>431</v>
      </c>
      <c r="C219" s="8" t="s">
        <v>19</v>
      </c>
      <c r="D219" s="8" t="s">
        <v>19</v>
      </c>
      <c r="E219" s="8" t="s">
        <v>19</v>
      </c>
      <c r="F219" s="8" t="s">
        <v>20</v>
      </c>
      <c r="G219" s="8" t="s">
        <v>21</v>
      </c>
      <c r="H219" s="9"/>
      <c r="I219" s="9"/>
      <c r="J219" s="10">
        <f t="shared" ref="J219:M219" si="78">ifs(OR($H219="R",$I219="N"),"N/A",OR(C219="A",C219="B",C219="C",C219="U"),3,TRUE,"FLAG")</f>
        <v>3</v>
      </c>
      <c r="K219" s="10">
        <f t="shared" si="78"/>
        <v>3</v>
      </c>
      <c r="L219" s="10">
        <f t="shared" si="78"/>
        <v>3</v>
      </c>
      <c r="M219" s="10" t="str">
        <f t="shared" si="78"/>
        <v>FLAG</v>
      </c>
      <c r="N219" s="10" t="str">
        <f t="shared" si="2"/>
        <v>-327196 - Aircraft &amp; Airfields; Operation Under Influence of Alcohol of Drugs; unreasonable refusal to consent to a chemical test of blood, breath or urine</v>
      </c>
      <c r="O219" s="10" t="str">
        <f t="shared" si="3"/>
        <v>Aircraft &amp; Airfields</v>
      </c>
      <c r="Q219" s="10" t="str">
        <f>IFERROR(__xludf.DUMMYFUNCTION("""COMPUTED_VALUE"""),"Fair Credit Reporting Act")</f>
        <v>Fair Credit Reporting Act</v>
      </c>
    </row>
    <row r="220">
      <c r="A220" s="7" t="s">
        <v>432</v>
      </c>
      <c r="B220" s="12" t="s">
        <v>433</v>
      </c>
      <c r="C220" s="8" t="s">
        <v>18</v>
      </c>
      <c r="D220" s="8" t="s">
        <v>18</v>
      </c>
      <c r="E220" s="8" t="s">
        <v>18</v>
      </c>
      <c r="F220" s="8" t="s">
        <v>20</v>
      </c>
      <c r="G220" s="8" t="s">
        <v>21</v>
      </c>
      <c r="H220" s="9"/>
      <c r="I220" s="9"/>
      <c r="J220" s="10">
        <f t="shared" ref="J220:M220" si="79">ifs(OR($H220="R",$I220="N"),"N/A",OR(C220="A",C220="B",C220="C",C220="U"),3,TRUE,"FLAG")</f>
        <v>3</v>
      </c>
      <c r="K220" s="10">
        <f t="shared" si="79"/>
        <v>3</v>
      </c>
      <c r="L220" s="10">
        <f t="shared" si="79"/>
        <v>3</v>
      </c>
      <c r="M220" s="10" t="str">
        <f t="shared" si="79"/>
        <v>FLAG</v>
      </c>
      <c r="N220" s="10" t="str">
        <f t="shared" si="2"/>
        <v>-328292 - Aircraft &amp; Airfields; Operation Under Influence of Drugs</v>
      </c>
      <c r="O220" s="10" t="str">
        <f t="shared" si="3"/>
        <v>Aircraft &amp; Airfields</v>
      </c>
      <c r="Q220" s="10" t="str">
        <f>IFERROR(__xludf.DUMMYFUNCTION("""COMPUTED_VALUE"""),"False Alarm")</f>
        <v>False Alarm</v>
      </c>
    </row>
    <row r="221">
      <c r="A221" s="7" t="s">
        <v>434</v>
      </c>
      <c r="B221" s="8" t="s">
        <v>435</v>
      </c>
      <c r="C221" s="8" t="s">
        <v>18</v>
      </c>
      <c r="D221" s="8" t="s">
        <v>18</v>
      </c>
      <c r="E221" s="8" t="s">
        <v>19</v>
      </c>
      <c r="F221" s="8" t="s">
        <v>20</v>
      </c>
      <c r="G221" s="8" t="s">
        <v>21</v>
      </c>
      <c r="H221" s="9"/>
      <c r="I221" s="9"/>
      <c r="J221" s="10">
        <f t="shared" ref="J221:M221" si="80">ifs(OR($H221="R",$I221="N"),"N/A",OR(C221="A",C221="B",C221="C",C221="U"),3,TRUE,"FLAG")</f>
        <v>3</v>
      </c>
      <c r="K221" s="10">
        <f t="shared" si="80"/>
        <v>3</v>
      </c>
      <c r="L221" s="10">
        <f t="shared" si="80"/>
        <v>3</v>
      </c>
      <c r="M221" s="10" t="str">
        <f t="shared" si="80"/>
        <v>FLAG</v>
      </c>
      <c r="N221" s="10" t="str">
        <f t="shared" si="2"/>
        <v>3-204 - Aircraft &amp; Airfields; Pilot to present license on demand</v>
      </c>
      <c r="O221" s="10" t="str">
        <f t="shared" si="3"/>
        <v>Aircraft &amp; Airfields</v>
      </c>
      <c r="Q221" s="10" t="str">
        <f>IFERROR(__xludf.DUMMYFUNCTION("""COMPUTED_VALUE"""),"False Impersonation")</f>
        <v>False Impersonation</v>
      </c>
    </row>
    <row r="222">
      <c r="A222" s="7" t="s">
        <v>436</v>
      </c>
      <c r="B222" s="8" t="s">
        <v>437</v>
      </c>
      <c r="C222" s="8" t="s">
        <v>18</v>
      </c>
      <c r="D222" s="8" t="s">
        <v>18</v>
      </c>
      <c r="E222" s="8" t="s">
        <v>19</v>
      </c>
      <c r="F222" s="8" t="s">
        <v>20</v>
      </c>
      <c r="G222" s="8" t="s">
        <v>21</v>
      </c>
      <c r="H222" s="9"/>
      <c r="I222" s="9"/>
      <c r="J222" s="10">
        <f t="shared" ref="J222:M222" si="81">ifs(OR($H222="R",$I222="N"),"N/A",OR(C222="A",C222="B",C222="C",C222="U"),3,TRUE,"FLAG")</f>
        <v>3</v>
      </c>
      <c r="K222" s="10">
        <f t="shared" si="81"/>
        <v>3</v>
      </c>
      <c r="L222" s="10">
        <f t="shared" si="81"/>
        <v>3</v>
      </c>
      <c r="M222" s="10" t="str">
        <f t="shared" si="81"/>
        <v>FLAG</v>
      </c>
      <c r="N222" s="10" t="str">
        <f t="shared" si="2"/>
        <v>3-203 - Aircraft &amp; Airfields; Violation of air commerce regulations</v>
      </c>
      <c r="O222" s="10" t="str">
        <f t="shared" si="3"/>
        <v>Aircraft &amp; Airfields</v>
      </c>
      <c r="Q222" s="10" t="str">
        <f>IFERROR(__xludf.DUMMYFUNCTION("""COMPUTED_VALUE"""),"False Information or Report")</f>
        <v>False Information or Report</v>
      </c>
    </row>
    <row r="223">
      <c r="A223" s="7" t="s">
        <v>438</v>
      </c>
      <c r="B223" s="8" t="s">
        <v>439</v>
      </c>
      <c r="C223" s="8" t="s">
        <v>27</v>
      </c>
      <c r="D223" s="8" t="s">
        <v>28</v>
      </c>
      <c r="E223" s="8" t="s">
        <v>19</v>
      </c>
      <c r="F223" s="8" t="s">
        <v>20</v>
      </c>
      <c r="G223" s="8" t="s">
        <v>21</v>
      </c>
      <c r="H223" s="9"/>
      <c r="I223" s="9"/>
      <c r="J223" s="10">
        <f t="shared" ref="J223:M223" si="82">ifs(OR($H223="R",$I223="N"),"N/A",OR(C223="A",C223="B",C223="C",C223="U"),3,TRUE,"FLAG")</f>
        <v>3</v>
      </c>
      <c r="K223" s="10">
        <f t="shared" si="82"/>
        <v>3</v>
      </c>
      <c r="L223" s="10">
        <f t="shared" si="82"/>
        <v>3</v>
      </c>
      <c r="M223" s="10" t="str">
        <f t="shared" si="82"/>
        <v>FLAG</v>
      </c>
      <c r="N223" s="10" t="str">
        <f t="shared" si="2"/>
        <v>21-6321(a)(2) - Alcohol Without Liquid Machine; Knowingly purchase, sell or offer for sale an alcohol without liquid machine</v>
      </c>
      <c r="O223" s="10" t="str">
        <f t="shared" si="3"/>
        <v>Alcohol Without Liquid Machine</v>
      </c>
      <c r="Q223" s="10" t="str">
        <f>IFERROR(__xludf.DUMMYFUNCTION("""COMPUTED_VALUE"""),"False Membership Claim")</f>
        <v>False Membership Claim</v>
      </c>
    </row>
    <row r="224">
      <c r="A224" s="7" t="s">
        <v>440</v>
      </c>
      <c r="B224" s="8" t="s">
        <v>441</v>
      </c>
      <c r="C224" s="8" t="s">
        <v>27</v>
      </c>
      <c r="D224" s="8" t="s">
        <v>28</v>
      </c>
      <c r="E224" s="8" t="s">
        <v>19</v>
      </c>
      <c r="F224" s="8" t="s">
        <v>20</v>
      </c>
      <c r="G224" s="8" t="s">
        <v>21</v>
      </c>
      <c r="H224" s="9"/>
      <c r="I224" s="9"/>
      <c r="J224" s="10">
        <f t="shared" ref="J224:M224" si="83">ifs(OR($H224="R",$I224="N"),"N/A",OR(C224="A",C224="B",C224="C",C224="U"),3,TRUE,"FLAG")</f>
        <v>3</v>
      </c>
      <c r="K224" s="10">
        <f t="shared" si="83"/>
        <v>3</v>
      </c>
      <c r="L224" s="10">
        <f t="shared" si="83"/>
        <v>3</v>
      </c>
      <c r="M224" s="10" t="str">
        <f t="shared" si="83"/>
        <v>FLAG</v>
      </c>
      <c r="N224" s="10" t="str">
        <f t="shared" si="2"/>
        <v>21-6321(a)(1) - Alcohol Without Liquid Machine; Knowingly use any alcohol without liquid machine to inhale alcohol vapor or otherwise introduce alcohol in any form into the human body</v>
      </c>
      <c r="O224" s="10" t="str">
        <f t="shared" si="3"/>
        <v>Alcohol Without Liquid Machine</v>
      </c>
      <c r="Q224" s="10" t="str">
        <f>IFERROR(__xludf.DUMMYFUNCTION("""COMPUTED_VALUE"""),"False Signing of a Petition")</f>
        <v>False Signing of a Petition</v>
      </c>
    </row>
    <row r="225">
      <c r="A225" s="7" t="s">
        <v>442</v>
      </c>
      <c r="B225" s="8" t="s">
        <v>443</v>
      </c>
      <c r="C225" s="8" t="s">
        <v>19</v>
      </c>
      <c r="D225" s="8" t="s">
        <v>19</v>
      </c>
      <c r="E225" s="8" t="s">
        <v>19</v>
      </c>
      <c r="F225" s="8" t="s">
        <v>20</v>
      </c>
      <c r="G225" s="8" t="s">
        <v>21</v>
      </c>
      <c r="H225" s="9"/>
      <c r="I225" s="9"/>
      <c r="J225" s="10">
        <f t="shared" ref="J225:M225" si="84">ifs(OR($H225="R",$I225="N"),"N/A",OR(C225="A",C225="B",C225="C",C225="U"),3,TRUE,"FLAG")</f>
        <v>3</v>
      </c>
      <c r="K225" s="10">
        <f t="shared" si="84"/>
        <v>3</v>
      </c>
      <c r="L225" s="10">
        <f t="shared" si="84"/>
        <v>3</v>
      </c>
      <c r="M225" s="10" t="str">
        <f t="shared" si="84"/>
        <v>FLAG</v>
      </c>
      <c r="N225" s="10" t="str">
        <f t="shared" si="2"/>
        <v>65-4012 - Alcoholism &amp; Intoxication Treatment; Establish or operate a public or private treatment facility without a license</v>
      </c>
      <c r="O225" s="10" t="str">
        <f t="shared" si="3"/>
        <v>Alcoholism &amp; Intoxication Treatment</v>
      </c>
      <c r="Q225" s="10" t="str">
        <f>IFERROR(__xludf.DUMMYFUNCTION("""COMPUTED_VALUE"""),"False Writing")</f>
        <v>False Writing</v>
      </c>
    </row>
    <row r="226">
      <c r="A226" s="7" t="s">
        <v>444</v>
      </c>
      <c r="B226" s="8" t="s">
        <v>445</v>
      </c>
      <c r="C226" s="8">
        <v>9.0</v>
      </c>
      <c r="D226" s="8">
        <v>10.0</v>
      </c>
      <c r="E226" s="8">
        <v>10.0</v>
      </c>
      <c r="F226" s="8">
        <v>10.0</v>
      </c>
      <c r="G226" s="8" t="s">
        <v>21</v>
      </c>
      <c r="H226" s="9"/>
      <c r="I226" s="9"/>
      <c r="N226" s="10" t="str">
        <f t="shared" si="2"/>
        <v>21-5827(a) - Altering a Legislative Document; Knowingly mutilate, alter or change, otherwise than in the regular course of legislation, any act, bill or resolution introduced into or acted upon by either or both houses of the legislature of this state either before or after such act, bill or resolution has been signed by the governor</v>
      </c>
      <c r="O226" s="10" t="str">
        <f t="shared" si="3"/>
        <v>Altering a Legislative Document</v>
      </c>
      <c r="Q226" s="10" t="str">
        <f>IFERROR(__xludf.DUMMYFUNCTION("""COMPUTED_VALUE"""),"Farm Produce")</f>
        <v>Farm Produce</v>
      </c>
    </row>
    <row r="227">
      <c r="A227" s="7" t="s">
        <v>446</v>
      </c>
      <c r="B227" s="8" t="s">
        <v>447</v>
      </c>
      <c r="C227" s="8" t="s">
        <v>28</v>
      </c>
      <c r="D227" s="8" t="s">
        <v>19</v>
      </c>
      <c r="E227" s="8" t="s">
        <v>19</v>
      </c>
      <c r="F227" s="8" t="s">
        <v>20</v>
      </c>
      <c r="G227" s="8" t="s">
        <v>21</v>
      </c>
      <c r="H227" s="9"/>
      <c r="I227" s="9"/>
      <c r="J227" s="10">
        <f t="shared" ref="J227:M227" si="85">ifs(OR($H227="R",$I227="N"),"N/A",OR(C227="A",C227="B",C227="C",C227="U"),3,TRUE,"FLAG")</f>
        <v>3</v>
      </c>
      <c r="K227" s="10">
        <f t="shared" si="85"/>
        <v>3</v>
      </c>
      <c r="L227" s="10">
        <f t="shared" si="85"/>
        <v>3</v>
      </c>
      <c r="M227" s="10" t="str">
        <f t="shared" si="85"/>
        <v>FLAG</v>
      </c>
      <c r="N227" s="10" t="str">
        <f t="shared" si="2"/>
        <v>44-1610(a) - Amusement Ride Inspection; Knowing violation of safety rules by owner or operator</v>
      </c>
      <c r="O227" s="10" t="str">
        <f t="shared" si="3"/>
        <v>Amusement Ride Inspection</v>
      </c>
      <c r="Q227" s="10" t="str">
        <f>IFERROR(__xludf.DUMMYFUNCTION("""COMPUTED_VALUE"""),"Fees &amp; Salaries")</f>
        <v>Fees &amp; Salaries</v>
      </c>
    </row>
    <row r="228">
      <c r="A228" s="7" t="s">
        <v>448</v>
      </c>
      <c r="B228" s="8" t="s">
        <v>449</v>
      </c>
      <c r="C228" s="8" t="s">
        <v>19</v>
      </c>
      <c r="D228" s="8" t="s">
        <v>19</v>
      </c>
      <c r="E228" s="8" t="s">
        <v>19</v>
      </c>
      <c r="F228" s="8" t="s">
        <v>20</v>
      </c>
      <c r="G228" s="8" t="s">
        <v>21</v>
      </c>
      <c r="H228" s="9"/>
      <c r="I228" s="9"/>
      <c r="J228" s="10">
        <f t="shared" ref="J228:M228" si="86">ifs(OR($H228="R",$I228="N"),"N/A",OR(C228="A",C228="B",C228="C",C228="U"),3,TRUE,"FLAG")</f>
        <v>3</v>
      </c>
      <c r="K228" s="10">
        <f t="shared" si="86"/>
        <v>3</v>
      </c>
      <c r="L228" s="10">
        <f t="shared" si="86"/>
        <v>3</v>
      </c>
      <c r="M228" s="10" t="str">
        <f t="shared" si="86"/>
        <v>FLAG</v>
      </c>
      <c r="N228" s="10" t="str">
        <f t="shared" si="2"/>
        <v>44-1610(b) - Amusement Ride Inspection; Violate availability of inspection records and safety instructions</v>
      </c>
      <c r="O228" s="10" t="str">
        <f t="shared" si="3"/>
        <v>Amusement Ride Inspection</v>
      </c>
      <c r="Q228" s="10" t="str">
        <f>IFERROR(__xludf.DUMMYFUNCTION("""COMPUTED_VALUE"""),"Female Genital Mutilation")</f>
        <v>Female Genital Mutilation</v>
      </c>
    </row>
    <row r="229">
      <c r="A229" s="7" t="s">
        <v>450</v>
      </c>
      <c r="B229" s="8" t="s">
        <v>451</v>
      </c>
      <c r="C229" s="8" t="s">
        <v>18</v>
      </c>
      <c r="D229" s="8" t="s">
        <v>18</v>
      </c>
      <c r="E229" s="8" t="s">
        <v>19</v>
      </c>
      <c r="F229" s="8" t="s">
        <v>20</v>
      </c>
      <c r="G229" s="8" t="s">
        <v>21</v>
      </c>
      <c r="H229" s="9"/>
      <c r="I229" s="9"/>
      <c r="J229" s="10">
        <f t="shared" ref="J229:M229" si="87">ifs(OR($H229="R",$I229="N"),"N/A",OR(C229="A",C229="B",C229="C",C229="U"),3,TRUE,"FLAG")</f>
        <v>3</v>
      </c>
      <c r="K229" s="10">
        <f t="shared" si="87"/>
        <v>3</v>
      </c>
      <c r="L229" s="10">
        <f t="shared" si="87"/>
        <v>3</v>
      </c>
      <c r="M229" s="10" t="str">
        <f t="shared" si="87"/>
        <v>FLAG</v>
      </c>
      <c r="N229" s="10" t="str">
        <f t="shared" si="2"/>
        <v>21-1213(a)(7) - Animals &amp; Nuisances; Sale of live bruecella abortus to unauthorized person</v>
      </c>
      <c r="O229" s="10" t="str">
        <f t="shared" si="3"/>
        <v>Animals &amp; Nuisances</v>
      </c>
      <c r="Q229" s="10" t="str">
        <f>IFERROR(__xludf.DUMMYFUNCTION("""COMPUTED_VALUE"""),"Fences")</f>
        <v>Fences</v>
      </c>
    </row>
    <row r="230">
      <c r="A230" s="7" t="s">
        <v>452</v>
      </c>
      <c r="B230" s="8" t="s">
        <v>453</v>
      </c>
      <c r="C230" s="8" t="s">
        <v>18</v>
      </c>
      <c r="D230" s="8" t="s">
        <v>18</v>
      </c>
      <c r="E230" s="8" t="s">
        <v>19</v>
      </c>
      <c r="F230" s="8" t="s">
        <v>20</v>
      </c>
      <c r="G230" s="8" t="s">
        <v>21</v>
      </c>
      <c r="H230" s="9"/>
      <c r="I230" s="9"/>
      <c r="J230" s="10">
        <f t="shared" ref="J230:M230" si="88">ifs(OR($H230="R",$I230="N"),"N/A",OR(C230="A",C230="B",C230="C",C230="U"),3,TRUE,"FLAG")</f>
        <v>3</v>
      </c>
      <c r="K230" s="10">
        <f t="shared" si="88"/>
        <v>3</v>
      </c>
      <c r="L230" s="10">
        <f t="shared" si="88"/>
        <v>3</v>
      </c>
      <c r="M230" s="10" t="str">
        <f t="shared" si="88"/>
        <v>FLAG</v>
      </c>
      <c r="N230" s="10" t="str">
        <f t="shared" si="2"/>
        <v>21-1213(a)(8) - Animals &amp; Nuisances; Sale of live bruecella abortus to unauthorized vendor</v>
      </c>
      <c r="O230" s="10" t="str">
        <f t="shared" si="3"/>
        <v>Animals &amp; Nuisances</v>
      </c>
      <c r="Q230" s="10" t="str">
        <f>IFERROR(__xludf.DUMMYFUNCTION("""COMPUTED_VALUE"""),"Fertilizers")</f>
        <v>Fertilizers</v>
      </c>
    </row>
    <row r="231">
      <c r="A231" s="7" t="s">
        <v>454</v>
      </c>
      <c r="B231" s="8" t="s">
        <v>455</v>
      </c>
      <c r="C231" s="8" t="s">
        <v>18</v>
      </c>
      <c r="D231" s="8" t="s">
        <v>18</v>
      </c>
      <c r="E231" s="8" t="s">
        <v>19</v>
      </c>
      <c r="F231" s="8" t="s">
        <v>20</v>
      </c>
      <c r="G231" s="8" t="s">
        <v>21</v>
      </c>
      <c r="H231" s="9"/>
      <c r="I231" s="9"/>
      <c r="J231" s="10">
        <f t="shared" ref="J231:M231" si="89">ifs(OR($H231="R",$I231="N"),"N/A",OR(C231="A",C231="B",C231="C",C231="U"),3,TRUE,"FLAG")</f>
        <v>3</v>
      </c>
      <c r="K231" s="10">
        <f t="shared" si="89"/>
        <v>3</v>
      </c>
      <c r="L231" s="10">
        <f t="shared" si="89"/>
        <v>3</v>
      </c>
      <c r="M231" s="10" t="str">
        <f t="shared" si="89"/>
        <v>FLAG</v>
      </c>
      <c r="N231" s="10" t="str">
        <f t="shared" si="2"/>
        <v>21-1213(a)(4) - Animals &amp; Nuisances; Sale of rabies vaccine to unauthorized person</v>
      </c>
      <c r="O231" s="10" t="str">
        <f t="shared" si="3"/>
        <v>Animals &amp; Nuisances</v>
      </c>
      <c r="Q231" s="10" t="str">
        <f>IFERROR(__xludf.DUMMYFUNCTION("""COMPUTED_VALUE"""),"Fetal Organs &amp; Tissue")</f>
        <v>Fetal Organs &amp; Tissue</v>
      </c>
    </row>
    <row r="232">
      <c r="A232" s="7" t="s">
        <v>456</v>
      </c>
      <c r="B232" s="8" t="s">
        <v>457</v>
      </c>
      <c r="C232" s="8" t="s">
        <v>18</v>
      </c>
      <c r="D232" s="8" t="s">
        <v>18</v>
      </c>
      <c r="E232" s="8" t="s">
        <v>19</v>
      </c>
      <c r="F232" s="8" t="s">
        <v>20</v>
      </c>
      <c r="G232" s="8" t="s">
        <v>21</v>
      </c>
      <c r="H232" s="9"/>
      <c r="I232" s="9"/>
      <c r="J232" s="10">
        <f t="shared" ref="J232:M232" si="90">ifs(OR($H232="R",$I232="N"),"N/A",OR(C232="A",C232="B",C232="C",C232="U"),3,TRUE,"FLAG")</f>
        <v>3</v>
      </c>
      <c r="K232" s="10">
        <f t="shared" si="90"/>
        <v>3</v>
      </c>
      <c r="L232" s="10">
        <f t="shared" si="90"/>
        <v>3</v>
      </c>
      <c r="M232" s="10" t="str">
        <f t="shared" si="90"/>
        <v>FLAG</v>
      </c>
      <c r="N232" s="10" t="str">
        <f t="shared" si="2"/>
        <v>21-1213(a)(5) - Animals &amp; Nuisances; Sale of rabies vaccine to unauthorized vendor</v>
      </c>
      <c r="O232" s="10" t="str">
        <f t="shared" si="3"/>
        <v>Animals &amp; Nuisances</v>
      </c>
      <c r="Q232" s="10" t="str">
        <f>IFERROR(__xludf.DUMMYFUNCTION("""COMPUTED_VALUE"""),"Fire Safety &amp; Prevention")</f>
        <v>Fire Safety &amp; Prevention</v>
      </c>
    </row>
    <row r="233">
      <c r="A233" s="7" t="s">
        <v>458</v>
      </c>
      <c r="B233" s="8" t="s">
        <v>459</v>
      </c>
      <c r="C233" s="8" t="s">
        <v>18</v>
      </c>
      <c r="D233" s="8" t="s">
        <v>18</v>
      </c>
      <c r="E233" s="8" t="s">
        <v>19</v>
      </c>
      <c r="F233" s="8" t="s">
        <v>20</v>
      </c>
      <c r="G233" s="8" t="s">
        <v>21</v>
      </c>
      <c r="H233" s="9"/>
      <c r="I233" s="9"/>
      <c r="J233" s="10">
        <f t="shared" ref="J233:M233" si="91">ifs(OR($H233="R",$I233="N"),"N/A",OR(C233="A",C233="B",C233="C",C233="U"),3,TRUE,"FLAG")</f>
        <v>3</v>
      </c>
      <c r="K233" s="10">
        <f t="shared" si="91"/>
        <v>3</v>
      </c>
      <c r="L233" s="10">
        <f t="shared" si="91"/>
        <v>3</v>
      </c>
      <c r="M233" s="10" t="str">
        <f t="shared" si="91"/>
        <v>FLAG</v>
      </c>
      <c r="N233" s="10" t="str">
        <f t="shared" si="2"/>
        <v>21-1213(a)(1) - Animals &amp; Nuisances; Unlawful injection of live bruecella abortus</v>
      </c>
      <c r="O233" s="10" t="str">
        <f t="shared" si="3"/>
        <v>Animals &amp; Nuisances</v>
      </c>
      <c r="Q233" s="10" t="str">
        <f>IFERROR(__xludf.DUMMYFUNCTION("""COMPUTED_VALUE"""),"Fire Safety and Prevention")</f>
        <v>Fire Safety and Prevention</v>
      </c>
    </row>
    <row r="234">
      <c r="A234" s="7" t="s">
        <v>460</v>
      </c>
      <c r="B234" s="8" t="s">
        <v>461</v>
      </c>
      <c r="C234" s="8" t="s">
        <v>18</v>
      </c>
      <c r="D234" s="8" t="s">
        <v>18</v>
      </c>
      <c r="E234" s="8" t="s">
        <v>19</v>
      </c>
      <c r="F234" s="8" t="s">
        <v>20</v>
      </c>
      <c r="G234" s="8" t="s">
        <v>21</v>
      </c>
      <c r="H234" s="9"/>
      <c r="I234" s="9"/>
      <c r="J234" s="10">
        <f t="shared" ref="J234:M234" si="92">ifs(OR($H234="R",$I234="N"),"N/A",OR(C234="A",C234="B",C234="C",C234="U"),3,TRUE,"FLAG")</f>
        <v>3</v>
      </c>
      <c r="K234" s="10">
        <f t="shared" si="92"/>
        <v>3</v>
      </c>
      <c r="L234" s="10">
        <f t="shared" si="92"/>
        <v>3</v>
      </c>
      <c r="M234" s="10" t="str">
        <f t="shared" si="92"/>
        <v>FLAG</v>
      </c>
      <c r="N234" s="10" t="str">
        <f t="shared" si="2"/>
        <v>21-1213(a)(2) - Animals &amp; Nuisances; Unlawful injection of rabies vaccine</v>
      </c>
      <c r="O234" s="10" t="str">
        <f t="shared" si="3"/>
        <v>Animals &amp; Nuisances</v>
      </c>
      <c r="Q234" s="10" t="str">
        <f>IFERROR(__xludf.DUMMYFUNCTION("""COMPUTED_VALUE"""),"Firearms")</f>
        <v>Firearms</v>
      </c>
    </row>
    <row r="235">
      <c r="A235" s="7" t="s">
        <v>462</v>
      </c>
      <c r="B235" s="8" t="s">
        <v>463</v>
      </c>
      <c r="C235" s="8" t="s">
        <v>18</v>
      </c>
      <c r="D235" s="8" t="s">
        <v>18</v>
      </c>
      <c r="E235" s="8" t="s">
        <v>19</v>
      </c>
      <c r="F235" s="8" t="s">
        <v>20</v>
      </c>
      <c r="G235" s="8" t="s">
        <v>21</v>
      </c>
      <c r="H235" s="9"/>
      <c r="I235" s="9"/>
      <c r="J235" s="10">
        <f t="shared" ref="J235:M235" si="93">ifs(OR($H235="R",$I235="N"),"N/A",OR(C235="A",C235="B",C235="C",C235="U"),3,TRUE,"FLAG")</f>
        <v>3</v>
      </c>
      <c r="K235" s="10">
        <f t="shared" si="93"/>
        <v>3</v>
      </c>
      <c r="L235" s="10">
        <f t="shared" si="93"/>
        <v>3</v>
      </c>
      <c r="M235" s="10" t="str">
        <f t="shared" si="93"/>
        <v>FLAG</v>
      </c>
      <c r="N235" s="10" t="str">
        <f t="shared" si="2"/>
        <v>21-1213(a)(6) - Animals &amp; Nuisances; Unlawful purchase of live bruecella abortus</v>
      </c>
      <c r="O235" s="10" t="str">
        <f t="shared" si="3"/>
        <v>Animals &amp; Nuisances</v>
      </c>
      <c r="Q235" s="10" t="str">
        <f>IFERROR(__xludf.DUMMYFUNCTION("""COMPUTED_VALUE"""),"Fleeing or Attempting to Elude a Law Enforcement Officer - 1st conviction")</f>
        <v>Fleeing or Attempting to Elude a Law Enforcement Officer - 1st conviction</v>
      </c>
    </row>
    <row r="236">
      <c r="A236" s="7" t="s">
        <v>464</v>
      </c>
      <c r="B236" s="8" t="s">
        <v>465</v>
      </c>
      <c r="C236" s="8" t="s">
        <v>18</v>
      </c>
      <c r="D236" s="8" t="s">
        <v>18</v>
      </c>
      <c r="E236" s="8" t="s">
        <v>19</v>
      </c>
      <c r="F236" s="8" t="s">
        <v>20</v>
      </c>
      <c r="G236" s="8" t="s">
        <v>21</v>
      </c>
      <c r="H236" s="9"/>
      <c r="I236" s="9"/>
      <c r="J236" s="10">
        <f t="shared" ref="J236:M236" si="94">ifs(OR($H236="R",$I236="N"),"N/A",OR(C236="A",C236="B",C236="C",C236="U"),3,TRUE,"FLAG")</f>
        <v>3</v>
      </c>
      <c r="K236" s="10">
        <f t="shared" si="94"/>
        <v>3</v>
      </c>
      <c r="L236" s="10">
        <f t="shared" si="94"/>
        <v>3</v>
      </c>
      <c r="M236" s="10" t="str">
        <f t="shared" si="94"/>
        <v>FLAG</v>
      </c>
      <c r="N236" s="10" t="str">
        <f t="shared" si="2"/>
        <v>21-1213(a)(3) - Animals &amp; Nuisances; Unlawful purchase of rabies vaccine</v>
      </c>
      <c r="O236" s="10" t="str">
        <f t="shared" si="3"/>
        <v>Animals &amp; Nuisances</v>
      </c>
      <c r="Q236" s="10" t="str">
        <f>IFERROR(__xludf.DUMMYFUNCTION("""COMPUTED_VALUE"""),"Fleeing or Attempting to Elude a Law Enforcement Officer - 2nd conviction")</f>
        <v>Fleeing or Attempting to Elude a Law Enforcement Officer - 2nd conviction</v>
      </c>
    </row>
    <row r="237">
      <c r="A237" s="7" t="s">
        <v>466</v>
      </c>
      <c r="B237" s="8" t="s">
        <v>467</v>
      </c>
      <c r="C237" s="8" t="s">
        <v>18</v>
      </c>
      <c r="D237" s="8" t="s">
        <v>18</v>
      </c>
      <c r="E237" s="8" t="s">
        <v>19</v>
      </c>
      <c r="F237" s="8" t="s">
        <v>20</v>
      </c>
      <c r="G237" s="8" t="s">
        <v>21</v>
      </c>
      <c r="H237" s="9"/>
      <c r="I237" s="9"/>
      <c r="J237" s="10">
        <f t="shared" ref="J237:M237" si="95">ifs(OR($H237="R",$I237="N"),"N/A",OR(C237="A",C237="B",C237="C",C237="U"),3,TRUE,"FLAG")</f>
        <v>3</v>
      </c>
      <c r="K237" s="10">
        <f t="shared" si="95"/>
        <v>3</v>
      </c>
      <c r="L237" s="10">
        <f t="shared" si="95"/>
        <v>3</v>
      </c>
      <c r="M237" s="10" t="str">
        <f t="shared" si="95"/>
        <v>FLAG</v>
      </c>
      <c r="N237" s="10" t="str">
        <f t="shared" si="2"/>
        <v>74-5408 - Antiquities Commission; Penalties for violations of act</v>
      </c>
      <c r="O237" s="10" t="str">
        <f t="shared" si="3"/>
        <v>Antiquities Commission</v>
      </c>
      <c r="Q237" s="10" t="str">
        <f>IFERROR(__xludf.DUMMYFUNCTION("""COMPUTED_VALUE"""),"Fleeing or Attempting to Elude a LEO")</f>
        <v>Fleeing or Attempting to Elude a LEO</v>
      </c>
    </row>
    <row r="238">
      <c r="A238" s="7" t="s">
        <v>468</v>
      </c>
      <c r="B238" s="12">
        <v>877283.0</v>
      </c>
      <c r="C238" s="8" t="s">
        <v>19</v>
      </c>
      <c r="D238" s="8" t="s">
        <v>19</v>
      </c>
      <c r="E238" s="8" t="s">
        <v>19</v>
      </c>
      <c r="F238" s="8" t="s">
        <v>20</v>
      </c>
      <c r="G238" s="8" t="s">
        <v>21</v>
      </c>
      <c r="H238" s="9"/>
      <c r="I238" s="9"/>
      <c r="J238" s="10">
        <f t="shared" ref="J238:M238" si="96">ifs(OR($H238="R",$I238="N"),"N/A",OR(C238="A",C238="B",C238="C",C238="U"),3,TRUE,"FLAG")</f>
        <v>3</v>
      </c>
      <c r="K238" s="10">
        <f t="shared" si="96"/>
        <v>3</v>
      </c>
      <c r="L238" s="10">
        <f t="shared" si="96"/>
        <v>3</v>
      </c>
      <c r="M238" s="10" t="str">
        <f t="shared" si="96"/>
        <v>FLAG</v>
      </c>
      <c r="N238" s="10" t="str">
        <f t="shared" si="2"/>
        <v>877283 - Appearance Bonds; Apply for replacement or new driver's license prior to return of original one which was posted as bond; punished in accordance with 8-2116; 1st offense</v>
      </c>
      <c r="O238" s="10" t="str">
        <f t="shared" si="3"/>
        <v>Appearance Bonds</v>
      </c>
      <c r="Q238" s="10" t="str">
        <f>IFERROR(__xludf.DUMMYFUNCTION("""COMPUTED_VALUE"""),"Flood Control")</f>
        <v>Flood Control</v>
      </c>
    </row>
    <row r="239">
      <c r="A239" s="7" t="s">
        <v>469</v>
      </c>
      <c r="B239" s="12">
        <v>877283.0</v>
      </c>
      <c r="C239" s="8" t="s">
        <v>28</v>
      </c>
      <c r="D239" s="8" t="s">
        <v>19</v>
      </c>
      <c r="E239" s="8" t="s">
        <v>19</v>
      </c>
      <c r="F239" s="8" t="s">
        <v>20</v>
      </c>
      <c r="G239" s="8" t="s">
        <v>21</v>
      </c>
      <c r="H239" s="9"/>
      <c r="I239" s="9"/>
      <c r="J239" s="10">
        <f t="shared" ref="J239:M239" si="97">ifs(OR($H239="R",$I239="N"),"N/A",OR(C239="A",C239="B",C239="C",C239="U"),3,TRUE,"FLAG")</f>
        <v>3</v>
      </c>
      <c r="K239" s="10">
        <f t="shared" si="97"/>
        <v>3</v>
      </c>
      <c r="L239" s="10">
        <f t="shared" si="97"/>
        <v>3</v>
      </c>
      <c r="M239" s="10" t="str">
        <f t="shared" si="97"/>
        <v>FLAG</v>
      </c>
      <c r="N239" s="10" t="str">
        <f t="shared" si="2"/>
        <v>877283 - Appearance Bonds; Apply for replacement or new driver's license prior to return of original one which was posted as bond; punished in accordance with 8-2116; 2nd offense</v>
      </c>
      <c r="O239" s="10" t="str">
        <f t="shared" si="3"/>
        <v>Appearance Bonds</v>
      </c>
      <c r="Q239" s="10" t="str">
        <f>IFERROR(__xludf.DUMMYFUNCTION("""COMPUTED_VALUE"""),"Food Advertising &amp; Sales Practices")</f>
        <v>Food Advertising &amp; Sales Practices</v>
      </c>
    </row>
    <row r="240">
      <c r="A240" s="7" t="s">
        <v>470</v>
      </c>
      <c r="B240" s="12">
        <v>877283.0</v>
      </c>
      <c r="C240" s="8" t="s">
        <v>27</v>
      </c>
      <c r="D240" s="8" t="s">
        <v>28</v>
      </c>
      <c r="E240" s="8" t="s">
        <v>19</v>
      </c>
      <c r="F240" s="8" t="s">
        <v>20</v>
      </c>
      <c r="G240" s="8" t="s">
        <v>21</v>
      </c>
      <c r="H240" s="9"/>
      <c r="I240" s="9"/>
      <c r="J240" s="10">
        <f t="shared" ref="J240:M240" si="98">ifs(OR($H240="R",$I240="N"),"N/A",OR(C240="A",C240="B",C240="C",C240="U"),3,TRUE,"FLAG")</f>
        <v>3</v>
      </c>
      <c r="K240" s="10">
        <f t="shared" si="98"/>
        <v>3</v>
      </c>
      <c r="L240" s="10">
        <f t="shared" si="98"/>
        <v>3</v>
      </c>
      <c r="M240" s="10" t="str">
        <f t="shared" si="98"/>
        <v>FLAG</v>
      </c>
      <c r="N240" s="10" t="str">
        <f t="shared" si="2"/>
        <v>877283 - Appearance Bonds; Apply for replacement or new driver's license prior to return of original one which was posted as bond; punished in accordance with 8-2116; 3rd offense</v>
      </c>
      <c r="O240" s="10" t="str">
        <f t="shared" si="3"/>
        <v>Appearance Bonds</v>
      </c>
      <c r="Q240" s="10" t="str">
        <f>IFERROR(__xludf.DUMMYFUNCTION("""COMPUTED_VALUE"""),"Food, Drugs &amp; Cosmetics Act")</f>
        <v>Food, Drugs &amp; Cosmetics Act</v>
      </c>
    </row>
    <row r="241">
      <c r="A241" s="7" t="s">
        <v>471</v>
      </c>
      <c r="B241" s="8" t="s">
        <v>472</v>
      </c>
      <c r="C241" s="8" t="s">
        <v>19</v>
      </c>
      <c r="D241" s="8" t="s">
        <v>19</v>
      </c>
      <c r="E241" s="8" t="s">
        <v>19</v>
      </c>
      <c r="F241" s="8" t="s">
        <v>20</v>
      </c>
      <c r="G241" s="8" t="s">
        <v>21</v>
      </c>
      <c r="H241" s="9"/>
      <c r="I241" s="9"/>
      <c r="J241" s="10">
        <f t="shared" ref="J241:M241" si="99">ifs(OR($H241="R",$I241="N"),"N/A",OR(C241="A",C241="B",C241="C",C241="U"),3,TRUE,"FLAG")</f>
        <v>3</v>
      </c>
      <c r="K241" s="10">
        <f t="shared" si="99"/>
        <v>3</v>
      </c>
      <c r="L241" s="10">
        <f t="shared" si="99"/>
        <v>3</v>
      </c>
      <c r="M241" s="10" t="str">
        <f t="shared" si="99"/>
        <v>FLAG</v>
      </c>
      <c r="N241" s="10" t="str">
        <f t="shared" si="2"/>
        <v>58-4723(c) - Appraisal Management Company Registration Act; Violation of the act or of any rule or regulation adopted thereto</v>
      </c>
      <c r="O241" s="10" t="str">
        <f t="shared" si="3"/>
        <v>Appraisal Management Company Registration Act</v>
      </c>
      <c r="Q241" s="10" t="str">
        <f>IFERROR(__xludf.DUMMYFUNCTION("""COMPUTED_VALUE"""),"Food, Drugs &amp; Cosmetics")</f>
        <v>Food, Drugs &amp; Cosmetics</v>
      </c>
    </row>
    <row r="242">
      <c r="A242" s="7" t="s">
        <v>473</v>
      </c>
      <c r="B242" s="8" t="s">
        <v>474</v>
      </c>
      <c r="C242" s="8" t="s">
        <v>18</v>
      </c>
      <c r="D242" s="8" t="s">
        <v>18</v>
      </c>
      <c r="E242" s="8" t="s">
        <v>19</v>
      </c>
      <c r="F242" s="8" t="s">
        <v>20</v>
      </c>
      <c r="G242" s="8" t="s">
        <v>21</v>
      </c>
      <c r="H242" s="9"/>
      <c r="I242" s="9"/>
      <c r="J242" s="10">
        <f t="shared" ref="J242:M242" si="100">ifs(OR($H242="R",$I242="N"),"N/A",OR(C242="A",C242="B",C242="C",C242="U"),3,TRUE,"FLAG")</f>
        <v>3</v>
      </c>
      <c r="K242" s="10">
        <f t="shared" si="100"/>
        <v>3</v>
      </c>
      <c r="L242" s="10">
        <f t="shared" si="100"/>
        <v>3</v>
      </c>
      <c r="M242" s="10" t="str">
        <f t="shared" si="100"/>
        <v>FLAG</v>
      </c>
      <c r="N242" s="10" t="str">
        <f t="shared" si="2"/>
        <v>48-222 - Army &amp; Air National Guard; Employer refusing to permit employee/member of Guard to attend drill or annual muster, or perform active service, when so ordered by the commander in chief</v>
      </c>
      <c r="O242" s="10" t="str">
        <f t="shared" si="3"/>
        <v>Army &amp; Air National Guard</v>
      </c>
      <c r="Q242" s="10" t="str">
        <f>IFERROR(__xludf.DUMMYFUNCTION("""COMPUTED_VALUE"""),"Forgery")</f>
        <v>Forgery</v>
      </c>
    </row>
    <row r="243">
      <c r="A243" s="7" t="s">
        <v>475</v>
      </c>
      <c r="B243" s="8" t="s">
        <v>476</v>
      </c>
      <c r="C243" s="8" t="s">
        <v>18</v>
      </c>
      <c r="D243" s="8" t="s">
        <v>18</v>
      </c>
      <c r="E243" s="8" t="s">
        <v>19</v>
      </c>
      <c r="F243" s="8" t="s">
        <v>20</v>
      </c>
      <c r="G243" s="8" t="s">
        <v>21</v>
      </c>
      <c r="H243" s="9"/>
      <c r="I243" s="9"/>
      <c r="J243" s="10">
        <f t="shared" ref="J243:M243" si="101">ifs(OR($H243="R",$I243="N"),"N/A",OR(C243="A",C243="B",C243="C",C243="U"),3,TRUE,"FLAG")</f>
        <v>3</v>
      </c>
      <c r="K243" s="10">
        <f t="shared" si="101"/>
        <v>3</v>
      </c>
      <c r="L243" s="10">
        <f t="shared" si="101"/>
        <v>3</v>
      </c>
      <c r="M243" s="10" t="str">
        <f t="shared" si="101"/>
        <v>FLAG</v>
      </c>
      <c r="N243" s="10" t="str">
        <f t="shared" si="2"/>
        <v>48-219 - Army &amp; Air National Guard; Penalty for unlawful acts affecting property</v>
      </c>
      <c r="O243" s="10" t="str">
        <f t="shared" si="3"/>
        <v>Army &amp; Air National Guard</v>
      </c>
      <c r="Q243" s="10" t="str">
        <f>IFERROR(__xludf.DUMMYFUNCTION("""COMPUTED_VALUE"""),"Franchise")</f>
        <v>Franchise</v>
      </c>
    </row>
    <row r="244">
      <c r="A244" s="7" t="s">
        <v>477</v>
      </c>
      <c r="B244" s="8" t="s">
        <v>478</v>
      </c>
      <c r="C244" s="8" t="s">
        <v>19</v>
      </c>
      <c r="D244" s="8" t="s">
        <v>19</v>
      </c>
      <c r="E244" s="8" t="s">
        <v>19</v>
      </c>
      <c r="F244" s="8" t="s">
        <v>20</v>
      </c>
      <c r="G244" s="8" t="s">
        <v>21</v>
      </c>
      <c r="H244" s="9"/>
      <c r="I244" s="9"/>
      <c r="J244" s="10">
        <f t="shared" ref="J244:M244" si="102">ifs(OR($H244="R",$I244="N"),"N/A",OR(C244="A",C244="B",C244="C",C244="U"),3,TRUE,"FLAG")</f>
        <v>3</v>
      </c>
      <c r="K244" s="10">
        <f t="shared" si="102"/>
        <v>3</v>
      </c>
      <c r="L244" s="10">
        <f t="shared" si="102"/>
        <v>3</v>
      </c>
      <c r="M244" s="10" t="str">
        <f t="shared" si="102"/>
        <v>FLAG</v>
      </c>
      <c r="N244" s="10" t="str">
        <f t="shared" si="2"/>
        <v>31-406 - Arson Reporting; Fail to release information or evidence per K.S.A. 31-403(a) or to give notice and provide material developed from an inquiry into a fire loss as provided in K.S.A. 31-403(b)</v>
      </c>
      <c r="O244" s="10" t="str">
        <f t="shared" si="3"/>
        <v>Arson Reporting</v>
      </c>
      <c r="Q244" s="10" t="str">
        <f>IFERROR(__xludf.DUMMYFUNCTION("""COMPUTED_VALUE"""),"Fraudulent Acts")</f>
        <v>Fraudulent Acts</v>
      </c>
    </row>
    <row r="245">
      <c r="A245" s="7" t="s">
        <v>479</v>
      </c>
      <c r="B245" s="8" t="s">
        <v>480</v>
      </c>
      <c r="C245" s="8">
        <v>7.0</v>
      </c>
      <c r="D245" s="8">
        <v>9.0</v>
      </c>
      <c r="E245" s="8">
        <v>9.0</v>
      </c>
      <c r="F245" s="8">
        <v>10.0</v>
      </c>
      <c r="G245" s="8" t="s">
        <v>24</v>
      </c>
      <c r="H245" s="9"/>
      <c r="I245" s="9"/>
      <c r="N245" s="10" t="str">
        <f t="shared" si="2"/>
        <v>21-5812(a)(2) - Arson; Knowingly, by means of fire or explosive; damage a dwelling accidentally as a result of manufacture or attempted manufacture a controlled substance</v>
      </c>
      <c r="O245" s="10" t="str">
        <f t="shared" si="3"/>
        <v>Arson</v>
      </c>
      <c r="Q245" s="10" t="str">
        <f>IFERROR(__xludf.DUMMYFUNCTION("""COMPUTED_VALUE"""),"Fraudulent Aircraft Registration")</f>
        <v>Fraudulent Aircraft Registration</v>
      </c>
    </row>
    <row r="246">
      <c r="A246" s="7" t="s">
        <v>481</v>
      </c>
      <c r="B246" s="8" t="s">
        <v>482</v>
      </c>
      <c r="C246" s="8">
        <v>6.0</v>
      </c>
      <c r="D246" s="8">
        <v>8.0</v>
      </c>
      <c r="E246" s="8">
        <v>8.0</v>
      </c>
      <c r="F246" s="8">
        <v>9.0</v>
      </c>
      <c r="G246" s="8" t="s">
        <v>24</v>
      </c>
      <c r="H246" s="9"/>
      <c r="I246" s="9"/>
      <c r="N246" s="10" t="str">
        <f t="shared" si="2"/>
        <v>21-5812(a)(1)(B) - Arson; Knowingly, by means of fire or explosive; damage dwelling with intent to injure or defraud an insurer or lien holder</v>
      </c>
      <c r="O246" s="10" t="str">
        <f t="shared" si="3"/>
        <v>Arson</v>
      </c>
      <c r="Q246" s="10" t="str">
        <f>IFERROR(__xludf.DUMMYFUNCTION("""COMPUTED_VALUE"""),"Funeral &amp; Cemetery Merchandise Agreements")</f>
        <v>Funeral &amp; Cemetery Merchandise Agreements</v>
      </c>
    </row>
    <row r="247">
      <c r="A247" s="7" t="s">
        <v>483</v>
      </c>
      <c r="B247" s="8" t="s">
        <v>484</v>
      </c>
      <c r="C247" s="8">
        <v>6.0</v>
      </c>
      <c r="D247" s="8">
        <v>8.0</v>
      </c>
      <c r="E247" s="8">
        <v>8.0</v>
      </c>
      <c r="F247" s="8">
        <v>9.0</v>
      </c>
      <c r="G247" s="8" t="s">
        <v>24</v>
      </c>
      <c r="H247" s="9"/>
      <c r="I247" s="9"/>
      <c r="N247" s="10" t="str">
        <f t="shared" si="2"/>
        <v>21-5812(a)(1)(A) - Arson; Knowingly, by means of fire or explosive; damage dwelling without consent of owner</v>
      </c>
      <c r="O247" s="10" t="str">
        <f t="shared" si="3"/>
        <v>Arson</v>
      </c>
      <c r="Q247" s="10" t="str">
        <f>IFERROR(__xludf.DUMMYFUNCTION("""COMPUTED_VALUE"""),"Furnishing Alcoholic Beverages to Minor")</f>
        <v>Furnishing Alcoholic Beverages to Minor</v>
      </c>
    </row>
    <row r="248">
      <c r="A248" s="7" t="s">
        <v>485</v>
      </c>
      <c r="B248" s="8" t="s">
        <v>486</v>
      </c>
      <c r="C248" s="8">
        <v>7.0</v>
      </c>
      <c r="D248" s="8">
        <v>9.0</v>
      </c>
      <c r="E248" s="8">
        <v>9.0</v>
      </c>
      <c r="F248" s="8">
        <v>10.0</v>
      </c>
      <c r="G248" s="8" t="s">
        <v>21</v>
      </c>
      <c r="H248" s="9"/>
      <c r="I248" s="9"/>
      <c r="N248" s="10" t="str">
        <f t="shared" si="2"/>
        <v>21-5812(a)(3) - Arson; Knowingly, by means of fire or explosive; damage structure not a dwelling accidentally as result of manufacture or attempted manufacture a controlled substance</v>
      </c>
      <c r="O248" s="10" t="str">
        <f t="shared" si="3"/>
        <v>Arson</v>
      </c>
      <c r="Q248" s="10" t="str">
        <f>IFERROR(__xludf.DUMMYFUNCTION("""COMPUTED_VALUE"""),"Furnishing Alcoholic Liquor or Cereal Malt Beverage to a Minor")</f>
        <v>Furnishing Alcoholic Liquor or Cereal Malt Beverage to a Minor</v>
      </c>
    </row>
    <row r="249">
      <c r="A249" s="7" t="s">
        <v>487</v>
      </c>
      <c r="B249" s="8" t="s">
        <v>488</v>
      </c>
      <c r="C249" s="8">
        <v>7.0</v>
      </c>
      <c r="D249" s="8">
        <v>9.0</v>
      </c>
      <c r="E249" s="8">
        <v>9.0</v>
      </c>
      <c r="F249" s="8">
        <v>10.0</v>
      </c>
      <c r="G249" s="8" t="s">
        <v>21</v>
      </c>
      <c r="H249" s="9"/>
      <c r="I249" s="9"/>
      <c r="N249" s="10" t="str">
        <f t="shared" si="2"/>
        <v>21-5812(a)(1)(D) - Arson; Knowingly, by means of fire or explosive; damage structure not a dwelling with intent to injure or defraud insurer or lien holder</v>
      </c>
      <c r="O249" s="10" t="str">
        <f t="shared" si="3"/>
        <v>Arson</v>
      </c>
      <c r="Q249" s="10" t="str">
        <f>IFERROR(__xludf.DUMMYFUNCTION("""COMPUTED_VALUE"""),"Furthering Terrorism/Illegal Use of Weapons of Mass Destruction")</f>
        <v>Furthering Terrorism/Illegal Use of Weapons of Mass Destruction</v>
      </c>
    </row>
    <row r="250">
      <c r="A250" s="7" t="s">
        <v>489</v>
      </c>
      <c r="B250" s="8" t="s">
        <v>490</v>
      </c>
      <c r="C250" s="8">
        <v>7.0</v>
      </c>
      <c r="D250" s="8">
        <v>9.0</v>
      </c>
      <c r="E250" s="8">
        <v>9.0</v>
      </c>
      <c r="F250" s="8">
        <v>10.0</v>
      </c>
      <c r="G250" s="8" t="s">
        <v>21</v>
      </c>
      <c r="H250" s="9"/>
      <c r="I250" s="9"/>
      <c r="N250" s="10" t="str">
        <f t="shared" si="2"/>
        <v>21-5812(a)(1)(C) - Arson; Knowingly, by means of fire or explosive; damage structure not a dwelling without consent of owner</v>
      </c>
      <c r="O250" s="10" t="str">
        <f t="shared" si="3"/>
        <v>Arson</v>
      </c>
      <c r="Q250" s="10" t="str">
        <f>IFERROR(__xludf.DUMMYFUNCTION("""COMPUTED_VALUE"""),"Gambling")</f>
        <v>Gambling</v>
      </c>
    </row>
    <row r="251">
      <c r="A251" s="7" t="s">
        <v>491</v>
      </c>
      <c r="B251" s="8" t="s">
        <v>492</v>
      </c>
      <c r="C251" s="8" t="s">
        <v>19</v>
      </c>
      <c r="D251" s="8" t="s">
        <v>19</v>
      </c>
      <c r="E251" s="8" t="s">
        <v>19</v>
      </c>
      <c r="F251" s="8" t="s">
        <v>20</v>
      </c>
      <c r="G251" s="8" t="s">
        <v>21</v>
      </c>
      <c r="H251" s="9"/>
      <c r="I251" s="9"/>
      <c r="J251" s="10">
        <f t="shared" ref="J251:M251" si="103">ifs(OR($H251="R",$I251="N"),"N/A",OR(C251="A",C251="B",C251="C",C251="U"),3,TRUE,"FLAG")</f>
        <v>3</v>
      </c>
      <c r="K251" s="10">
        <f t="shared" si="103"/>
        <v>3</v>
      </c>
      <c r="L251" s="10">
        <f t="shared" si="103"/>
        <v>3</v>
      </c>
      <c r="M251" s="10" t="str">
        <f t="shared" si="103"/>
        <v>FLAG</v>
      </c>
      <c r="N251" s="10" t="str">
        <f t="shared" si="2"/>
        <v>65-5302(a) - Asbestos Control; Asbestos projects; license required; 1st offense</v>
      </c>
      <c r="O251" s="10" t="str">
        <f t="shared" si="3"/>
        <v>Asbestos Control</v>
      </c>
      <c r="Q251" s="10" t="str">
        <f>IFERROR(__xludf.DUMMYFUNCTION("""COMPUTED_VALUE"""),"Giving a Worthless Check")</f>
        <v>Giving a Worthless Check</v>
      </c>
    </row>
    <row r="252">
      <c r="A252" s="7" t="s">
        <v>493</v>
      </c>
      <c r="B252" s="8" t="s">
        <v>492</v>
      </c>
      <c r="C252" s="8" t="s">
        <v>28</v>
      </c>
      <c r="D252" s="8" t="s">
        <v>19</v>
      </c>
      <c r="E252" s="8" t="s">
        <v>19</v>
      </c>
      <c r="F252" s="8" t="s">
        <v>20</v>
      </c>
      <c r="G252" s="8" t="s">
        <v>21</v>
      </c>
      <c r="H252" s="9"/>
      <c r="I252" s="9"/>
      <c r="J252" s="10">
        <f t="shared" ref="J252:M252" si="104">ifs(OR($H252="R",$I252="N"),"N/A",OR(C252="A",C252="B",C252="C",C252="U"),3,TRUE,"FLAG")</f>
        <v>3</v>
      </c>
      <c r="K252" s="10">
        <f t="shared" si="104"/>
        <v>3</v>
      </c>
      <c r="L252" s="10">
        <f t="shared" si="104"/>
        <v>3</v>
      </c>
      <c r="M252" s="10" t="str">
        <f t="shared" si="104"/>
        <v>FLAG</v>
      </c>
      <c r="N252" s="10" t="str">
        <f t="shared" si="2"/>
        <v>65-5302(a) - Asbestos Control; Asbestos projects; license required; 2nd offense</v>
      </c>
      <c r="O252" s="10" t="str">
        <f t="shared" si="3"/>
        <v>Asbestos Control</v>
      </c>
      <c r="Q252" s="10" t="str">
        <f>IFERROR(__xludf.DUMMYFUNCTION("""COMPUTED_VALUE"""),"Grain &amp; Forage")</f>
        <v>Grain &amp; Forage</v>
      </c>
    </row>
    <row r="253">
      <c r="A253" s="7" t="s">
        <v>494</v>
      </c>
      <c r="B253" s="8" t="s">
        <v>495</v>
      </c>
      <c r="C253" s="8" t="s">
        <v>19</v>
      </c>
      <c r="D253" s="8" t="s">
        <v>19</v>
      </c>
      <c r="E253" s="8" t="s">
        <v>19</v>
      </c>
      <c r="F253" s="8" t="s">
        <v>20</v>
      </c>
      <c r="G253" s="8" t="s">
        <v>21</v>
      </c>
      <c r="H253" s="9"/>
      <c r="I253" s="9"/>
      <c r="J253" s="10">
        <f t="shared" ref="J253:M253" si="105">ifs(OR($H253="R",$I253="N"),"N/A",OR(C253="A",C253="B",C253="C",C253="U"),3,TRUE,"FLAG")</f>
        <v>3</v>
      </c>
      <c r="K253" s="10">
        <f t="shared" si="105"/>
        <v>3</v>
      </c>
      <c r="L253" s="10">
        <f t="shared" si="105"/>
        <v>3</v>
      </c>
      <c r="M253" s="10" t="str">
        <f t="shared" si="105"/>
        <v>FLAG</v>
      </c>
      <c r="N253" s="10" t="str">
        <f t="shared" si="2"/>
        <v>65-5308(a) - Asbestos Control; Certification of individuals required; 1st offense</v>
      </c>
      <c r="O253" s="10" t="str">
        <f t="shared" si="3"/>
        <v>Asbestos Control</v>
      </c>
      <c r="Q253" s="10" t="str">
        <f>IFERROR(__xludf.DUMMYFUNCTION("""COMPUTED_VALUE"""),"Grain Commodity Commissions")</f>
        <v>Grain Commodity Commissions</v>
      </c>
    </row>
    <row r="254">
      <c r="A254" s="7" t="s">
        <v>496</v>
      </c>
      <c r="B254" s="8" t="s">
        <v>495</v>
      </c>
      <c r="C254" s="8" t="s">
        <v>28</v>
      </c>
      <c r="D254" s="8" t="s">
        <v>19</v>
      </c>
      <c r="E254" s="8" t="s">
        <v>19</v>
      </c>
      <c r="F254" s="8" t="s">
        <v>20</v>
      </c>
      <c r="G254" s="8" t="s">
        <v>21</v>
      </c>
      <c r="H254" s="9"/>
      <c r="I254" s="9"/>
      <c r="J254" s="10">
        <f t="shared" ref="J254:M254" si="106">ifs(OR($H254="R",$I254="N"),"N/A",OR(C254="A",C254="B",C254="C",C254="U"),3,TRUE,"FLAG")</f>
        <v>3</v>
      </c>
      <c r="K254" s="10">
        <f t="shared" si="106"/>
        <v>3</v>
      </c>
      <c r="L254" s="10">
        <f t="shared" si="106"/>
        <v>3</v>
      </c>
      <c r="M254" s="10" t="str">
        <f t="shared" si="106"/>
        <v>FLAG</v>
      </c>
      <c r="N254" s="10" t="str">
        <f t="shared" si="2"/>
        <v>65-5308(a) - Asbestos Control; Certification of individuals required; 2nd offense</v>
      </c>
      <c r="O254" s="10" t="str">
        <f t="shared" si="3"/>
        <v>Asbestos Control</v>
      </c>
      <c r="Q254" s="10" t="str">
        <f>IFERROR(__xludf.DUMMYFUNCTION("""COMPUTED_VALUE"""),"Guardians or Conservators")</f>
        <v>Guardians or Conservators</v>
      </c>
    </row>
    <row r="255">
      <c r="A255" s="7" t="s">
        <v>497</v>
      </c>
      <c r="B255" s="8" t="s">
        <v>498</v>
      </c>
      <c r="C255" s="8" t="s">
        <v>19</v>
      </c>
      <c r="D255" s="8" t="s">
        <v>19</v>
      </c>
      <c r="E255" s="8" t="s">
        <v>19</v>
      </c>
      <c r="F255" s="8" t="s">
        <v>20</v>
      </c>
      <c r="G255" s="8" t="s">
        <v>21</v>
      </c>
      <c r="H255" s="9"/>
      <c r="I255" s="9"/>
      <c r="J255" s="10">
        <f t="shared" ref="J255:M255" si="107">ifs(OR($H255="R",$I255="N"),"N/A",OR(C255="A",C255="B",C255="C",C255="U"),3,TRUE,"FLAG")</f>
        <v>3</v>
      </c>
      <c r="K255" s="10">
        <f t="shared" si="107"/>
        <v>3</v>
      </c>
      <c r="L255" s="10">
        <f t="shared" si="107"/>
        <v>3</v>
      </c>
      <c r="M255" s="10" t="str">
        <f t="shared" si="107"/>
        <v>FLAG</v>
      </c>
      <c r="N255" s="10" t="str">
        <f t="shared" si="2"/>
        <v>65-5307(a) - Asbestos Control; Records of asbestos projects required; contents; 1st offense</v>
      </c>
      <c r="O255" s="10" t="str">
        <f t="shared" si="3"/>
        <v>Asbestos Control</v>
      </c>
      <c r="Q255" s="10" t="str">
        <f>IFERROR(__xludf.DUMMYFUNCTION("""COMPUTED_VALUE"""),"Harassment by Telefacsimile Communication")</f>
        <v>Harassment by Telefacsimile Communication</v>
      </c>
    </row>
    <row r="256">
      <c r="A256" s="7" t="s">
        <v>499</v>
      </c>
      <c r="B256" s="8" t="s">
        <v>498</v>
      </c>
      <c r="C256" s="8" t="s">
        <v>28</v>
      </c>
      <c r="D256" s="8" t="s">
        <v>19</v>
      </c>
      <c r="E256" s="8" t="s">
        <v>19</v>
      </c>
      <c r="F256" s="8" t="s">
        <v>20</v>
      </c>
      <c r="G256" s="8" t="s">
        <v>21</v>
      </c>
      <c r="H256" s="9"/>
      <c r="I256" s="9"/>
      <c r="J256" s="10">
        <f t="shared" ref="J256:M256" si="108">ifs(OR($H256="R",$I256="N"),"N/A",OR(C256="A",C256="B",C256="C",C256="U"),3,TRUE,"FLAG")</f>
        <v>3</v>
      </c>
      <c r="K256" s="10">
        <f t="shared" si="108"/>
        <v>3</v>
      </c>
      <c r="L256" s="10">
        <f t="shared" si="108"/>
        <v>3</v>
      </c>
      <c r="M256" s="10" t="str">
        <f t="shared" si="108"/>
        <v>FLAG</v>
      </c>
      <c r="N256" s="10" t="str">
        <f t="shared" si="2"/>
        <v>65-5307(a) - Asbestos Control; Records of asbestos projects required; contents; 2nd offense</v>
      </c>
      <c r="O256" s="10" t="str">
        <f t="shared" si="3"/>
        <v>Asbestos Control</v>
      </c>
      <c r="Q256" s="10" t="str">
        <f>IFERROR(__xludf.DUMMYFUNCTION("""COMPUTED_VALUE"""),"Harassment by Telephone")</f>
        <v>Harassment by Telephone</v>
      </c>
    </row>
    <row r="257">
      <c r="A257" s="7" t="s">
        <v>500</v>
      </c>
      <c r="B257" s="8" t="s">
        <v>501</v>
      </c>
      <c r="C257" s="8" t="s">
        <v>19</v>
      </c>
      <c r="D257" s="8" t="s">
        <v>19</v>
      </c>
      <c r="E257" s="8" t="s">
        <v>19</v>
      </c>
      <c r="F257" s="8" t="s">
        <v>20</v>
      </c>
      <c r="G257" s="8" t="s">
        <v>21</v>
      </c>
      <c r="H257" s="9"/>
      <c r="I257" s="9"/>
      <c r="J257" s="10">
        <f t="shared" ref="J257:M257" si="109">ifs(OR($H257="R",$I257="N"),"N/A",OR(C257="A",C257="B",C257="C",C257="U"),3,TRUE,"FLAG")</f>
        <v>3</v>
      </c>
      <c r="K257" s="10">
        <f t="shared" si="109"/>
        <v>3</v>
      </c>
      <c r="L257" s="10">
        <f t="shared" si="109"/>
        <v>3</v>
      </c>
      <c r="M257" s="10" t="str">
        <f t="shared" si="109"/>
        <v>FLAG</v>
      </c>
      <c r="N257" s="10" t="str">
        <f t="shared" si="2"/>
        <v>65-5307(b) - Asbestos Control; Required notification of secretary of project date; 1st offense</v>
      </c>
      <c r="O257" s="10" t="str">
        <f t="shared" si="3"/>
        <v>Asbestos Control</v>
      </c>
      <c r="Q257" s="10" t="str">
        <f>IFERROR(__xludf.DUMMYFUNCTION("""COMPUTED_VALUE"""),"Hazardous Household Articles")</f>
        <v>Hazardous Household Articles</v>
      </c>
    </row>
    <row r="258">
      <c r="A258" s="7" t="s">
        <v>502</v>
      </c>
      <c r="B258" s="8" t="s">
        <v>501</v>
      </c>
      <c r="C258" s="8" t="s">
        <v>28</v>
      </c>
      <c r="D258" s="8" t="s">
        <v>19</v>
      </c>
      <c r="E258" s="8" t="s">
        <v>19</v>
      </c>
      <c r="F258" s="8" t="s">
        <v>20</v>
      </c>
      <c r="G258" s="8" t="s">
        <v>21</v>
      </c>
      <c r="H258" s="9"/>
      <c r="I258" s="9"/>
      <c r="J258" s="10">
        <f t="shared" ref="J258:M258" si="110">ifs(OR($H258="R",$I258="N"),"N/A",OR(C258="A",C258="B",C258="C",C258="U"),3,TRUE,"FLAG")</f>
        <v>3</v>
      </c>
      <c r="K258" s="10">
        <f t="shared" si="110"/>
        <v>3</v>
      </c>
      <c r="L258" s="10">
        <f t="shared" si="110"/>
        <v>3</v>
      </c>
      <c r="M258" s="10" t="str">
        <f t="shared" si="110"/>
        <v>FLAG</v>
      </c>
      <c r="N258" s="10" t="str">
        <f t="shared" si="2"/>
        <v>65-5307(b) - Asbestos Control; Required notification of secretary of project date; 2nd offense</v>
      </c>
      <c r="O258" s="10" t="str">
        <f t="shared" si="3"/>
        <v>Asbestos Control</v>
      </c>
      <c r="Q258" s="10" t="str">
        <f>IFERROR(__xludf.DUMMYFUNCTION("""COMPUTED_VALUE"""),"Hazing")</f>
        <v>Hazing</v>
      </c>
    </row>
    <row r="259">
      <c r="A259" s="7" t="s">
        <v>503</v>
      </c>
      <c r="B259" s="8" t="s">
        <v>504</v>
      </c>
      <c r="C259" s="8" t="s">
        <v>27</v>
      </c>
      <c r="D259" s="8" t="s">
        <v>28</v>
      </c>
      <c r="E259" s="8" t="s">
        <v>19</v>
      </c>
      <c r="F259" s="8" t="s">
        <v>20</v>
      </c>
      <c r="G259" s="8" t="s">
        <v>24</v>
      </c>
      <c r="H259" s="9"/>
      <c r="I259" s="9"/>
      <c r="J259" s="10">
        <f t="shared" ref="J259:M259" si="111">ifs(OR($H259="R",$I259="N"),"N/A",OR(C259="A",C259="B",C259="C",C259="U"),3,TRUE,"FLAG")</f>
        <v>3</v>
      </c>
      <c r="K259" s="10">
        <f t="shared" si="111"/>
        <v>3</v>
      </c>
      <c r="L259" s="10">
        <f t="shared" si="111"/>
        <v>3</v>
      </c>
      <c r="M259" s="10" t="str">
        <f t="shared" si="111"/>
        <v>FLAG</v>
      </c>
      <c r="N259" s="10" t="str">
        <f t="shared" si="2"/>
        <v>21-5412(c)(1) - Assault of a Law Enforcement Officer; Uniformed or properly identified state, county or city law enforcement officer</v>
      </c>
      <c r="O259" s="10" t="str">
        <f t="shared" si="3"/>
        <v>Assault of a Law Enforcement Officer</v>
      </c>
      <c r="Q259" s="10" t="str">
        <f>IFERROR(__xludf.DUMMYFUNCTION("""COMPUTED_VALUE"""),"Health Care Data")</f>
        <v>Health Care Data</v>
      </c>
    </row>
    <row r="260">
      <c r="A260" s="7" t="s">
        <v>505</v>
      </c>
      <c r="B260" s="8" t="s">
        <v>506</v>
      </c>
      <c r="C260" s="8" t="s">
        <v>27</v>
      </c>
      <c r="D260" s="8" t="s">
        <v>28</v>
      </c>
      <c r="E260" s="8" t="s">
        <v>19</v>
      </c>
      <c r="F260" s="8" t="s">
        <v>20</v>
      </c>
      <c r="G260" s="8" t="s">
        <v>24</v>
      </c>
      <c r="H260" s="9"/>
      <c r="I260" s="9"/>
      <c r="J260" s="10">
        <f t="shared" ref="J260:M260" si="112">ifs(OR($H260="R",$I260="N"),"N/A",OR(C260="A",C260="B",C260="C",C260="U"),3,TRUE,"FLAG")</f>
        <v>3</v>
      </c>
      <c r="K260" s="10">
        <f t="shared" si="112"/>
        <v>3</v>
      </c>
      <c r="L260" s="10">
        <f t="shared" si="112"/>
        <v>3</v>
      </c>
      <c r="M260" s="10" t="str">
        <f t="shared" si="112"/>
        <v>FLAG</v>
      </c>
      <c r="N260" s="10" t="str">
        <f t="shared" si="2"/>
        <v>21-5412(c)(2) - Assault of a Law Enforcement Officer; Uniformed or properly identified university or campus police officer</v>
      </c>
      <c r="O260" s="10" t="str">
        <f t="shared" si="3"/>
        <v>Assault of a Law Enforcement Officer</v>
      </c>
      <c r="Q260" s="10" t="str">
        <f>IFERROR(__xludf.DUMMYFUNCTION("""COMPUTED_VALUE"""),"Health Care Providers")</f>
        <v>Health Care Providers</v>
      </c>
    </row>
    <row r="261">
      <c r="A261" s="7" t="s">
        <v>507</v>
      </c>
      <c r="B261" s="8" t="s">
        <v>508</v>
      </c>
      <c r="C261" s="8" t="s">
        <v>19</v>
      </c>
      <c r="D261" s="8" t="s">
        <v>19</v>
      </c>
      <c r="E261" s="8" t="s">
        <v>19</v>
      </c>
      <c r="F261" s="8" t="s">
        <v>20</v>
      </c>
      <c r="G261" s="8" t="s">
        <v>24</v>
      </c>
      <c r="H261" s="9"/>
      <c r="I261" s="9"/>
      <c r="J261" s="10">
        <f t="shared" ref="J261:M261" si="113">ifs(OR($H261="R",$I261="N"),"N/A",OR(C261="A",C261="B",C261="C",C261="U"),3,TRUE,"FLAG")</f>
        <v>3</v>
      </c>
      <c r="K261" s="10">
        <f t="shared" si="113"/>
        <v>3</v>
      </c>
      <c r="L261" s="10">
        <f t="shared" si="113"/>
        <v>3</v>
      </c>
      <c r="M261" s="10" t="str">
        <f t="shared" si="113"/>
        <v>FLAG</v>
      </c>
      <c r="N261" s="10" t="str">
        <f t="shared" si="2"/>
        <v>21-5412(a) - Assault; Knowingly placing another person in reasonable apprehension of immediate bodily harm</v>
      </c>
      <c r="O261" s="10" t="str">
        <f t="shared" si="3"/>
        <v>Assault</v>
      </c>
      <c r="Q261" s="10" t="str">
        <f>IFERROR(__xludf.DUMMYFUNCTION("""COMPUTED_VALUE"""),"Health Maintenance Organization Act")</f>
        <v>Health Maintenance Organization Act</v>
      </c>
    </row>
    <row r="262">
      <c r="A262" s="7" t="s">
        <v>509</v>
      </c>
      <c r="B262" s="8" t="s">
        <v>510</v>
      </c>
      <c r="C262" s="8" t="s">
        <v>28</v>
      </c>
      <c r="D262" s="8" t="s">
        <v>19</v>
      </c>
      <c r="E262" s="8" t="s">
        <v>19</v>
      </c>
      <c r="F262" s="8" t="s">
        <v>20</v>
      </c>
      <c r="G262" s="8" t="s">
        <v>21</v>
      </c>
      <c r="H262" s="9"/>
      <c r="I262" s="9"/>
      <c r="J262" s="10">
        <f t="shared" ref="J262:M262" si="114">ifs(OR($H262="R",$I262="N"),"N/A",OR(C262="A",C262="B",C262="C",C262="U"),3,TRUE,"FLAG")</f>
        <v>3</v>
      </c>
      <c r="K262" s="10">
        <f t="shared" si="114"/>
        <v>3</v>
      </c>
      <c r="L262" s="10">
        <f t="shared" si="114"/>
        <v>3</v>
      </c>
      <c r="M262" s="10" t="str">
        <f t="shared" si="114"/>
        <v>FLAG</v>
      </c>
      <c r="N262" s="10" t="str">
        <f t="shared" si="2"/>
        <v>60-4109(b)(6) - Asset Seizure &amp; Forfeiture; Commencement of forfeiture proceedings; knowing failure of a trustee to comply with the provisions of this subsection</v>
      </c>
      <c r="O262" s="10" t="str">
        <f t="shared" si="3"/>
        <v>Asset Seizure &amp; Forfeiture</v>
      </c>
      <c r="Q262" s="10" t="str">
        <f>IFERROR(__xludf.DUMMYFUNCTION("""COMPUTED_VALUE"""),"Higher Education Coordination")</f>
        <v>Higher Education Coordination</v>
      </c>
    </row>
    <row r="263">
      <c r="A263" s="7" t="s">
        <v>511</v>
      </c>
      <c r="B263" s="8" t="s">
        <v>512</v>
      </c>
      <c r="C263" s="8" t="s">
        <v>28</v>
      </c>
      <c r="D263" s="8" t="s">
        <v>19</v>
      </c>
      <c r="E263" s="8" t="s">
        <v>19</v>
      </c>
      <c r="F263" s="8" t="s">
        <v>20</v>
      </c>
      <c r="G263" s="8" t="s">
        <v>21</v>
      </c>
      <c r="H263" s="9"/>
      <c r="I263" s="9"/>
      <c r="J263" s="10">
        <f t="shared" ref="J263:M263" si="115">ifs(OR($H263="R",$I263="N"),"N/A",OR(C263="A",C263="B",C263="C",C263="U"),3,TRUE,"FLAG")</f>
        <v>3</v>
      </c>
      <c r="K263" s="10">
        <f t="shared" si="115"/>
        <v>3</v>
      </c>
      <c r="L263" s="10">
        <f t="shared" si="115"/>
        <v>3</v>
      </c>
      <c r="M263" s="10" t="str">
        <f t="shared" si="115"/>
        <v>FLAG</v>
      </c>
      <c r="N263" s="10" t="str">
        <f t="shared" si="2"/>
        <v>60-4109(b)(10) - Asset Seizure &amp; Forfeiture; Commencement of forfeiture proceedings; unauthorized disclosure of certain information by an employee of the seizing agency or the plaintiff's attorney</v>
      </c>
      <c r="O263" s="10" t="str">
        <f t="shared" si="3"/>
        <v>Asset Seizure &amp; Forfeiture</v>
      </c>
      <c r="Q263" s="10" t="str">
        <f>IFERROR(__xludf.DUMMYFUNCTION("""COMPUTED_VALUE"""),"Historical Property")</f>
        <v>Historical Property</v>
      </c>
    </row>
    <row r="264">
      <c r="A264" s="7" t="s">
        <v>513</v>
      </c>
      <c r="B264" s="8" t="s">
        <v>514</v>
      </c>
      <c r="C264" s="8" t="s">
        <v>28</v>
      </c>
      <c r="D264" s="8" t="s">
        <v>19</v>
      </c>
      <c r="E264" s="8" t="s">
        <v>19</v>
      </c>
      <c r="F264" s="8" t="s">
        <v>20</v>
      </c>
      <c r="G264" s="8" t="s">
        <v>21</v>
      </c>
      <c r="H264" s="9"/>
      <c r="I264" s="9"/>
      <c r="J264" s="10">
        <f t="shared" ref="J264:M264" si="116">ifs(OR($H264="R",$I264="N"),"N/A",OR(C264="A",C264="B",C264="C",C264="U"),3,TRUE,"FLAG")</f>
        <v>3</v>
      </c>
      <c r="K264" s="10">
        <f t="shared" si="116"/>
        <v>3</v>
      </c>
      <c r="L264" s="10">
        <f t="shared" si="116"/>
        <v>3</v>
      </c>
      <c r="M264" s="10" t="str">
        <f t="shared" si="116"/>
        <v>FLAG</v>
      </c>
      <c r="N264" s="10" t="str">
        <f t="shared" si="2"/>
        <v>60-4118(d) - Asset Seizure &amp; Forfeiture; Knowingly remove, conceal, withhold, destroy, or mutilate any subpoenaed documentary material with intent to avoid, evade, prevent, or obstruct compliance with subpoena</v>
      </c>
      <c r="O264" s="10" t="str">
        <f t="shared" si="3"/>
        <v>Asset Seizure &amp; Forfeiture</v>
      </c>
      <c r="Q264" s="10" t="str">
        <f>IFERROR(__xludf.DUMMYFUNCTION("""COMPUTED_VALUE"""),"Home Health Agencies")</f>
        <v>Home Health Agencies</v>
      </c>
    </row>
    <row r="265">
      <c r="A265" s="7" t="s">
        <v>515</v>
      </c>
      <c r="B265" s="8" t="s">
        <v>516</v>
      </c>
      <c r="C265" s="8">
        <v>9.0</v>
      </c>
      <c r="D265" s="8">
        <v>10.0</v>
      </c>
      <c r="E265" s="8">
        <v>10.0</v>
      </c>
      <c r="F265" s="8">
        <v>10.0</v>
      </c>
      <c r="G265" s="8" t="s">
        <v>24</v>
      </c>
      <c r="H265" s="9"/>
      <c r="I265" s="9"/>
      <c r="N265" s="10" t="str">
        <f t="shared" si="2"/>
        <v>21-5407(a)(2)(B) - Assisting Suicide; Intentionally participating in a physical act by which another commits or attempts to commit suicide</v>
      </c>
      <c r="O265" s="10" t="str">
        <f t="shared" si="3"/>
        <v>Assisting Suicide</v>
      </c>
      <c r="Q265" s="10" t="str">
        <f>IFERROR(__xludf.DUMMYFUNCTION("""COMPUTED_VALUE"""),"Homestead Property Tax Refunds")</f>
        <v>Homestead Property Tax Refunds</v>
      </c>
    </row>
    <row r="266">
      <c r="A266" s="7" t="s">
        <v>517</v>
      </c>
      <c r="B266" s="8" t="s">
        <v>518</v>
      </c>
      <c r="C266" s="8">
        <v>9.0</v>
      </c>
      <c r="D266" s="8">
        <v>10.0</v>
      </c>
      <c r="E266" s="8">
        <v>10.0</v>
      </c>
      <c r="F266" s="8">
        <v>10.0</v>
      </c>
      <c r="G266" s="8" t="s">
        <v>24</v>
      </c>
      <c r="H266" s="9"/>
      <c r="I266" s="9"/>
      <c r="N266" s="10" t="str">
        <f t="shared" si="2"/>
        <v>21-5407(a)(2)(A) - Assisting Suicide; Intentionally providing the physical means by which another commits or attempts to commit suicide</v>
      </c>
      <c r="O266" s="10" t="str">
        <f t="shared" si="3"/>
        <v>Assisting Suicide</v>
      </c>
      <c r="Q266" s="10" t="str">
        <f>IFERROR(__xludf.DUMMYFUNCTION("""COMPUTED_VALUE"""),"Hospitals &amp; Other Facilities")</f>
        <v>Hospitals &amp; Other Facilities</v>
      </c>
    </row>
    <row r="267">
      <c r="A267" s="7" t="s">
        <v>519</v>
      </c>
      <c r="B267" s="8" t="s">
        <v>520</v>
      </c>
      <c r="C267" s="8">
        <v>3.0</v>
      </c>
      <c r="D267" s="8">
        <v>5.0</v>
      </c>
      <c r="E267" s="8">
        <v>5.0</v>
      </c>
      <c r="F267" s="8">
        <v>6.0</v>
      </c>
      <c r="G267" s="8" t="s">
        <v>24</v>
      </c>
      <c r="H267" s="9"/>
      <c r="I267" s="9"/>
      <c r="N267" s="10" t="str">
        <f t="shared" si="2"/>
        <v>21-5407(a)(1) - Assisting Suicide; Knowingly, by force or duress, causing another to commit or attempt to commit suicide</v>
      </c>
      <c r="O267" s="10" t="str">
        <f t="shared" si="3"/>
        <v>Assisting Suicide</v>
      </c>
      <c r="Q267" s="10" t="str">
        <f>IFERROR(__xludf.DUMMYFUNCTION("""COMPUTED_VALUE"""),"Hotels/Lodging Houses/Restaurants")</f>
        <v>Hotels/Lodging Houses/Restaurants</v>
      </c>
    </row>
    <row r="268">
      <c r="A268" s="7" t="s">
        <v>521</v>
      </c>
      <c r="B268" s="8" t="s">
        <v>522</v>
      </c>
      <c r="C268" s="8" t="s">
        <v>27</v>
      </c>
      <c r="D268" s="8" t="s">
        <v>28</v>
      </c>
      <c r="E268" s="8" t="s">
        <v>19</v>
      </c>
      <c r="F268" s="8" t="s">
        <v>20</v>
      </c>
      <c r="G268" s="8" t="s">
        <v>21</v>
      </c>
      <c r="H268" s="9"/>
      <c r="I268" s="9"/>
      <c r="J268" s="10">
        <f t="shared" ref="J268:M268" si="117">ifs(OR($H268="R",$I268="N"),"N/A",OR(C268="A",C268="B",C268="C",C268="U"),3,TRUE,"FLAG")</f>
        <v>3</v>
      </c>
      <c r="K268" s="10">
        <f t="shared" si="117"/>
        <v>3</v>
      </c>
      <c r="L268" s="10">
        <f t="shared" si="117"/>
        <v>3</v>
      </c>
      <c r="M268" s="10" t="str">
        <f t="shared" si="117"/>
        <v>FLAG</v>
      </c>
      <c r="N268" s="10" t="str">
        <f t="shared" si="2"/>
        <v>44-1529(a)(1)(B) - Athlete Agent Act; Furnish anything of value to a student-athlete before the student-athlete enters into the agency contract, with the intent to induce a student-athlete to enter into an agency contract</v>
      </c>
      <c r="O268" s="10" t="str">
        <f t="shared" si="3"/>
        <v>Athlete Agent Act</v>
      </c>
      <c r="Q268" s="10" t="str">
        <f>IFERROR(__xludf.DUMMYFUNCTION("""COMPUTED_VALUE"""),"Human Trafficking")</f>
        <v>Human Trafficking</v>
      </c>
    </row>
    <row r="269">
      <c r="A269" s="7" t="s">
        <v>523</v>
      </c>
      <c r="B269" s="8" t="s">
        <v>524</v>
      </c>
      <c r="C269" s="8" t="s">
        <v>27</v>
      </c>
      <c r="D269" s="8" t="s">
        <v>28</v>
      </c>
      <c r="E269" s="8" t="s">
        <v>19</v>
      </c>
      <c r="F269" s="8" t="s">
        <v>20</v>
      </c>
      <c r="G269" s="8" t="s">
        <v>21</v>
      </c>
      <c r="H269" s="9"/>
      <c r="I269" s="9"/>
      <c r="J269" s="10">
        <f t="shared" ref="J269:M269" si="118">ifs(OR($H269="R",$I269="N"),"N/A",OR(C269="A",C269="B",C269="C",C269="U"),3,TRUE,"FLAG")</f>
        <v>3</v>
      </c>
      <c r="K269" s="10">
        <f t="shared" si="118"/>
        <v>3</v>
      </c>
      <c r="L269" s="10">
        <f t="shared" si="118"/>
        <v>3</v>
      </c>
      <c r="M269" s="10" t="str">
        <f t="shared" si="118"/>
        <v>FLAG</v>
      </c>
      <c r="N269" s="10" t="str">
        <f t="shared" si="2"/>
        <v>44-1529(a)(1)(C) - Athlete Agent Act; Furnish anything of value to any individual other than the student-athlete or another registered athlete agent, with the intent to induce a student-athlete to enter into an agency contract</v>
      </c>
      <c r="O269" s="10" t="str">
        <f t="shared" si="3"/>
        <v>Athlete Agent Act</v>
      </c>
      <c r="Q269" s="10" t="str">
        <f>IFERROR(__xludf.DUMMYFUNCTION("""COMPUTED_VALUE"""),"Humane Slaughter")</f>
        <v>Humane Slaughter</v>
      </c>
    </row>
    <row r="270">
      <c r="A270" s="7" t="s">
        <v>525</v>
      </c>
      <c r="B270" s="8" t="s">
        <v>526</v>
      </c>
      <c r="C270" s="8" t="s">
        <v>27</v>
      </c>
      <c r="D270" s="8" t="s">
        <v>28</v>
      </c>
      <c r="E270" s="8" t="s">
        <v>19</v>
      </c>
      <c r="F270" s="8" t="s">
        <v>20</v>
      </c>
      <c r="G270" s="8" t="s">
        <v>21</v>
      </c>
      <c r="H270" s="9"/>
      <c r="I270" s="9"/>
      <c r="J270" s="10">
        <f t="shared" ref="J270:M270" si="119">ifs(OR($H270="R",$I270="N"),"N/A",OR(C270="A",C270="B",C270="C",C270="U"),3,TRUE,"FLAG")</f>
        <v>3</v>
      </c>
      <c r="K270" s="10">
        <f t="shared" si="119"/>
        <v>3</v>
      </c>
      <c r="L270" s="10">
        <f t="shared" si="119"/>
        <v>3</v>
      </c>
      <c r="M270" s="10" t="str">
        <f t="shared" si="119"/>
        <v>FLAG</v>
      </c>
      <c r="N270" s="10" t="str">
        <f t="shared" si="2"/>
        <v>44-1529(a)(1)(A) - Athlete Agent Act; Give any materially false or misleading information or makes a materially false promise or representation, with the intent to induce a student-athlete to enter into an agency contract</v>
      </c>
      <c r="O270" s="10" t="str">
        <f t="shared" si="3"/>
        <v>Athlete Agent Act</v>
      </c>
      <c r="Q270" s="10" t="str">
        <f>IFERROR(__xludf.DUMMYFUNCTION("""COMPUTED_VALUE"""),"ID &amp; Detection of Crimes &amp; Criminals")</f>
        <v>ID &amp; Detection of Crimes &amp; Criminals</v>
      </c>
    </row>
    <row r="271">
      <c r="A271" s="7" t="s">
        <v>527</v>
      </c>
      <c r="B271" s="8" t="s">
        <v>528</v>
      </c>
      <c r="C271" s="8" t="s">
        <v>27</v>
      </c>
      <c r="D271" s="8" t="s">
        <v>28</v>
      </c>
      <c r="E271" s="8" t="s">
        <v>19</v>
      </c>
      <c r="F271" s="8" t="s">
        <v>20</v>
      </c>
      <c r="G271" s="8" t="s">
        <v>21</v>
      </c>
      <c r="H271" s="9"/>
      <c r="I271" s="9"/>
      <c r="J271" s="10">
        <f t="shared" ref="J271:M271" si="120">ifs(OR($H271="R",$I271="N"),"N/A",OR(C271="A",C271="B",C271="C",C271="U"),3,TRUE,"FLAG")</f>
        <v>3</v>
      </c>
      <c r="K271" s="10">
        <f t="shared" si="120"/>
        <v>3</v>
      </c>
      <c r="L271" s="10">
        <f t="shared" si="120"/>
        <v>3</v>
      </c>
      <c r="M271" s="10" t="str">
        <f t="shared" si="120"/>
        <v>FLAG</v>
      </c>
      <c r="N271" s="10" t="str">
        <f t="shared" si="2"/>
        <v>44-1529(a)(2)(F) - Athlete Agent Act; Intentionally fail to notify a student-athlete before the student-athlete signs or otherwise authenticates an agency contract for a particular sport that the signing or authentication may make the student-athlete ineligible to participate as a student-athlete in that sport</v>
      </c>
      <c r="O271" s="10" t="str">
        <f t="shared" si="3"/>
        <v>Athlete Agent Act</v>
      </c>
      <c r="Q271" s="10" t="str">
        <f>IFERROR(__xludf.DUMMYFUNCTION("""COMPUTED_VALUE"""),"Identification Cards")</f>
        <v>Identification Cards</v>
      </c>
    </row>
    <row r="272">
      <c r="A272" s="7" t="s">
        <v>529</v>
      </c>
      <c r="B272" s="8" t="s">
        <v>530</v>
      </c>
      <c r="C272" s="8" t="s">
        <v>27</v>
      </c>
      <c r="D272" s="8" t="s">
        <v>28</v>
      </c>
      <c r="E272" s="8" t="s">
        <v>19</v>
      </c>
      <c r="F272" s="8" t="s">
        <v>20</v>
      </c>
      <c r="G272" s="8" t="s">
        <v>21</v>
      </c>
      <c r="H272" s="9"/>
      <c r="I272" s="9"/>
      <c r="J272" s="10">
        <f t="shared" ref="J272:M272" si="121">ifs(OR($H272="R",$I272="N"),"N/A",OR(C272="A",C272="B",C272="C",C272="U"),3,TRUE,"FLAG")</f>
        <v>3</v>
      </c>
      <c r="K272" s="10">
        <f t="shared" si="121"/>
        <v>3</v>
      </c>
      <c r="L272" s="10">
        <f t="shared" si="121"/>
        <v>3</v>
      </c>
      <c r="M272" s="10" t="str">
        <f t="shared" si="121"/>
        <v>FLAG</v>
      </c>
      <c r="N272" s="10" t="str">
        <f t="shared" si="2"/>
        <v>44-1529(a)(2)(C) - Athlete Agent Act; Intentionally fail to register when required by K.S.A. 2005 Supp. 44-1519</v>
      </c>
      <c r="O272" s="10" t="str">
        <f t="shared" si="3"/>
        <v>Athlete Agent Act</v>
      </c>
      <c r="Q272" s="10" t="str">
        <f>IFERROR(__xludf.DUMMYFUNCTION("""COMPUTED_VALUE"""),"Identity Fraud")</f>
        <v>Identity Fraud</v>
      </c>
    </row>
    <row r="273">
      <c r="A273" s="7" t="s">
        <v>531</v>
      </c>
      <c r="B273" s="8" t="s">
        <v>532</v>
      </c>
      <c r="C273" s="8" t="s">
        <v>27</v>
      </c>
      <c r="D273" s="8" t="s">
        <v>28</v>
      </c>
      <c r="E273" s="8" t="s">
        <v>19</v>
      </c>
      <c r="F273" s="8" t="s">
        <v>20</v>
      </c>
      <c r="G273" s="8" t="s">
        <v>21</v>
      </c>
      <c r="H273" s="9"/>
      <c r="I273" s="9"/>
      <c r="J273" s="10">
        <f t="shared" ref="J273:M273" si="122">ifs(OR($H273="R",$I273="N"),"N/A",OR(C273="A",C273="B",C273="C",C273="U"),3,TRUE,"FLAG")</f>
        <v>3</v>
      </c>
      <c r="K273" s="10">
        <f t="shared" si="122"/>
        <v>3</v>
      </c>
      <c r="L273" s="10">
        <f t="shared" si="122"/>
        <v>3</v>
      </c>
      <c r="M273" s="10" t="str">
        <f t="shared" si="122"/>
        <v>FLAG</v>
      </c>
      <c r="N273" s="10" t="str">
        <f t="shared" si="2"/>
        <v>44-1529(a)(2)(A) - Athlete Agent Act; Intentionally initiates contact with a student-athlete while not registered under this act</v>
      </c>
      <c r="O273" s="10" t="str">
        <f t="shared" si="3"/>
        <v>Athlete Agent Act</v>
      </c>
      <c r="Q273" s="10" t="str">
        <f>IFERROR(__xludf.DUMMYFUNCTION("""COMPUTED_VALUE"""),"Identity Theft")</f>
        <v>Identity Theft</v>
      </c>
    </row>
    <row r="274">
      <c r="A274" s="7" t="s">
        <v>533</v>
      </c>
      <c r="B274" s="8" t="s">
        <v>534</v>
      </c>
      <c r="C274" s="8" t="s">
        <v>27</v>
      </c>
      <c r="D274" s="8" t="s">
        <v>28</v>
      </c>
      <c r="E274" s="8" t="s">
        <v>19</v>
      </c>
      <c r="F274" s="8" t="s">
        <v>20</v>
      </c>
      <c r="G274" s="8" t="s">
        <v>21</v>
      </c>
      <c r="H274" s="9"/>
      <c r="I274" s="9"/>
      <c r="J274" s="10">
        <f t="shared" ref="J274:M274" si="123">ifs(OR($H274="R",$I274="N"),"N/A",OR(C274="A",C274="B",C274="C",C274="U"),3,TRUE,"FLAG")</f>
        <v>3</v>
      </c>
      <c r="K274" s="10">
        <f t="shared" si="123"/>
        <v>3</v>
      </c>
      <c r="L274" s="10">
        <f t="shared" si="123"/>
        <v>3</v>
      </c>
      <c r="M274" s="10" t="str">
        <f t="shared" si="123"/>
        <v>FLAG</v>
      </c>
      <c r="N274" s="10" t="str">
        <f t="shared" si="2"/>
        <v>44-1529(a)(2)(E) - Athlete Agent Act; Intentionally predate or postdate an agency contract</v>
      </c>
      <c r="O274" s="10" t="str">
        <f t="shared" si="3"/>
        <v>Athlete Agent Act</v>
      </c>
      <c r="Q274" s="10" t="str">
        <f>IFERROR(__xludf.DUMMYFUNCTION("""COMPUTED_VALUE"""),"Illegal BINGO operation")</f>
        <v>Illegal BINGO operation</v>
      </c>
    </row>
    <row r="275">
      <c r="A275" s="7" t="s">
        <v>535</v>
      </c>
      <c r="B275" s="8" t="s">
        <v>536</v>
      </c>
      <c r="C275" s="8" t="s">
        <v>27</v>
      </c>
      <c r="D275" s="8" t="s">
        <v>28</v>
      </c>
      <c r="E275" s="8" t="s">
        <v>19</v>
      </c>
      <c r="F275" s="8" t="s">
        <v>20</v>
      </c>
      <c r="G275" s="8" t="s">
        <v>21</v>
      </c>
      <c r="H275" s="9"/>
      <c r="I275" s="9"/>
      <c r="J275" s="10">
        <f t="shared" ref="J275:M275" si="124">ifs(OR($H275="R",$I275="N"),"N/A",OR(C275="A",C275="B",C275="C",C275="U"),3,TRUE,"FLAG")</f>
        <v>3</v>
      </c>
      <c r="K275" s="10">
        <f t="shared" si="124"/>
        <v>3</v>
      </c>
      <c r="L275" s="10">
        <f t="shared" si="124"/>
        <v>3</v>
      </c>
      <c r="M275" s="10" t="str">
        <f t="shared" si="124"/>
        <v>FLAG</v>
      </c>
      <c r="N275" s="10" t="str">
        <f t="shared" si="2"/>
        <v>44-1529(a)(2)(D) - Athlete Agent Act; Intentionally provide materially false or misleading information in an application for registration or renewal of registration</v>
      </c>
      <c r="O275" s="10" t="str">
        <f t="shared" si="3"/>
        <v>Athlete Agent Act</v>
      </c>
      <c r="Q275" s="10" t="str">
        <f>IFERROR(__xludf.DUMMYFUNCTION("""COMPUTED_VALUE"""),"Illegal Ownership or Keeping of a Dog")</f>
        <v>Illegal Ownership or Keeping of a Dog</v>
      </c>
    </row>
    <row r="276">
      <c r="A276" s="7" t="s">
        <v>537</v>
      </c>
      <c r="B276" s="8" t="s">
        <v>538</v>
      </c>
      <c r="C276" s="8" t="s">
        <v>27</v>
      </c>
      <c r="D276" s="8" t="s">
        <v>28</v>
      </c>
      <c r="E276" s="8" t="s">
        <v>19</v>
      </c>
      <c r="F276" s="8" t="s">
        <v>20</v>
      </c>
      <c r="G276" s="8" t="s">
        <v>21</v>
      </c>
      <c r="H276" s="9"/>
      <c r="I276" s="9"/>
      <c r="J276" s="10">
        <f t="shared" ref="J276:M276" si="125">ifs(OR($H276="R",$I276="N"),"N/A",OR(C276="A",C276="B",C276="C",C276="U"),3,TRUE,"FLAG")</f>
        <v>3</v>
      </c>
      <c r="K276" s="10">
        <f t="shared" si="125"/>
        <v>3</v>
      </c>
      <c r="L276" s="10">
        <f t="shared" si="125"/>
        <v>3</v>
      </c>
      <c r="M276" s="10" t="str">
        <f t="shared" si="125"/>
        <v>FLAG</v>
      </c>
      <c r="N276" s="10" t="str">
        <f t="shared" si="2"/>
        <v>44-1529(a)(2)(B) - Athlete Agent Act; Intentionally refuse or fail to retain or permit inspection of the records required to be retained by K.S.A. 2005 Supp. 44-1528</v>
      </c>
      <c r="O276" s="10" t="str">
        <f t="shared" si="3"/>
        <v>Athlete Agent Act</v>
      </c>
      <c r="Q276" s="10" t="str">
        <f>IFERROR(__xludf.DUMMYFUNCTION("""COMPUTED_VALUE"""),"Illegal Use of Weapons of Mass Destruction")</f>
        <v>Illegal Use of Weapons of Mass Destruction</v>
      </c>
    </row>
    <row r="277">
      <c r="A277" s="7" t="s">
        <v>539</v>
      </c>
      <c r="B277" s="8" t="s">
        <v>540</v>
      </c>
      <c r="C277" s="8" t="s">
        <v>28</v>
      </c>
      <c r="D277" s="8" t="s">
        <v>19</v>
      </c>
      <c r="E277" s="8" t="s">
        <v>19</v>
      </c>
      <c r="F277" s="8" t="s">
        <v>20</v>
      </c>
      <c r="G277" s="8" t="s">
        <v>21</v>
      </c>
      <c r="H277" s="9"/>
      <c r="I277" s="9"/>
      <c r="J277" s="10">
        <f t="shared" ref="J277:M277" si="126">ifs(OR($H277="R",$I277="N"),"N/A",OR(C277="A",C277="B",C277="C",C277="U"),3,TRUE,"FLAG")</f>
        <v>3</v>
      </c>
      <c r="K277" s="10">
        <f t="shared" si="126"/>
        <v>3</v>
      </c>
      <c r="L277" s="10">
        <f t="shared" si="126"/>
        <v>3</v>
      </c>
      <c r="M277" s="10" t="str">
        <f t="shared" si="126"/>
        <v>FLAG</v>
      </c>
      <c r="N277" s="10" t="str">
        <f t="shared" si="2"/>
        <v>65-6903(a) - Athletic Trainers Licensure Act; Unlawful representation of oneself as an athletic trainer</v>
      </c>
      <c r="O277" s="10" t="str">
        <f t="shared" si="3"/>
        <v>Athletic Trainers Licensure Act</v>
      </c>
      <c r="Q277" s="10" t="str">
        <f>IFERROR(__xludf.DUMMYFUNCTION("""COMPUTED_VALUE"""),"Impairing a Security Interest")</f>
        <v>Impairing a Security Interest</v>
      </c>
    </row>
    <row r="278">
      <c r="A278" s="7" t="s">
        <v>541</v>
      </c>
      <c r="B278" s="8" t="s">
        <v>542</v>
      </c>
      <c r="C278" s="8" t="s">
        <v>28</v>
      </c>
      <c r="D278" s="8" t="s">
        <v>19</v>
      </c>
      <c r="E278" s="8" t="s">
        <v>19</v>
      </c>
      <c r="F278" s="8" t="s">
        <v>20</v>
      </c>
      <c r="G278" s="8" t="s">
        <v>21</v>
      </c>
      <c r="H278" s="9"/>
      <c r="I278" s="9"/>
      <c r="J278" s="10">
        <f t="shared" ref="J278:M278" si="127">ifs(OR($H278="R",$I278="N"),"N/A",OR(C278="A",C278="B",C278="C",C278="U"),3,TRUE,"FLAG")</f>
        <v>3</v>
      </c>
      <c r="K278" s="10">
        <f t="shared" si="127"/>
        <v>3</v>
      </c>
      <c r="L278" s="10">
        <f t="shared" si="127"/>
        <v>3</v>
      </c>
      <c r="M278" s="10" t="str">
        <f t="shared" si="127"/>
        <v>FLAG</v>
      </c>
      <c r="N278" s="10" t="str">
        <f t="shared" si="2"/>
        <v>40-3104(d) - Automobile Injury Reparations Act; Failure to display evidence of financial security upon demand by law enforcement; 1st violation</v>
      </c>
      <c r="O278" s="10" t="str">
        <f t="shared" si="3"/>
        <v>Automobile Injury Reparations Act</v>
      </c>
      <c r="Q278" s="10" t="str">
        <f>IFERROR(__xludf.DUMMYFUNCTION("""COMPUTED_VALUE"""),"Incest")</f>
        <v>Incest</v>
      </c>
    </row>
    <row r="279">
      <c r="A279" s="7" t="s">
        <v>543</v>
      </c>
      <c r="B279" s="8" t="s">
        <v>542</v>
      </c>
      <c r="C279" s="8" t="s">
        <v>27</v>
      </c>
      <c r="D279" s="8" t="s">
        <v>28</v>
      </c>
      <c r="E279" s="8" t="s">
        <v>19</v>
      </c>
      <c r="F279" s="8" t="s">
        <v>20</v>
      </c>
      <c r="G279" s="8" t="s">
        <v>21</v>
      </c>
      <c r="H279" s="9"/>
      <c r="I279" s="9"/>
      <c r="J279" s="10">
        <f t="shared" ref="J279:M279" si="128">ifs(OR($H279="R",$I279="N"),"N/A",OR(C279="A",C279="B",C279="C",C279="U"),3,TRUE,"FLAG")</f>
        <v>3</v>
      </c>
      <c r="K279" s="10">
        <f t="shared" si="128"/>
        <v>3</v>
      </c>
      <c r="L279" s="10">
        <f t="shared" si="128"/>
        <v>3</v>
      </c>
      <c r="M279" s="10" t="str">
        <f t="shared" si="128"/>
        <v>FLAG</v>
      </c>
      <c r="N279" s="10" t="str">
        <f t="shared" si="2"/>
        <v>40-3104(d) - Automobile Injury Reparations Act; Failure to display evidence of financial security upon demand by law enforcement; 2nd or subs. conviction within 3 yrs</v>
      </c>
      <c r="O279" s="10" t="str">
        <f t="shared" si="3"/>
        <v>Automobile Injury Reparations Act</v>
      </c>
      <c r="Q279" s="10" t="str">
        <f>IFERROR(__xludf.DUMMYFUNCTION("""COMPUTED_VALUE"""),"Incitement to Riot")</f>
        <v>Incitement to Riot</v>
      </c>
    </row>
    <row r="280">
      <c r="A280" s="7" t="s">
        <v>544</v>
      </c>
      <c r="B280" s="8" t="s">
        <v>545</v>
      </c>
      <c r="C280" s="8" t="s">
        <v>28</v>
      </c>
      <c r="D280" s="8" t="s">
        <v>19</v>
      </c>
      <c r="E280" s="8" t="s">
        <v>19</v>
      </c>
      <c r="F280" s="8" t="s">
        <v>20</v>
      </c>
      <c r="G280" s="8" t="s">
        <v>21</v>
      </c>
      <c r="H280" s="9"/>
      <c r="I280" s="9"/>
      <c r="J280" s="10">
        <f t="shared" ref="J280:M280" si="129">ifs(OR($H280="R",$I280="N"),"N/A",OR(C280="A",C280="B",C280="C",C280="U"),3,TRUE,"FLAG")</f>
        <v>3</v>
      </c>
      <c r="K280" s="10">
        <f t="shared" si="129"/>
        <v>3</v>
      </c>
      <c r="L280" s="10">
        <f t="shared" si="129"/>
        <v>3</v>
      </c>
      <c r="M280" s="10" t="str">
        <f t="shared" si="129"/>
        <v>FLAG</v>
      </c>
      <c r="N280" s="10" t="str">
        <f t="shared" si="2"/>
        <v>40-3118(b) - Automobile Injury Reparations Act; Failure to maintain continuous financial security</v>
      </c>
      <c r="O280" s="10" t="str">
        <f t="shared" si="3"/>
        <v>Automobile Injury Reparations Act</v>
      </c>
      <c r="Q280" s="10" t="str">
        <f>IFERROR(__xludf.DUMMYFUNCTION("""COMPUTED_VALUE"""),"Income Tax Returns")</f>
        <v>Income Tax Returns</v>
      </c>
    </row>
    <row r="281">
      <c r="A281" s="7" t="s">
        <v>546</v>
      </c>
      <c r="B281" s="8" t="s">
        <v>547</v>
      </c>
      <c r="C281" s="8" t="s">
        <v>27</v>
      </c>
      <c r="D281" s="8" t="s">
        <v>28</v>
      </c>
      <c r="E281" s="8" t="s">
        <v>19</v>
      </c>
      <c r="F281" s="8" t="s">
        <v>20</v>
      </c>
      <c r="G281" s="8" t="s">
        <v>21</v>
      </c>
      <c r="H281" s="9"/>
      <c r="I281" s="9"/>
      <c r="J281" s="10">
        <f t="shared" ref="J281:M281" si="130">ifs(OR($H281="R",$I281="N"),"N/A",OR(C281="A",C281="B",C281="C",C281="U"),3,TRUE,"FLAG")</f>
        <v>3</v>
      </c>
      <c r="K281" s="10">
        <f t="shared" si="130"/>
        <v>3</v>
      </c>
      <c r="L281" s="10">
        <f t="shared" si="130"/>
        <v>3</v>
      </c>
      <c r="M281" s="10" t="str">
        <f t="shared" si="130"/>
        <v>FLAG</v>
      </c>
      <c r="N281" s="10" t="str">
        <f t="shared" si="2"/>
        <v>40-3118(i) - Automobile Injury Reparations Act; Financial security for motor vehicle registration; false certification</v>
      </c>
      <c r="O281" s="10" t="str">
        <f t="shared" si="3"/>
        <v>Automobile Injury Reparations Act</v>
      </c>
      <c r="Q281" s="10" t="str">
        <f>IFERROR(__xludf.DUMMYFUNCTION("""COMPUTED_VALUE"""),"Indecent Liberties with a Child")</f>
        <v>Indecent Liberties with a Child</v>
      </c>
    </row>
    <row r="282">
      <c r="A282" s="7" t="s">
        <v>548</v>
      </c>
      <c r="B282" s="8" t="s">
        <v>549</v>
      </c>
      <c r="C282" s="8" t="s">
        <v>28</v>
      </c>
      <c r="D282" s="8" t="s">
        <v>19</v>
      </c>
      <c r="E282" s="8" t="s">
        <v>19</v>
      </c>
      <c r="F282" s="8" t="s">
        <v>20</v>
      </c>
      <c r="G282" s="8" t="s">
        <v>21</v>
      </c>
      <c r="H282" s="9"/>
      <c r="I282" s="9"/>
      <c r="J282" s="10">
        <f t="shared" ref="J282:M282" si="131">ifs(OR($H282="R",$I282="N"),"N/A",OR(C282="A",C282="B",C282="C",C282="U"),3,TRUE,"FLAG")</f>
        <v>3</v>
      </c>
      <c r="K282" s="10">
        <f t="shared" si="131"/>
        <v>3</v>
      </c>
      <c r="L282" s="10">
        <f t="shared" si="131"/>
        <v>3</v>
      </c>
      <c r="M282" s="10" t="str">
        <f t="shared" si="131"/>
        <v>FLAG</v>
      </c>
      <c r="N282" s="10" t="str">
        <f t="shared" si="2"/>
        <v>40-3104(c) - Automobile Injury Reparations Act; Knowingly drive an uninsured motor vehicle upon a highway or upon property open to use by the public; 1st violation</v>
      </c>
      <c r="O282" s="10" t="str">
        <f t="shared" si="3"/>
        <v>Automobile Injury Reparations Act</v>
      </c>
      <c r="Q282" s="10" t="str">
        <f>IFERROR(__xludf.DUMMYFUNCTION("""COMPUTED_VALUE"""),"Indecent Solicitation of Child")</f>
        <v>Indecent Solicitation of Child</v>
      </c>
    </row>
    <row r="283">
      <c r="A283" s="7" t="s">
        <v>550</v>
      </c>
      <c r="B283" s="8" t="s">
        <v>549</v>
      </c>
      <c r="C283" s="8" t="s">
        <v>27</v>
      </c>
      <c r="D283" s="8" t="s">
        <v>28</v>
      </c>
      <c r="E283" s="8" t="s">
        <v>19</v>
      </c>
      <c r="F283" s="8" t="s">
        <v>20</v>
      </c>
      <c r="G283" s="8" t="s">
        <v>21</v>
      </c>
      <c r="H283" s="9"/>
      <c r="I283" s="9"/>
      <c r="J283" s="10">
        <f t="shared" ref="J283:M283" si="132">ifs(OR($H283="R",$I283="N"),"N/A",OR(C283="A",C283="B",C283="C",C283="U"),3,TRUE,"FLAG")</f>
        <v>3</v>
      </c>
      <c r="K283" s="10">
        <f t="shared" si="132"/>
        <v>3</v>
      </c>
      <c r="L283" s="10">
        <f t="shared" si="132"/>
        <v>3</v>
      </c>
      <c r="M283" s="10" t="str">
        <f t="shared" si="132"/>
        <v>FLAG</v>
      </c>
      <c r="N283" s="10" t="str">
        <f t="shared" si="2"/>
        <v>40-3104(c) - Automobile Injury Reparations Act; Knowingly drive an uninsured motor vehicle upon a highway or upon property open to use by the public; 2nd or subs. conviction within 3 yrs</v>
      </c>
      <c r="O283" s="10" t="str">
        <f t="shared" si="3"/>
        <v>Automobile Injury Reparations Act</v>
      </c>
      <c r="Q283" s="10" t="str">
        <f>IFERROR(__xludf.DUMMYFUNCTION("""COMPUTED_VALUE"""),"Installing Communications Facilities for Gamblers")</f>
        <v>Installing Communications Facilities for Gamblers</v>
      </c>
    </row>
    <row r="284">
      <c r="A284" s="7" t="s">
        <v>551</v>
      </c>
      <c r="B284" s="8" t="s">
        <v>552</v>
      </c>
      <c r="C284" s="8" t="s">
        <v>28</v>
      </c>
      <c r="D284" s="8" t="s">
        <v>19</v>
      </c>
      <c r="E284" s="8" t="s">
        <v>19</v>
      </c>
      <c r="F284" s="8" t="s">
        <v>20</v>
      </c>
      <c r="G284" s="8" t="s">
        <v>21</v>
      </c>
      <c r="H284" s="9"/>
      <c r="I284" s="9"/>
      <c r="J284" s="10">
        <f t="shared" ref="J284:M284" si="133">ifs(OR($H284="R",$I284="N"),"N/A",OR(C284="A",C284="B",C284="C",C284="U"),3,TRUE,"FLAG")</f>
        <v>3</v>
      </c>
      <c r="K284" s="10">
        <f t="shared" si="133"/>
        <v>3</v>
      </c>
      <c r="L284" s="10">
        <f t="shared" si="133"/>
        <v>3</v>
      </c>
      <c r="M284" s="10" t="str">
        <f t="shared" si="133"/>
        <v>FLAG</v>
      </c>
      <c r="N284" s="10" t="str">
        <f t="shared" si="2"/>
        <v>40-3104(a) - Automobile Injury Reparations Act; Motor vehicle liability insurance coverage required</v>
      </c>
      <c r="O284" s="10" t="str">
        <f t="shared" si="3"/>
        <v>Automobile Injury Reparations Act</v>
      </c>
      <c r="Q284" s="10" t="str">
        <f>IFERROR(__xludf.DUMMYFUNCTION("""COMPUTED_VALUE"""),"Insurance Holding Company Act")</f>
        <v>Insurance Holding Company Act</v>
      </c>
    </row>
    <row r="285">
      <c r="A285" s="7" t="s">
        <v>553</v>
      </c>
      <c r="B285" s="8" t="s">
        <v>552</v>
      </c>
      <c r="C285" s="8" t="s">
        <v>27</v>
      </c>
      <c r="D285" s="8" t="s">
        <v>28</v>
      </c>
      <c r="E285" s="8" t="s">
        <v>19</v>
      </c>
      <c r="F285" s="8" t="s">
        <v>20</v>
      </c>
      <c r="G285" s="8" t="s">
        <v>21</v>
      </c>
      <c r="H285" s="9"/>
      <c r="I285" s="9"/>
      <c r="J285" s="10">
        <f t="shared" ref="J285:M285" si="134">ifs(OR($H285="R",$I285="N"),"N/A",OR(C285="A",C285="B",C285="C",C285="U"),3,TRUE,"FLAG")</f>
        <v>3</v>
      </c>
      <c r="K285" s="10">
        <f t="shared" si="134"/>
        <v>3</v>
      </c>
      <c r="L285" s="10">
        <f t="shared" si="134"/>
        <v>3</v>
      </c>
      <c r="M285" s="10" t="str">
        <f t="shared" si="134"/>
        <v>FLAG</v>
      </c>
      <c r="N285" s="10" t="str">
        <f t="shared" si="2"/>
        <v>40-3104(a) - Automobile Injury Reparations Act; Motor vehicle liability insurance coverage required; 2nd or subs. conviction within 3 yrs</v>
      </c>
      <c r="O285" s="10" t="str">
        <f t="shared" si="3"/>
        <v>Automobile Injury Reparations Act</v>
      </c>
      <c r="Q285" s="10" t="str">
        <f>IFERROR(__xludf.DUMMYFUNCTION("""COMPUTED_VALUE"""),"Insurance")</f>
        <v>Insurance</v>
      </c>
    </row>
    <row r="286">
      <c r="A286" s="7" t="s">
        <v>554</v>
      </c>
      <c r="B286" s="8" t="s">
        <v>555</v>
      </c>
      <c r="C286" s="8" t="s">
        <v>28</v>
      </c>
      <c r="D286" s="8" t="s">
        <v>19</v>
      </c>
      <c r="E286" s="8" t="s">
        <v>19</v>
      </c>
      <c r="F286" s="8" t="s">
        <v>20</v>
      </c>
      <c r="G286" s="8" t="s">
        <v>21</v>
      </c>
      <c r="H286" s="9"/>
      <c r="I286" s="9"/>
      <c r="J286" s="10">
        <f t="shared" ref="J286:M286" si="135">ifs(OR($H286="R",$I286="N"),"N/A",OR(C286="A",C286="B",C286="C",C286="U"),3,TRUE,"FLAG")</f>
        <v>3</v>
      </c>
      <c r="K286" s="10">
        <f t="shared" si="135"/>
        <v>3</v>
      </c>
      <c r="L286" s="10">
        <f t="shared" si="135"/>
        <v>3</v>
      </c>
      <c r="M286" s="10" t="str">
        <f t="shared" si="135"/>
        <v>FLAG</v>
      </c>
      <c r="N286" s="10" t="str">
        <f t="shared" si="2"/>
        <v>40-3104(b) - Automobile Injury Reparations Act; Permitting uninsured motor vehicle to be operated upon a highway or upon property open to use by the public; 1st violation</v>
      </c>
      <c r="O286" s="10" t="str">
        <f t="shared" si="3"/>
        <v>Automobile Injury Reparations Act</v>
      </c>
      <c r="Q286" s="10" t="str">
        <f>IFERROR(__xludf.DUMMYFUNCTION("""COMPUTED_VALUE"""),"Interference With Conduct of Public Business")</f>
        <v>Interference With Conduct of Public Business</v>
      </c>
    </row>
    <row r="287">
      <c r="A287" s="7" t="s">
        <v>556</v>
      </c>
      <c r="B287" s="8" t="s">
        <v>555</v>
      </c>
      <c r="C287" s="8" t="s">
        <v>27</v>
      </c>
      <c r="D287" s="8" t="s">
        <v>28</v>
      </c>
      <c r="E287" s="8" t="s">
        <v>19</v>
      </c>
      <c r="F287" s="8" t="s">
        <v>20</v>
      </c>
      <c r="G287" s="8" t="s">
        <v>21</v>
      </c>
      <c r="H287" s="9"/>
      <c r="I287" s="9"/>
      <c r="J287" s="10">
        <f t="shared" ref="J287:M287" si="136">ifs(OR($H287="R",$I287="N"),"N/A",OR(C287="A",C287="B",C287="C",C287="U"),3,TRUE,"FLAG")</f>
        <v>3</v>
      </c>
      <c r="K287" s="10">
        <f t="shared" si="136"/>
        <v>3</v>
      </c>
      <c r="L287" s="10">
        <f t="shared" si="136"/>
        <v>3</v>
      </c>
      <c r="M287" s="10" t="str">
        <f t="shared" si="136"/>
        <v>FLAG</v>
      </c>
      <c r="N287" s="10" t="str">
        <f t="shared" si="2"/>
        <v>40-3104(b) - Automobile Injury Reparations Act; Permitting uninsured motor vehicle to be operated upon a highway or upon property open to use by the public; 2nd or subs. conviction within 3 yrs</v>
      </c>
      <c r="O287" s="10" t="str">
        <f t="shared" si="3"/>
        <v>Automobile Injury Reparations Act</v>
      </c>
      <c r="Q287" s="10" t="str">
        <f>IFERROR(__xludf.DUMMYFUNCTION("""COMPUTED_VALUE"""),"Interference With Custody")</f>
        <v>Interference With Custody</v>
      </c>
    </row>
    <row r="288">
      <c r="A288" s="7" t="s">
        <v>557</v>
      </c>
      <c r="B288" s="8" t="s">
        <v>558</v>
      </c>
      <c r="C288" s="8" t="s">
        <v>19</v>
      </c>
      <c r="D288" s="8" t="s">
        <v>19</v>
      </c>
      <c r="E288" s="8" t="s">
        <v>19</v>
      </c>
      <c r="F288" s="8" t="s">
        <v>20</v>
      </c>
      <c r="G288" s="8" t="s">
        <v>21</v>
      </c>
      <c r="H288" s="9"/>
      <c r="I288" s="9"/>
      <c r="J288" s="10">
        <f t="shared" ref="J288:M288" si="137">ifs(OR($H288="R",$I288="N"),"N/A",OR(C288="A",C288="B",C288="C",C288="U"),3,TRUE,"FLAG")</f>
        <v>3</v>
      </c>
      <c r="K288" s="10">
        <f t="shared" si="137"/>
        <v>3</v>
      </c>
      <c r="L288" s="10">
        <f t="shared" si="137"/>
        <v>3</v>
      </c>
      <c r="M288" s="10" t="str">
        <f t="shared" si="137"/>
        <v>FLAG</v>
      </c>
      <c r="N288" s="10" t="str">
        <f t="shared" si="2"/>
        <v>21-5833(a)(1) - Automobile Master Key Violation; Selling or offering to sell a motor vehicle master key knowingly designed to fit the ignition switch of more than 1 motor vehicle to an unauthorized person</v>
      </c>
      <c r="O288" s="10" t="str">
        <f t="shared" si="3"/>
        <v>Automobile Master Key Violation</v>
      </c>
      <c r="Q288" s="10" t="str">
        <f>IFERROR(__xludf.DUMMYFUNCTION("""COMPUTED_VALUE"""),"Interference with Law Enforcement")</f>
        <v>Interference with Law Enforcement</v>
      </c>
    </row>
    <row r="289">
      <c r="A289" s="7" t="s">
        <v>559</v>
      </c>
      <c r="B289" s="8" t="s">
        <v>560</v>
      </c>
      <c r="C289" s="8" t="s">
        <v>19</v>
      </c>
      <c r="D289" s="8" t="s">
        <v>19</v>
      </c>
      <c r="E289" s="8" t="s">
        <v>19</v>
      </c>
      <c r="F289" s="8" t="s">
        <v>20</v>
      </c>
      <c r="G289" s="8" t="s">
        <v>21</v>
      </c>
      <c r="H289" s="9"/>
      <c r="I289" s="9"/>
      <c r="J289" s="10">
        <f t="shared" ref="J289:M289" si="138">ifs(OR($H289="R",$I289="N"),"N/A",OR(C289="A",C289="B",C289="C",C289="U"),3,TRUE,"FLAG")</f>
        <v>3</v>
      </c>
      <c r="K289" s="10">
        <f t="shared" si="138"/>
        <v>3</v>
      </c>
      <c r="L289" s="10">
        <f t="shared" si="138"/>
        <v>3</v>
      </c>
      <c r="M289" s="10" t="str">
        <f t="shared" si="138"/>
        <v>FLAG</v>
      </c>
      <c r="N289" s="10" t="str">
        <f t="shared" si="2"/>
        <v>21-5833(a)(2) - Automobile Master Key Violation; Unauthorized possession of a motor vehicle master key designed to fit the ignition switch of more than 1 motor vehicle</v>
      </c>
      <c r="O289" s="10" t="str">
        <f t="shared" si="3"/>
        <v>Automobile Master Key Violation</v>
      </c>
      <c r="Q289" s="10" t="str">
        <f>IFERROR(__xludf.DUMMYFUNCTION("""COMPUTED_VALUE"""),"Interference With Parental Custody")</f>
        <v>Interference With Parental Custody</v>
      </c>
    </row>
    <row r="290">
      <c r="A290" s="7" t="s">
        <v>561</v>
      </c>
      <c r="B290" s="8" t="s">
        <v>562</v>
      </c>
      <c r="C290" s="8" t="s">
        <v>18</v>
      </c>
      <c r="D290" s="8" t="s">
        <v>18</v>
      </c>
      <c r="E290" s="8" t="s">
        <v>19</v>
      </c>
      <c r="F290" s="8" t="s">
        <v>20</v>
      </c>
      <c r="G290" s="8" t="s">
        <v>21</v>
      </c>
      <c r="H290" s="9"/>
      <c r="I290" s="9"/>
      <c r="J290" s="10">
        <f t="shared" ref="J290:M290" si="139">ifs(OR($H290="R",$I290="N"),"N/A",OR(C290="A",C290="B",C290="C",C290="U"),3,TRUE,"FLAG")</f>
        <v>3</v>
      </c>
      <c r="K290" s="10">
        <f t="shared" si="139"/>
        <v>3</v>
      </c>
      <c r="L290" s="10">
        <f t="shared" si="139"/>
        <v>3</v>
      </c>
      <c r="M290" s="10" t="str">
        <f t="shared" si="139"/>
        <v>FLAG</v>
      </c>
      <c r="N290" s="10" t="str">
        <f t="shared" si="2"/>
        <v>8-135(c)(7) - Automobiles/Vehicles; Buying/selling a vehicle required to be registered, without passing of the certificate of title either at delivery or another agreed time not to exceed 60 days</v>
      </c>
      <c r="O290" s="10" t="str">
        <f t="shared" si="3"/>
        <v>Automobiles/Vehicles</v>
      </c>
      <c r="Q290" s="10" t="str">
        <f>IFERROR(__xludf.DUMMYFUNCTION("""COMPUTED_VALUE"""),"Interference with Parental Custody")</f>
        <v>Interference with Parental Custody</v>
      </c>
    </row>
    <row r="291">
      <c r="A291" s="7" t="s">
        <v>563</v>
      </c>
      <c r="B291" s="8" t="s">
        <v>564</v>
      </c>
      <c r="C291" s="8" t="s">
        <v>18</v>
      </c>
      <c r="D291" s="8" t="s">
        <v>18</v>
      </c>
      <c r="E291" s="8" t="s">
        <v>19</v>
      </c>
      <c r="F291" s="8" t="s">
        <v>20</v>
      </c>
      <c r="G291" s="8" t="s">
        <v>21</v>
      </c>
      <c r="H291" s="9"/>
      <c r="I291" s="9"/>
      <c r="J291" s="10">
        <f t="shared" ref="J291:M291" si="140">ifs(OR($H291="R",$I291="N"),"N/A",OR(C291="A",C291="B",C291="C",C291="U"),3,TRUE,"FLAG")</f>
        <v>3</v>
      </c>
      <c r="K291" s="10">
        <f t="shared" si="140"/>
        <v>3</v>
      </c>
      <c r="L291" s="10">
        <f t="shared" si="140"/>
        <v>3</v>
      </c>
      <c r="M291" s="10" t="str">
        <f t="shared" si="140"/>
        <v>FLAG</v>
      </c>
      <c r="N291" s="10" t="str">
        <f t="shared" si="2"/>
        <v>8-142(Second) - Automobiles/Vehicles; Display/possession of fictitious, canceled, revoked, suspended or altered registration receipt, certificate of title, registration license plate, registration decal, accessible parking placard or accessible parking identification card</v>
      </c>
      <c r="O291" s="10" t="str">
        <f t="shared" si="3"/>
        <v>Automobiles/Vehicles</v>
      </c>
      <c r="Q291" s="10" t="str">
        <f>IFERROR(__xludf.DUMMYFUNCTION("""COMPUTED_VALUE"""),"Interference with the Judicial Process")</f>
        <v>Interference with the Judicial Process</v>
      </c>
    </row>
    <row r="292">
      <c r="A292" s="7" t="s">
        <v>565</v>
      </c>
      <c r="B292" s="8" t="s">
        <v>566</v>
      </c>
      <c r="C292" s="8" t="s">
        <v>18</v>
      </c>
      <c r="D292" s="8" t="s">
        <v>18</v>
      </c>
      <c r="E292" s="8" t="s">
        <v>19</v>
      </c>
      <c r="F292" s="8" t="s">
        <v>20</v>
      </c>
      <c r="G292" s="8" t="s">
        <v>21</v>
      </c>
      <c r="H292" s="9"/>
      <c r="I292" s="9"/>
      <c r="J292" s="10">
        <f t="shared" ref="J292:M292" si="141">ifs(OR($H292="R",$I292="N"),"N/A",OR(C292="A",C292="B",C292="C",C292="U"),3,TRUE,"FLAG")</f>
        <v>3</v>
      </c>
      <c r="K292" s="10">
        <f t="shared" si="141"/>
        <v>3</v>
      </c>
      <c r="L292" s="10">
        <f t="shared" si="141"/>
        <v>3</v>
      </c>
      <c r="M292" s="10" t="str">
        <f t="shared" si="141"/>
        <v>FLAG</v>
      </c>
      <c r="N292" s="10" t="str">
        <f t="shared" si="2"/>
        <v>8-1,125(f) - Automobiles/Vehicles; Effective Jan. 1, 2012;Failure to return disabled placards to department of revenue or disabled license plates to the county treasurer as required</v>
      </c>
      <c r="O292" s="10" t="str">
        <f t="shared" si="3"/>
        <v>Automobiles/Vehicles</v>
      </c>
      <c r="Q292" s="10" t="str">
        <f>IFERROR(__xludf.DUMMYFUNCTION("""COMPUTED_VALUE"""),"Interstate Compact on Placement of Children")</f>
        <v>Interstate Compact on Placement of Children</v>
      </c>
    </row>
    <row r="293">
      <c r="A293" s="7" t="s">
        <v>567</v>
      </c>
      <c r="B293" s="8" t="s">
        <v>568</v>
      </c>
      <c r="C293" s="8" t="s">
        <v>18</v>
      </c>
      <c r="D293" s="8" t="s">
        <v>18</v>
      </c>
      <c r="E293" s="8" t="s">
        <v>19</v>
      </c>
      <c r="F293" s="8" t="s">
        <v>20</v>
      </c>
      <c r="G293" s="8" t="s">
        <v>21</v>
      </c>
      <c r="H293" s="9"/>
      <c r="I293" s="9"/>
      <c r="J293" s="10">
        <f t="shared" ref="J293:M293" si="142">ifs(OR($H293="R",$I293="N"),"N/A",OR(C293="A",C293="B",C293="C",C293="U"),3,TRUE,"FLAG")</f>
        <v>3</v>
      </c>
      <c r="K293" s="10">
        <f t="shared" si="142"/>
        <v>3</v>
      </c>
      <c r="L293" s="10">
        <f t="shared" si="142"/>
        <v>3</v>
      </c>
      <c r="M293" s="10" t="str">
        <f t="shared" si="142"/>
        <v>FLAG</v>
      </c>
      <c r="N293" s="10" t="str">
        <f t="shared" si="2"/>
        <v>8-142(Fourth) - Automobiles/Vehicles; Fail or refuse to surrender any suspended, canceled or revoked registration receipt, certificate of title, registration license plate or registration decal upon demand</v>
      </c>
      <c r="O293" s="10" t="str">
        <f t="shared" si="3"/>
        <v>Automobiles/Vehicles</v>
      </c>
      <c r="Q293" s="10" t="str">
        <f>IFERROR(__xludf.DUMMYFUNCTION("""COMPUTED_VALUE"""),"Intimidation of Witness or Victim")</f>
        <v>Intimidation of Witness or Victim</v>
      </c>
    </row>
    <row r="294">
      <c r="A294" s="7" t="s">
        <v>569</v>
      </c>
      <c r="B294" s="8" t="s">
        <v>570</v>
      </c>
      <c r="C294" s="8" t="s">
        <v>19</v>
      </c>
      <c r="D294" s="8" t="s">
        <v>19</v>
      </c>
      <c r="E294" s="8" t="s">
        <v>19</v>
      </c>
      <c r="F294" s="8" t="s">
        <v>20</v>
      </c>
      <c r="G294" s="8" t="s">
        <v>21</v>
      </c>
      <c r="H294" s="9"/>
      <c r="I294" s="9"/>
      <c r="J294" s="10">
        <f t="shared" ref="J294:M294" si="143">ifs(OR($H294="R",$I294="N"),"N/A",OR(C294="A",C294="B",C294="C",C294="U"),3,TRUE,"FLAG")</f>
        <v>3</v>
      </c>
      <c r="K294" s="10">
        <f t="shared" si="143"/>
        <v>3</v>
      </c>
      <c r="L294" s="10">
        <f t="shared" si="143"/>
        <v>3</v>
      </c>
      <c r="M294" s="10" t="str">
        <f t="shared" si="143"/>
        <v>FLAG</v>
      </c>
      <c r="N294" s="10" t="str">
        <f t="shared" si="2"/>
        <v>8-135c(c)(7) - Automobiles/Vehicles; Failure to apply for a nonrepairable vehicle certificate</v>
      </c>
      <c r="O294" s="10" t="str">
        <f t="shared" si="3"/>
        <v>Automobiles/Vehicles</v>
      </c>
      <c r="Q294" s="10" t="str">
        <f>IFERROR(__xludf.DUMMYFUNCTION("""COMPUTED_VALUE"""),"Involuntary Manslaughter")</f>
        <v>Involuntary Manslaughter</v>
      </c>
    </row>
    <row r="295">
      <c r="A295" s="7" t="s">
        <v>571</v>
      </c>
      <c r="B295" s="8" t="s">
        <v>572</v>
      </c>
      <c r="C295" s="8" t="s">
        <v>18</v>
      </c>
      <c r="D295" s="8" t="s">
        <v>18</v>
      </c>
      <c r="E295" s="8" t="s">
        <v>19</v>
      </c>
      <c r="F295" s="8" t="s">
        <v>20</v>
      </c>
      <c r="G295" s="8" t="s">
        <v>21</v>
      </c>
      <c r="H295" s="9"/>
      <c r="I295" s="9"/>
      <c r="J295" s="10">
        <f t="shared" ref="J295:M295" si="144">ifs(OR($H295="R",$I295="N"),"N/A",OR(C295="A",C295="B",C295="C",C295="U"),3,TRUE,"FLAG")</f>
        <v>3</v>
      </c>
      <c r="K295" s="10">
        <f t="shared" si="144"/>
        <v>3</v>
      </c>
      <c r="L295" s="10">
        <f t="shared" si="144"/>
        <v>3</v>
      </c>
      <c r="M295" s="10" t="str">
        <f t="shared" si="144"/>
        <v>FLAG</v>
      </c>
      <c r="N295" s="10" t="str">
        <f t="shared" si="2"/>
        <v>8-142(Tenth) - Automobiles/Vehicles; Failure to comply with requirements pertaining to gross weight and operation of farm truck or truck tractor used with a trailer or semitrailer; signage required for farm truck or farm truck tractor used to transport a gross weight of more than 54,000 pounds</v>
      </c>
      <c r="O295" s="10" t="str">
        <f t="shared" si="3"/>
        <v>Automobiles/Vehicles</v>
      </c>
      <c r="Q295" s="10" t="str">
        <f>IFERROR(__xludf.DUMMYFUNCTION("""COMPUTED_VALUE"""),"Irrigation Districts")</f>
        <v>Irrigation Districts</v>
      </c>
    </row>
    <row r="296">
      <c r="A296" s="7" t="s">
        <v>573</v>
      </c>
      <c r="B296" s="8" t="s">
        <v>574</v>
      </c>
      <c r="C296" s="8" t="s">
        <v>19</v>
      </c>
      <c r="D296" s="8" t="s">
        <v>19</v>
      </c>
      <c r="E296" s="8" t="s">
        <v>19</v>
      </c>
      <c r="F296" s="8" t="s">
        <v>20</v>
      </c>
      <c r="G296" s="8" t="s">
        <v>21</v>
      </c>
      <c r="H296" s="9"/>
      <c r="I296" s="9"/>
      <c r="J296" s="10">
        <f t="shared" ref="J296:M296" si="145">ifs(OR($H296="R",$I296="N"),"N/A",OR(C296="A",C296="B",C296="C",C296="U"),3,TRUE,"FLAG")</f>
        <v>3</v>
      </c>
      <c r="K296" s="10">
        <f t="shared" si="145"/>
        <v>3</v>
      </c>
      <c r="L296" s="10">
        <f t="shared" si="145"/>
        <v>3</v>
      </c>
      <c r="M296" s="10" t="str">
        <f t="shared" si="145"/>
        <v>FLAG</v>
      </c>
      <c r="N296" s="10" t="str">
        <f t="shared" si="2"/>
        <v>8-198(f)(3)(C) - Automobiles/Vehicles; Failure to get rebuilt salvage title as required herein</v>
      </c>
      <c r="O296" s="10" t="str">
        <f t="shared" si="3"/>
        <v>Automobiles/Vehicles</v>
      </c>
      <c r="Q296" s="10" t="str">
        <f>IFERROR(__xludf.DUMMYFUNCTION("""COMPUTED_VALUE"""),"Irrigation")</f>
        <v>Irrigation</v>
      </c>
    </row>
    <row r="297">
      <c r="A297" s="7" t="s">
        <v>575</v>
      </c>
      <c r="B297" s="8" t="s">
        <v>576</v>
      </c>
      <c r="C297" s="8" t="s">
        <v>19</v>
      </c>
      <c r="D297" s="8" t="s">
        <v>19</v>
      </c>
      <c r="E297" s="8" t="s">
        <v>19</v>
      </c>
      <c r="F297" s="8" t="s">
        <v>20</v>
      </c>
      <c r="G297" s="8" t="s">
        <v>21</v>
      </c>
      <c r="H297" s="9"/>
      <c r="I297" s="9"/>
      <c r="J297" s="10">
        <f t="shared" ref="J297:M297" si="146">ifs(OR($H297="R",$I297="N"),"N/A",OR(C297="A",C297="B",C297="C",C297="U"),3,TRUE,"FLAG")</f>
        <v>3</v>
      </c>
      <c r="K297" s="10">
        <f t="shared" si="146"/>
        <v>3</v>
      </c>
      <c r="L297" s="10">
        <f t="shared" si="146"/>
        <v>3</v>
      </c>
      <c r="M297" s="10" t="str">
        <f t="shared" si="146"/>
        <v>FLAG</v>
      </c>
      <c r="N297" s="10" t="str">
        <f t="shared" si="2"/>
        <v>8-198(d)(8) - Automobiles/Vehicles; Failure to get salvage title as required herein</v>
      </c>
      <c r="O297" s="10" t="str">
        <f t="shared" si="3"/>
        <v>Automobiles/Vehicles</v>
      </c>
      <c r="Q297" s="10" t="str">
        <f>IFERROR(__xludf.DUMMYFUNCTION("""COMPUTED_VALUE"""),"Jurors")</f>
        <v>Jurors</v>
      </c>
    </row>
    <row r="298">
      <c r="A298" s="7" t="s">
        <v>577</v>
      </c>
      <c r="B298" s="8" t="s">
        <v>578</v>
      </c>
      <c r="C298" s="8" t="s">
        <v>18</v>
      </c>
      <c r="D298" s="8" t="s">
        <v>18</v>
      </c>
      <c r="E298" s="8" t="s">
        <v>19</v>
      </c>
      <c r="F298" s="8" t="s">
        <v>20</v>
      </c>
      <c r="G298" s="8" t="s">
        <v>21</v>
      </c>
      <c r="H298" s="9"/>
      <c r="I298" s="9"/>
      <c r="J298" s="10">
        <f t="shared" ref="J298:M298" si="147">ifs(OR($H298="R",$I298="N"),"N/A",OR(C298="A",C298="B",C298="C",C298="U"),3,TRUE,"FLAG")</f>
        <v>3</v>
      </c>
      <c r="K298" s="10">
        <f t="shared" si="147"/>
        <v>3</v>
      </c>
      <c r="L298" s="10">
        <f t="shared" si="147"/>
        <v>3</v>
      </c>
      <c r="M298" s="10" t="str">
        <f t="shared" si="147"/>
        <v>FLAG</v>
      </c>
      <c r="N298" s="10" t="str">
        <f t="shared" si="2"/>
        <v>8-142(Fifteenth) - Automobiles/Vehicles; Failure to keep required records and comply with rules when registering a truck or truck tractor on the basis of operating not more than 6,000 miles</v>
      </c>
      <c r="O298" s="10" t="str">
        <f t="shared" si="3"/>
        <v>Automobiles/Vehicles</v>
      </c>
      <c r="Q298" s="10" t="str">
        <f>IFERROR(__xludf.DUMMYFUNCTION("""COMPUTED_VALUE"""),"Juvenile Justice Code")</f>
        <v>Juvenile Justice Code</v>
      </c>
    </row>
    <row r="299">
      <c r="A299" s="7" t="s">
        <v>579</v>
      </c>
      <c r="B299" s="8" t="s">
        <v>580</v>
      </c>
      <c r="C299" s="8" t="s">
        <v>18</v>
      </c>
      <c r="D299" s="8" t="s">
        <v>18</v>
      </c>
      <c r="E299" s="8" t="s">
        <v>19</v>
      </c>
      <c r="F299" s="8" t="s">
        <v>20</v>
      </c>
      <c r="G299" s="8" t="s">
        <v>21</v>
      </c>
      <c r="H299" s="9"/>
      <c r="I299" s="9"/>
      <c r="J299" s="10">
        <f t="shared" ref="J299:M299" si="148">ifs(OR($H299="R",$I299="N"),"N/A",OR(C299="A",C299="B",C299="C",C299="U"),3,TRUE,"FLAG")</f>
        <v>3</v>
      </c>
      <c r="K299" s="10">
        <f t="shared" si="148"/>
        <v>3</v>
      </c>
      <c r="L299" s="10">
        <f t="shared" si="148"/>
        <v>3</v>
      </c>
      <c r="M299" s="10" t="str">
        <f t="shared" si="148"/>
        <v>FLAG</v>
      </c>
      <c r="N299" s="10" t="str">
        <f t="shared" si="2"/>
        <v>8-143(d) - Automobiles/Vehicles; Failure to pay registration fee or fees when due</v>
      </c>
      <c r="O299" s="10" t="str">
        <f t="shared" si="3"/>
        <v>Automobiles/Vehicles</v>
      </c>
      <c r="Q299" s="10" t="str">
        <f>IFERROR(__xludf.DUMMYFUNCTION("""COMPUTED_VALUE"""),"Kansas Act Against Discrimination")</f>
        <v>Kansas Act Against Discrimination</v>
      </c>
    </row>
    <row r="300">
      <c r="A300" s="7" t="s">
        <v>581</v>
      </c>
      <c r="B300" s="8" t="s">
        <v>582</v>
      </c>
      <c r="C300" s="8">
        <v>10.0</v>
      </c>
      <c r="D300" s="8">
        <v>10.0</v>
      </c>
      <c r="E300" s="8">
        <v>10.0</v>
      </c>
      <c r="F300" s="8">
        <v>10.0</v>
      </c>
      <c r="G300" s="8" t="s">
        <v>21</v>
      </c>
      <c r="H300" s="9"/>
      <c r="I300" s="9"/>
      <c r="N300" s="10" t="str">
        <f t="shared" si="2"/>
        <v>8-607 - Automobiles/Vehicles; Fair Trade Act; penalty for any violation of act</v>
      </c>
      <c r="O300" s="10" t="str">
        <f t="shared" si="3"/>
        <v>Automobiles/Vehicles</v>
      </c>
      <c r="Q300" s="10" t="str">
        <f>IFERROR(__xludf.DUMMYFUNCTION("""COMPUTED_VALUE"""),"Kansas Age Discrimination In Employment Act")</f>
        <v>Kansas Age Discrimination In Employment Act</v>
      </c>
    </row>
    <row r="301">
      <c r="A301" s="7" t="s">
        <v>583</v>
      </c>
      <c r="B301" s="8" t="s">
        <v>584</v>
      </c>
      <c r="C301" s="8">
        <v>10.0</v>
      </c>
      <c r="D301" s="8">
        <v>10.0</v>
      </c>
      <c r="E301" s="8">
        <v>10.0</v>
      </c>
      <c r="F301" s="8">
        <v>10.0</v>
      </c>
      <c r="G301" s="8" t="s">
        <v>21</v>
      </c>
      <c r="H301" s="9"/>
      <c r="I301" s="9"/>
      <c r="N301" s="10" t="str">
        <f t="shared" si="2"/>
        <v>8-603 - Automobiles/Vehicles; Fair Trade Act; sell or contract to sell motor vehicle or vehicles or other specific commodities to any dealer with condition that dealer finance the purchase or sale only with/through a designated person</v>
      </c>
      <c r="O301" s="10" t="str">
        <f t="shared" si="3"/>
        <v>Automobiles/Vehicles</v>
      </c>
      <c r="Q301" s="10" t="str">
        <f>IFERROR(__xludf.DUMMYFUNCTION("""COMPUTED_VALUE"""),"Kansas Healing Arts Act")</f>
        <v>Kansas Healing Arts Act</v>
      </c>
    </row>
    <row r="302">
      <c r="A302" s="7" t="s">
        <v>585</v>
      </c>
      <c r="B302" s="8" t="s">
        <v>586</v>
      </c>
      <c r="C302" s="8" t="s">
        <v>19</v>
      </c>
      <c r="D302" s="8" t="s">
        <v>19</v>
      </c>
      <c r="E302" s="8" t="s">
        <v>19</v>
      </c>
      <c r="F302" s="8" t="s">
        <v>20</v>
      </c>
      <c r="G302" s="8" t="s">
        <v>21</v>
      </c>
      <c r="H302" s="9"/>
      <c r="I302" s="9"/>
      <c r="J302" s="10">
        <f t="shared" ref="J302:M302" si="149">ifs(OR($H302="R",$I302="N"),"N/A",OR(C302="A",C302="B",C302="C",C302="U"),3,TRUE,"FLAG")</f>
        <v>3</v>
      </c>
      <c r="K302" s="10">
        <f t="shared" si="149"/>
        <v>3</v>
      </c>
      <c r="L302" s="10">
        <f t="shared" si="149"/>
        <v>3</v>
      </c>
      <c r="M302" s="10" t="str">
        <f t="shared" si="149"/>
        <v>FLAG</v>
      </c>
      <c r="N302" s="10" t="str">
        <f t="shared" si="2"/>
        <v>8-1,130(b) - Automobiles/Vehicles; False certification that one is qualified for disabled plate, placard, or identification card</v>
      </c>
      <c r="O302" s="10" t="str">
        <f t="shared" si="3"/>
        <v>Automobiles/Vehicles</v>
      </c>
      <c r="Q302" s="10" t="str">
        <f>IFERROR(__xludf.DUMMYFUNCTION("""COMPUTED_VALUE"""),"Kansas Highway Patrol")</f>
        <v>Kansas Highway Patrol</v>
      </c>
    </row>
    <row r="303">
      <c r="A303" s="7" t="s">
        <v>587</v>
      </c>
      <c r="B303" s="8" t="s">
        <v>588</v>
      </c>
      <c r="C303" s="8" t="s">
        <v>19</v>
      </c>
      <c r="D303" s="8" t="s">
        <v>19</v>
      </c>
      <c r="E303" s="8" t="s">
        <v>19</v>
      </c>
      <c r="F303" s="8" t="s">
        <v>20</v>
      </c>
      <c r="G303" s="8" t="s">
        <v>21</v>
      </c>
      <c r="H303" s="9"/>
      <c r="I303" s="9"/>
      <c r="J303" s="10">
        <f t="shared" ref="J303:M303" si="150">ifs(OR($H303="R",$I303="N"),"N/A",OR(C303="A",C303="B",C303="C",C303="U"),3,TRUE,"FLAG")</f>
        <v>3</v>
      </c>
      <c r="K303" s="10">
        <f t="shared" si="150"/>
        <v>3</v>
      </c>
      <c r="L303" s="10">
        <f t="shared" si="150"/>
        <v>3</v>
      </c>
      <c r="M303" s="10" t="str">
        <f t="shared" si="150"/>
        <v>FLAG</v>
      </c>
      <c r="N303" s="10" t="str">
        <f t="shared" si="2"/>
        <v>8-1,130(a) - Automobiles/Vehicles; False representation that one is qualified for disabled plate, placard or identification card</v>
      </c>
      <c r="O303" s="10" t="str">
        <f t="shared" si="3"/>
        <v>Automobiles/Vehicles</v>
      </c>
      <c r="Q303" s="10" t="str">
        <f>IFERROR(__xludf.DUMMYFUNCTION("""COMPUTED_VALUE"""),"Kansas Liquor Control Act")</f>
        <v>Kansas Liquor Control Act</v>
      </c>
    </row>
    <row r="304">
      <c r="A304" s="7" t="s">
        <v>589</v>
      </c>
      <c r="B304" s="8" t="s">
        <v>590</v>
      </c>
      <c r="C304" s="8" t="s">
        <v>19</v>
      </c>
      <c r="D304" s="8" t="s">
        <v>19</v>
      </c>
      <c r="E304" s="8" t="s">
        <v>19</v>
      </c>
      <c r="F304" s="8" t="s">
        <v>20</v>
      </c>
      <c r="G304" s="8" t="s">
        <v>21</v>
      </c>
      <c r="H304" s="9"/>
      <c r="I304" s="9"/>
      <c r="J304" s="10">
        <f t="shared" ref="J304:M304" si="151">ifs(OR($H304="R",$I304="N"),"N/A",OR(C304="A",C304="B",C304="C",C304="U"),3,TRUE,"FLAG")</f>
        <v>3</v>
      </c>
      <c r="K304" s="10">
        <f t="shared" si="151"/>
        <v>3</v>
      </c>
      <c r="L304" s="10">
        <f t="shared" si="151"/>
        <v>3</v>
      </c>
      <c r="M304" s="10" t="str">
        <f t="shared" si="151"/>
        <v>FLAG</v>
      </c>
      <c r="N304" s="10" t="str">
        <f t="shared" si="2"/>
        <v>8-198(h) - Automobiles/Vehicles; Knowingly make false statement concerning financial security in obtaining a permit to operate a salvage vehicle on the highways; failure to obtain permit as required by law</v>
      </c>
      <c r="O304" s="10" t="str">
        <f t="shared" si="3"/>
        <v>Automobiles/Vehicles</v>
      </c>
      <c r="Q304" s="10" t="str">
        <f>IFERROR(__xludf.DUMMYFUNCTION("""COMPUTED_VALUE"""),"Kansas Money Transmitter Act")</f>
        <v>Kansas Money Transmitter Act</v>
      </c>
    </row>
    <row r="305">
      <c r="A305" s="7" t="s">
        <v>591</v>
      </c>
      <c r="B305" s="8" t="s">
        <v>592</v>
      </c>
      <c r="C305" s="8" t="s">
        <v>18</v>
      </c>
      <c r="D305" s="8" t="s">
        <v>18</v>
      </c>
      <c r="E305" s="8" t="s">
        <v>19</v>
      </c>
      <c r="F305" s="8" t="s">
        <v>20</v>
      </c>
      <c r="G305" s="8" t="s">
        <v>21</v>
      </c>
      <c r="H305" s="9"/>
      <c r="I305" s="9"/>
      <c r="J305" s="10">
        <f t="shared" ref="J305:M305" si="152">ifs(OR($H305="R",$I305="N"),"N/A",OR(C305="A",C305="B",C305="C",C305="U"),3,TRUE,"FLAG")</f>
        <v>3</v>
      </c>
      <c r="K305" s="10">
        <f t="shared" si="152"/>
        <v>3</v>
      </c>
      <c r="L305" s="10">
        <f t="shared" si="152"/>
        <v>3</v>
      </c>
      <c r="M305" s="10" t="str">
        <f t="shared" si="152"/>
        <v>FLAG</v>
      </c>
      <c r="N305" s="10" t="str">
        <f t="shared" si="2"/>
        <v>8-142(Third) - Automobiles/Vehicles; Lend or permit use of a registration receipt, certificate of title, registration license plate or registration decal by one not so entitled</v>
      </c>
      <c r="O305" s="10" t="str">
        <f t="shared" si="3"/>
        <v>Automobiles/Vehicles</v>
      </c>
      <c r="Q305" s="10" t="str">
        <f>IFERROR(__xludf.DUMMYFUNCTION("""COMPUTED_VALUE"""),"Kansas Offender Registration Act")</f>
        <v>Kansas Offender Registration Act</v>
      </c>
    </row>
    <row r="306">
      <c r="A306" s="7" t="s">
        <v>593</v>
      </c>
      <c r="B306" s="12">
        <v>195254.0</v>
      </c>
      <c r="C306" s="8" t="s">
        <v>18</v>
      </c>
      <c r="D306" s="8" t="s">
        <v>18</v>
      </c>
      <c r="E306" s="8" t="s">
        <v>19</v>
      </c>
      <c r="F306" s="8" t="s">
        <v>20</v>
      </c>
      <c r="G306" s="8" t="s">
        <v>21</v>
      </c>
      <c r="H306" s="9"/>
      <c r="I306" s="9"/>
      <c r="J306" s="10">
        <f t="shared" ref="J306:M306" si="153">ifs(OR($H306="R",$I306="N"),"N/A",OR(C306="A",C306="B",C306="C",C306="U"),3,TRUE,"FLAG")</f>
        <v>3</v>
      </c>
      <c r="K306" s="10">
        <f t="shared" si="153"/>
        <v>3</v>
      </c>
      <c r="L306" s="10">
        <f t="shared" si="153"/>
        <v>3</v>
      </c>
      <c r="M306" s="10" t="str">
        <f t="shared" si="153"/>
        <v>FLAG</v>
      </c>
      <c r="N306" s="10" t="str">
        <f t="shared" si="2"/>
        <v>195254 - Automobiles/Vehicles; Licensure of Vehicle Sales &amp; Manufacture; selling motor vehicles without a license</v>
      </c>
      <c r="O306" s="10" t="str">
        <f t="shared" si="3"/>
        <v>Automobiles/Vehicles</v>
      </c>
      <c r="Q306" s="10" t="str">
        <f>IFERROR(__xludf.DUMMYFUNCTION("""COMPUTED_VALUE"""),"Kansas Sheep Council")</f>
        <v>Kansas Sheep Council</v>
      </c>
    </row>
    <row r="307">
      <c r="A307" s="7" t="s">
        <v>594</v>
      </c>
      <c r="B307" s="8" t="s">
        <v>595</v>
      </c>
      <c r="C307" s="8" t="s">
        <v>18</v>
      </c>
      <c r="D307" s="8" t="s">
        <v>18</v>
      </c>
      <c r="E307" s="8" t="s">
        <v>19</v>
      </c>
      <c r="F307" s="8" t="s">
        <v>20</v>
      </c>
      <c r="G307" s="8" t="s">
        <v>21</v>
      </c>
      <c r="H307" s="9"/>
      <c r="I307" s="9"/>
      <c r="J307" s="10">
        <f t="shared" ref="J307:M307" si="154">ifs(OR($H307="R",$I307="N"),"N/A",OR(C307="A",C307="B",C307="C",C307="U"),3,TRUE,"FLAG")</f>
        <v>3</v>
      </c>
      <c r="K307" s="10">
        <f t="shared" si="154"/>
        <v>3</v>
      </c>
      <c r="L307" s="10">
        <f t="shared" si="154"/>
        <v>3</v>
      </c>
      <c r="M307" s="10" t="str">
        <f t="shared" si="154"/>
        <v>FLAG</v>
      </c>
      <c r="N307" s="10" t="str">
        <f t="shared" si="2"/>
        <v>8-142(Fourteenth) - Automobiles/Vehicles; Operate more than 6,000 miles in any calendar year any truck or truck tractor registered and licensed to operate no more than 6,000 miles in such calendar year</v>
      </c>
      <c r="O307" s="10" t="str">
        <f t="shared" si="3"/>
        <v>Automobiles/Vehicles</v>
      </c>
      <c r="Q307" s="10" t="str">
        <f>IFERROR(__xludf.DUMMYFUNCTION("""COMPUTED_VALUE"""),"Kansas Uniform Securities Act")</f>
        <v>Kansas Uniform Securities Act</v>
      </c>
    </row>
    <row r="308">
      <c r="A308" s="7" t="s">
        <v>596</v>
      </c>
      <c r="B308" s="8" t="s">
        <v>597</v>
      </c>
      <c r="C308" s="8" t="s">
        <v>18</v>
      </c>
      <c r="D308" s="8" t="s">
        <v>18</v>
      </c>
      <c r="E308" s="8" t="s">
        <v>19</v>
      </c>
      <c r="F308" s="8" t="s">
        <v>20</v>
      </c>
      <c r="G308" s="8" t="s">
        <v>21</v>
      </c>
      <c r="H308" s="9"/>
      <c r="I308" s="9"/>
      <c r="J308" s="10">
        <f t="shared" ref="J308:M308" si="155">ifs(OR($H308="R",$I308="N"),"N/A",OR(C308="A",C308="B",C308="C",C308="U"),3,TRUE,"FLAG")</f>
        <v>3</v>
      </c>
      <c r="K308" s="10">
        <f t="shared" si="155"/>
        <v>3</v>
      </c>
      <c r="L308" s="10">
        <f t="shared" si="155"/>
        <v>3</v>
      </c>
      <c r="M308" s="10" t="str">
        <f t="shared" si="155"/>
        <v>FLAG</v>
      </c>
      <c r="N308" s="10" t="str">
        <f t="shared" si="2"/>
        <v>8-142(Thirteenth) - Automobiles/Vehicles; Operation of a farm trailer carrying more than 6,000 pounds without being registered and the registration fees paid</v>
      </c>
      <c r="O308" s="10" t="str">
        <f t="shared" si="3"/>
        <v>Automobiles/Vehicles</v>
      </c>
      <c r="Q308" s="10" t="str">
        <f>IFERROR(__xludf.DUMMYFUNCTION("""COMPUTED_VALUE"""),"Keg Registration Act")</f>
        <v>Keg Registration Act</v>
      </c>
    </row>
    <row r="309">
      <c r="A309" s="7" t="s">
        <v>598</v>
      </c>
      <c r="B309" s="8" t="s">
        <v>599</v>
      </c>
      <c r="C309" s="8" t="s">
        <v>18</v>
      </c>
      <c r="D309" s="8" t="s">
        <v>18</v>
      </c>
      <c r="E309" s="8" t="s">
        <v>19</v>
      </c>
      <c r="F309" s="8" t="s">
        <v>20</v>
      </c>
      <c r="G309" s="8" t="s">
        <v>21</v>
      </c>
      <c r="H309" s="9"/>
      <c r="I309" s="9"/>
      <c r="J309" s="10">
        <f t="shared" ref="J309:M309" si="156">ifs(OR($H309="R",$I309="N"),"N/A",OR(C309="A",C309="B",C309="C",C309="U"),3,TRUE,"FLAG")</f>
        <v>3</v>
      </c>
      <c r="K309" s="10">
        <f t="shared" si="156"/>
        <v>3</v>
      </c>
      <c r="L309" s="10">
        <f t="shared" si="156"/>
        <v>3</v>
      </c>
      <c r="M309" s="10" t="str">
        <f t="shared" si="156"/>
        <v>FLAG</v>
      </c>
      <c r="N309" s="10" t="str">
        <f t="shared" si="2"/>
        <v>8-142(Eighth) - Automobiles/Vehicles; Operation of a truck or truck tractor registered for a g/w &gt; 12,000 lbs. outside approved locations</v>
      </c>
      <c r="O309" s="10" t="str">
        <f t="shared" si="3"/>
        <v>Automobiles/Vehicles</v>
      </c>
      <c r="Q309" s="10" t="str">
        <f>IFERROR(__xludf.DUMMYFUNCTION("""COMPUTED_VALUE"""),"Kidnapping")</f>
        <v>Kidnapping</v>
      </c>
    </row>
    <row r="310">
      <c r="A310" s="7" t="s">
        <v>600</v>
      </c>
      <c r="B310" s="8" t="s">
        <v>601</v>
      </c>
      <c r="C310" s="8" t="s">
        <v>18</v>
      </c>
      <c r="D310" s="8" t="s">
        <v>18</v>
      </c>
      <c r="E310" s="8" t="s">
        <v>19</v>
      </c>
      <c r="F310" s="8" t="s">
        <v>20</v>
      </c>
      <c r="G310" s="8" t="s">
        <v>21</v>
      </c>
      <c r="H310" s="9"/>
      <c r="I310" s="9"/>
      <c r="J310" s="10">
        <f t="shared" ref="J310:M310" si="157">ifs(OR($H310="R",$I310="N"),"N/A",OR(C310="A",C310="B",C310="C",C310="U"),3,TRUE,"FLAG")</f>
        <v>3</v>
      </c>
      <c r="K310" s="10">
        <f t="shared" si="157"/>
        <v>3</v>
      </c>
      <c r="L310" s="10">
        <f t="shared" si="157"/>
        <v>3</v>
      </c>
      <c r="M310" s="10" t="str">
        <f t="shared" si="157"/>
        <v>FLAG</v>
      </c>
      <c r="N310" s="10" t="str">
        <f t="shared" si="2"/>
        <v>8-142(Twelfth) - Automobiles/Vehicles; Operation of a truck or truck tractor without carrying proper registration receipt  or without having marked said vehicle as required</v>
      </c>
      <c r="O310" s="10" t="str">
        <f t="shared" si="3"/>
        <v>Automobiles/Vehicles</v>
      </c>
      <c r="Q310" s="10" t="str">
        <f>IFERROR(__xludf.DUMMYFUNCTION("""COMPUTED_VALUE"""),"Labeling of Ag. Products")</f>
        <v>Labeling of Ag. Products</v>
      </c>
    </row>
    <row r="311">
      <c r="A311" s="7" t="s">
        <v>602</v>
      </c>
      <c r="B311" s="8" t="s">
        <v>603</v>
      </c>
      <c r="C311" s="8" t="s">
        <v>18</v>
      </c>
      <c r="D311" s="8" t="s">
        <v>18</v>
      </c>
      <c r="E311" s="8" t="s">
        <v>19</v>
      </c>
      <c r="F311" s="8" t="s">
        <v>20</v>
      </c>
      <c r="G311" s="8" t="s">
        <v>21</v>
      </c>
      <c r="H311" s="9"/>
      <c r="I311" s="9"/>
      <c r="J311" s="10">
        <f t="shared" ref="J311:M311" si="158">ifs(OR($H311="R",$I311="N"),"N/A",OR(C311="A",C311="B",C311="C",C311="U"),3,TRUE,"FLAG")</f>
        <v>3</v>
      </c>
      <c r="K311" s="10">
        <f t="shared" si="158"/>
        <v>3</v>
      </c>
      <c r="L311" s="10">
        <f t="shared" si="158"/>
        <v>3</v>
      </c>
      <c r="M311" s="10" t="str">
        <f t="shared" si="158"/>
        <v>FLAG</v>
      </c>
      <c r="N311" s="10" t="str">
        <f t="shared" si="2"/>
        <v>8-142(First) - Automobiles/Vehicles; Operation of a vehicle not properly registered or without certificate of title or without registration decal affixed as required</v>
      </c>
      <c r="O311" s="10" t="str">
        <f t="shared" si="3"/>
        <v>Automobiles/Vehicles</v>
      </c>
      <c r="Q311" s="10" t="str">
        <f>IFERROR(__xludf.DUMMYFUNCTION("""COMPUTED_VALUE"""),"Labor &amp; Industries")</f>
        <v>Labor &amp; Industries</v>
      </c>
    </row>
    <row r="312">
      <c r="A312" s="7" t="s">
        <v>604</v>
      </c>
      <c r="B312" s="8" t="s">
        <v>605</v>
      </c>
      <c r="C312" s="8" t="s">
        <v>18</v>
      </c>
      <c r="D312" s="8" t="s">
        <v>18</v>
      </c>
      <c r="E312" s="8" t="s">
        <v>19</v>
      </c>
      <c r="F312" s="8" t="s">
        <v>20</v>
      </c>
      <c r="G312" s="8" t="s">
        <v>21</v>
      </c>
      <c r="H312" s="9"/>
      <c r="I312" s="9"/>
      <c r="J312" s="10">
        <f t="shared" ref="J312:M312" si="159">ifs(OR($H312="R",$I312="N"),"N/A",OR(C312="A",C312="B",C312="C",C312="U"),3,TRUE,"FLAG")</f>
        <v>3</v>
      </c>
      <c r="K312" s="10">
        <f t="shared" si="159"/>
        <v>3</v>
      </c>
      <c r="L312" s="10">
        <f t="shared" si="159"/>
        <v>3</v>
      </c>
      <c r="M312" s="10" t="str">
        <f t="shared" si="159"/>
        <v>FLAG</v>
      </c>
      <c r="N312" s="10" t="str">
        <f t="shared" si="2"/>
        <v>8-142(Sixteenth) - Automobiles/Vehicles; Operation of a vehicle or combination of vehicles on the national system of interstate and defense highways with a gross weight greater than permitted by the laws of the United States Congress</v>
      </c>
      <c r="O312" s="10" t="str">
        <f t="shared" si="3"/>
        <v>Automobiles/Vehicles</v>
      </c>
      <c r="Q312" s="10" t="str">
        <f>IFERROR(__xludf.DUMMYFUNCTION("""COMPUTED_VALUE"""),"Legislative Post Audit")</f>
        <v>Legislative Post Audit</v>
      </c>
    </row>
    <row r="313">
      <c r="A313" s="7" t="s">
        <v>606</v>
      </c>
      <c r="B313" s="8" t="s">
        <v>607</v>
      </c>
      <c r="C313" s="8" t="s">
        <v>18</v>
      </c>
      <c r="D313" s="8" t="s">
        <v>18</v>
      </c>
      <c r="E313" s="8" t="s">
        <v>19</v>
      </c>
      <c r="F313" s="8" t="s">
        <v>20</v>
      </c>
      <c r="G313" s="8" t="s">
        <v>21</v>
      </c>
      <c r="H313" s="9"/>
      <c r="I313" s="9"/>
      <c r="J313" s="10">
        <f t="shared" ref="J313:M313" si="160">ifs(OR($H313="R",$I313="N"),"N/A",OR(C313="A",C313="B",C313="C",C313="U"),3,TRUE,"FLAG")</f>
        <v>3</v>
      </c>
      <c r="K313" s="10">
        <f t="shared" si="160"/>
        <v>3</v>
      </c>
      <c r="L313" s="10">
        <f t="shared" si="160"/>
        <v>3</v>
      </c>
      <c r="M313" s="10" t="str">
        <f t="shared" si="160"/>
        <v>FLAG</v>
      </c>
      <c r="N313" s="10" t="str">
        <f t="shared" si="2"/>
        <v>8-142(Seventh) - Automobiles/Vehicles; Operation of a vehicle whose weight with cargo is in excess of the gross weight for which the vehicle is registered</v>
      </c>
      <c r="O313" s="10" t="str">
        <f t="shared" si="3"/>
        <v>Automobiles/Vehicles</v>
      </c>
      <c r="Q313" s="10" t="str">
        <f>IFERROR(__xludf.DUMMYFUNCTION("""COMPUTED_VALUE"""),"Levees")</f>
        <v>Levees</v>
      </c>
    </row>
    <row r="314">
      <c r="A314" s="7" t="s">
        <v>608</v>
      </c>
      <c r="B314" s="8" t="s">
        <v>609</v>
      </c>
      <c r="C314" s="8" t="s">
        <v>18</v>
      </c>
      <c r="D314" s="8" t="s">
        <v>18</v>
      </c>
      <c r="E314" s="8" t="s">
        <v>19</v>
      </c>
      <c r="F314" s="8" t="s">
        <v>20</v>
      </c>
      <c r="G314" s="8" t="s">
        <v>21</v>
      </c>
      <c r="H314" s="9"/>
      <c r="I314" s="9"/>
      <c r="J314" s="10">
        <f t="shared" ref="J314:M314" si="161">ifs(OR($H314="R",$I314="N"),"N/A",OR(C314="A",C314="B",C314="C",C314="U"),3,TRUE,"FLAG")</f>
        <v>3</v>
      </c>
      <c r="K314" s="10">
        <f t="shared" si="161"/>
        <v>3</v>
      </c>
      <c r="L314" s="10">
        <f t="shared" si="161"/>
        <v>3</v>
      </c>
      <c r="M314" s="10" t="str">
        <f t="shared" si="161"/>
        <v>FLAG</v>
      </c>
      <c r="N314" s="10" t="str">
        <f t="shared" si="2"/>
        <v>8-142(Eleventh) - Automobiles/Vehicles; Operation of any truck or truck tractor without the current quarter of license fees being paid</v>
      </c>
      <c r="O314" s="10" t="str">
        <f t="shared" si="3"/>
        <v>Automobiles/Vehicles</v>
      </c>
      <c r="Q314" s="10" t="str">
        <f>IFERROR(__xludf.DUMMYFUNCTION("""COMPUTED_VALUE"""),"Lewd and Lascivious Behavior")</f>
        <v>Lewd and Lascivious Behavior</v>
      </c>
    </row>
    <row r="315">
      <c r="A315" s="7" t="s">
        <v>610</v>
      </c>
      <c r="B315" s="8" t="s">
        <v>611</v>
      </c>
      <c r="C315" s="8" t="s">
        <v>18</v>
      </c>
      <c r="D315" s="8" t="s">
        <v>18</v>
      </c>
      <c r="E315" s="8" t="s">
        <v>19</v>
      </c>
      <c r="F315" s="8" t="s">
        <v>20</v>
      </c>
      <c r="G315" s="8" t="s">
        <v>21</v>
      </c>
      <c r="H315" s="9"/>
      <c r="I315" s="9"/>
      <c r="J315" s="10">
        <f t="shared" ref="J315:M315" si="162">ifs(OR($H315="R",$I315="N"),"N/A",OR(C315="A",C315="B",C315="C",C315="U"),3,TRUE,"FLAG")</f>
        <v>3</v>
      </c>
      <c r="K315" s="10">
        <f t="shared" si="162"/>
        <v>3</v>
      </c>
      <c r="L315" s="10">
        <f t="shared" si="162"/>
        <v>3</v>
      </c>
      <c r="M315" s="10" t="str">
        <f t="shared" si="162"/>
        <v>FLAG</v>
      </c>
      <c r="N315" s="10" t="str">
        <f t="shared" si="2"/>
        <v>8-1,143(b) - Automobiles/Vehicles; Operation of any vehicle without registration or a hunter's permit</v>
      </c>
      <c r="O315" s="10" t="str">
        <f t="shared" si="3"/>
        <v>Automobiles/Vehicles</v>
      </c>
      <c r="Q315" s="10" t="str">
        <f>IFERROR(__xludf.DUMMYFUNCTION("""COMPUTED_VALUE"""),"Liquefied Petroleum Gas")</f>
        <v>Liquefied Petroleum Gas</v>
      </c>
    </row>
    <row r="316">
      <c r="A316" s="7" t="s">
        <v>612</v>
      </c>
      <c r="B316" s="8" t="s">
        <v>613</v>
      </c>
      <c r="C316" s="8" t="s">
        <v>18</v>
      </c>
      <c r="D316" s="8" t="s">
        <v>18</v>
      </c>
      <c r="E316" s="8" t="s">
        <v>19</v>
      </c>
      <c r="F316" s="8" t="s">
        <v>20</v>
      </c>
      <c r="G316" s="8" t="s">
        <v>21</v>
      </c>
      <c r="H316" s="9"/>
      <c r="I316" s="9"/>
      <c r="J316" s="10">
        <f t="shared" ref="J316:M316" si="163">ifs(OR($H316="R",$I316="N"),"N/A",OR(C316="A",C316="B",C316="C",C316="U"),3,TRUE,"FLAG")</f>
        <v>3</v>
      </c>
      <c r="K316" s="10">
        <f t="shared" si="163"/>
        <v>3</v>
      </c>
      <c r="L316" s="10">
        <f t="shared" si="163"/>
        <v>3</v>
      </c>
      <c r="M316" s="10" t="str">
        <f t="shared" si="163"/>
        <v>FLAG</v>
      </c>
      <c r="N316" s="10" t="str">
        <f t="shared" si="2"/>
        <v>8-135(c)(6) - Automobiles/Vehicles; Operation of vehicle required to be registered, or transferring title to any such vehicle, without a certificate of title issued as required</v>
      </c>
      <c r="O316" s="10" t="str">
        <f t="shared" si="3"/>
        <v>Automobiles/Vehicles</v>
      </c>
      <c r="Q316" s="10" t="str">
        <f>IFERROR(__xludf.DUMMYFUNCTION("""COMPUTED_VALUE"""),"Liquor Control Act")</f>
        <v>Liquor Control Act</v>
      </c>
    </row>
    <row r="317">
      <c r="A317" s="7" t="s">
        <v>614</v>
      </c>
      <c r="B317" s="8" t="s">
        <v>615</v>
      </c>
      <c r="C317" s="8" t="s">
        <v>18</v>
      </c>
      <c r="D317" s="8" t="s">
        <v>18</v>
      </c>
      <c r="E317" s="8" t="s">
        <v>19</v>
      </c>
      <c r="F317" s="8" t="s">
        <v>20</v>
      </c>
      <c r="G317" s="8" t="s">
        <v>21</v>
      </c>
      <c r="H317" s="9"/>
      <c r="I317" s="9"/>
      <c r="J317" s="10">
        <f t="shared" ref="J317:M317" si="164">ifs(OR($H317="R",$I317="N"),"N/A",OR(C317="A",C317="B",C317="C",C317="U"),3,TRUE,"FLAG")</f>
        <v>3</v>
      </c>
      <c r="K317" s="10">
        <f t="shared" si="164"/>
        <v>3</v>
      </c>
      <c r="L317" s="10">
        <f t="shared" si="164"/>
        <v>3</v>
      </c>
      <c r="M317" s="10" t="str">
        <f t="shared" si="164"/>
        <v>FLAG</v>
      </c>
      <c r="N317" s="10" t="str">
        <f t="shared" si="2"/>
        <v>8-142(Ninth) - Automobiles/Vehicles; Operation on the highways of this state a farm truck or farm trailer for purpose of transportation of other than authorized cargo</v>
      </c>
      <c r="O317" s="10" t="str">
        <f t="shared" si="3"/>
        <v>Automobiles/Vehicles</v>
      </c>
      <c r="Q317" s="10" t="str">
        <f>IFERROR(__xludf.DUMMYFUNCTION("""COMPUTED_VALUE"""),"Listing Property for Taxation")</f>
        <v>Listing Property for Taxation</v>
      </c>
    </row>
    <row r="318">
      <c r="A318" s="7" t="s">
        <v>616</v>
      </c>
      <c r="B318" s="8" t="s">
        <v>617</v>
      </c>
      <c r="C318" s="8" t="s">
        <v>18</v>
      </c>
      <c r="D318" s="8" t="s">
        <v>18</v>
      </c>
      <c r="E318" s="8" t="s">
        <v>19</v>
      </c>
      <c r="F318" s="8" t="s">
        <v>20</v>
      </c>
      <c r="G318" s="8" t="s">
        <v>21</v>
      </c>
      <c r="H318" s="9"/>
      <c r="I318" s="9"/>
      <c r="J318" s="10">
        <f t="shared" ref="J318:M318" si="165">ifs(OR($H318="R",$I318="N"),"N/A",OR(C318="A",C318="B",C318="C",C318="U"),3,TRUE,"FLAG")</f>
        <v>3</v>
      </c>
      <c r="K318" s="10">
        <f t="shared" si="165"/>
        <v>3</v>
      </c>
      <c r="L318" s="10">
        <f t="shared" si="165"/>
        <v>3</v>
      </c>
      <c r="M318" s="10" t="str">
        <f t="shared" si="165"/>
        <v>FLAG</v>
      </c>
      <c r="N318" s="10" t="str">
        <f t="shared" si="2"/>
        <v>8-1,130a(a) - Automobiles/Vehicles; Possession of accessible parking identification device which is expired or been revoked or suspended by the secretary of revenue; 1st violation</v>
      </c>
      <c r="O318" s="10" t="str">
        <f t="shared" si="3"/>
        <v>Automobiles/Vehicles</v>
      </c>
      <c r="Q318" s="10" t="str">
        <f>IFERROR(__xludf.DUMMYFUNCTION("""COMPUTED_VALUE"""),"Livestock/Domestic Animals")</f>
        <v>Livestock/Domestic Animals</v>
      </c>
    </row>
    <row r="319">
      <c r="A319" s="7" t="s">
        <v>618</v>
      </c>
      <c r="B319" s="8" t="s">
        <v>619</v>
      </c>
      <c r="C319" s="8" t="s">
        <v>18</v>
      </c>
      <c r="D319" s="8" t="s">
        <v>18</v>
      </c>
      <c r="E319" s="8" t="s">
        <v>19</v>
      </c>
      <c r="F319" s="8" t="s">
        <v>20</v>
      </c>
      <c r="G319" s="8" t="s">
        <v>21</v>
      </c>
      <c r="H319" s="9"/>
      <c r="I319" s="9"/>
      <c r="J319" s="10">
        <f t="shared" ref="J319:M319" si="166">ifs(OR($H319="R",$I319="N"),"N/A",OR(C319="A",C319="B",C319="C",C319="U"),3,TRUE,"FLAG")</f>
        <v>3</v>
      </c>
      <c r="K319" s="10">
        <f t="shared" si="166"/>
        <v>3</v>
      </c>
      <c r="L319" s="10">
        <f t="shared" si="166"/>
        <v>3</v>
      </c>
      <c r="M319" s="10" t="str">
        <f t="shared" si="166"/>
        <v>FLAG</v>
      </c>
      <c r="N319" s="10" t="str">
        <f t="shared" si="2"/>
        <v>8-142(Sixth) - Automobiles/Vehicles; Registering a vehicle in county other than the one in which the owner resides or has a bona fide place of business</v>
      </c>
      <c r="O319" s="10" t="str">
        <f t="shared" si="3"/>
        <v>Automobiles/Vehicles</v>
      </c>
      <c r="Q319" s="10" t="str">
        <f>IFERROR(__xludf.DUMMYFUNCTION("""COMPUTED_VALUE"""),"Livestock")</f>
        <v>Livestock</v>
      </c>
    </row>
    <row r="320">
      <c r="A320" s="7" t="s">
        <v>620</v>
      </c>
      <c r="B320" s="8" t="s">
        <v>621</v>
      </c>
      <c r="C320" s="8" t="s">
        <v>27</v>
      </c>
      <c r="D320" s="8" t="s">
        <v>28</v>
      </c>
      <c r="E320" s="8" t="s">
        <v>19</v>
      </c>
      <c r="F320" s="8" t="s">
        <v>20</v>
      </c>
      <c r="G320" s="8" t="s">
        <v>21</v>
      </c>
      <c r="H320" s="9"/>
      <c r="I320" s="9"/>
      <c r="J320" s="10">
        <f t="shared" ref="J320:M320" si="167">ifs(OR($H320="R",$I320="N"),"N/A",OR(C320="A",C320="B",C320="C",C320="U"),3,TRUE,"FLAG")</f>
        <v>3</v>
      </c>
      <c r="K320" s="10">
        <f t="shared" si="167"/>
        <v>3</v>
      </c>
      <c r="L320" s="10">
        <f t="shared" si="167"/>
        <v>3</v>
      </c>
      <c r="M320" s="10" t="str">
        <f t="shared" si="167"/>
        <v>FLAG</v>
      </c>
      <c r="N320" s="10" t="str">
        <f t="shared" si="2"/>
        <v>8-199a - Automobiles/Vehicles; Remove notice required to be attached to rebuilt vehicles</v>
      </c>
      <c r="O320" s="10" t="str">
        <f t="shared" si="3"/>
        <v>Automobiles/Vehicles</v>
      </c>
      <c r="Q320" s="10" t="str">
        <f>IFERROR(__xludf.DUMMYFUNCTION("""COMPUTED_VALUE"""),"Loan Brokers")</f>
        <v>Loan Brokers</v>
      </c>
    </row>
    <row r="321">
      <c r="A321" s="7" t="s">
        <v>622</v>
      </c>
      <c r="B321" s="8" t="s">
        <v>623</v>
      </c>
      <c r="C321" s="8" t="s">
        <v>18</v>
      </c>
      <c r="D321" s="8" t="s">
        <v>18</v>
      </c>
      <c r="E321" s="8" t="s">
        <v>19</v>
      </c>
      <c r="F321" s="8" t="s">
        <v>20</v>
      </c>
      <c r="G321" s="8" t="s">
        <v>21</v>
      </c>
      <c r="H321" s="9"/>
      <c r="I321" s="9"/>
      <c r="J321" s="10">
        <f t="shared" ref="J321:M321" si="168">ifs(OR($H321="R",$I321="N"),"N/A",OR(C321="A",C321="B",C321="C",C321="U"),3,TRUE,"FLAG")</f>
        <v>3</v>
      </c>
      <c r="K321" s="10">
        <f t="shared" si="168"/>
        <v>3</v>
      </c>
      <c r="L321" s="10">
        <f t="shared" si="168"/>
        <v>3</v>
      </c>
      <c r="M321" s="10" t="str">
        <f t="shared" si="168"/>
        <v>FLAG</v>
      </c>
      <c r="N321" s="10" t="str">
        <f t="shared" si="2"/>
        <v>8-113a - Automobiles/Vehicles; Reporting requirement; failure to report unclaimed vehicle as required</v>
      </c>
      <c r="O321" s="10" t="str">
        <f t="shared" si="3"/>
        <v>Automobiles/Vehicles</v>
      </c>
      <c r="Q321" s="10" t="str">
        <f>IFERROR(__xludf.DUMMYFUNCTION("""COMPUTED_VALUE"""),"Local Boards of Health")</f>
        <v>Local Boards of Health</v>
      </c>
    </row>
    <row r="322">
      <c r="A322" s="7" t="s">
        <v>624</v>
      </c>
      <c r="B322" s="8" t="s">
        <v>625</v>
      </c>
      <c r="C322" s="8" t="s">
        <v>19</v>
      </c>
      <c r="D322" s="8" t="s">
        <v>19</v>
      </c>
      <c r="E322" s="8" t="s">
        <v>19</v>
      </c>
      <c r="F322" s="8" t="s">
        <v>20</v>
      </c>
      <c r="G322" s="8" t="s">
        <v>21</v>
      </c>
      <c r="H322" s="9"/>
      <c r="I322" s="9"/>
      <c r="J322" s="10">
        <f t="shared" ref="J322:M322" si="169">ifs(OR($H322="R",$I322="N"),"N/A",OR(C322="A",C322="B",C322="C",C322="U"),3,TRUE,"FLAG")</f>
        <v>3</v>
      </c>
      <c r="K322" s="10">
        <f t="shared" si="169"/>
        <v>3</v>
      </c>
      <c r="L322" s="10">
        <f t="shared" si="169"/>
        <v>3</v>
      </c>
      <c r="M322" s="10" t="str">
        <f t="shared" si="169"/>
        <v>FLAG</v>
      </c>
      <c r="N322" s="10" t="str">
        <f t="shared" si="2"/>
        <v>8-199(a) - Automobiles/Vehicles; Sell / transfer ownership of any nonhighway vehicle or salvage vehicle without giving purchaser an assigned nonhighway certificate of title or salvage title</v>
      </c>
      <c r="O322" s="10" t="str">
        <f t="shared" si="3"/>
        <v>Automobiles/Vehicles</v>
      </c>
      <c r="Q322" s="10" t="str">
        <f>IFERROR(__xludf.DUMMYFUNCTION("""COMPUTED_VALUE"""),"Lodging Inspection Act")</f>
        <v>Lodging Inspection Act</v>
      </c>
    </row>
    <row r="323">
      <c r="A323" s="7" t="s">
        <v>626</v>
      </c>
      <c r="B323" s="8" t="s">
        <v>627</v>
      </c>
      <c r="C323" s="8" t="s">
        <v>18</v>
      </c>
      <c r="D323" s="8" t="s">
        <v>18</v>
      </c>
      <c r="E323" s="8" t="s">
        <v>19</v>
      </c>
      <c r="F323" s="8" t="s">
        <v>20</v>
      </c>
      <c r="G323" s="8" t="s">
        <v>21</v>
      </c>
      <c r="H323" s="9"/>
      <c r="I323" s="9"/>
      <c r="J323" s="10">
        <f t="shared" ref="J323:M323" si="170">ifs(OR($H323="R",$I323="N"),"N/A",OR(C323="A",C323="B",C323="C",C323="U"),3,TRUE,"FLAG")</f>
        <v>3</v>
      </c>
      <c r="K323" s="10">
        <f t="shared" si="170"/>
        <v>3</v>
      </c>
      <c r="L323" s="10">
        <f t="shared" si="170"/>
        <v>3</v>
      </c>
      <c r="M323" s="10" t="str">
        <f t="shared" si="170"/>
        <v>FLAG</v>
      </c>
      <c r="N323" s="10" t="str">
        <f t="shared" si="2"/>
        <v>8-1,129(a)(5) - Automobiles/Vehicles; Stop, stand or park a vehicle in an access aisle between or beside a designated accessible parking space</v>
      </c>
      <c r="O323" s="10" t="str">
        <f t="shared" si="3"/>
        <v>Automobiles/Vehicles</v>
      </c>
      <c r="Q323" s="10" t="str">
        <f>IFERROR(__xludf.DUMMYFUNCTION("""COMPUTED_VALUE"""),"Marriage &amp; Family Therapists Licensure Act")</f>
        <v>Marriage &amp; Family Therapists Licensure Act</v>
      </c>
    </row>
    <row r="324">
      <c r="A324" s="7" t="s">
        <v>628</v>
      </c>
      <c r="B324" s="8" t="s">
        <v>629</v>
      </c>
      <c r="C324" s="8" t="s">
        <v>18</v>
      </c>
      <c r="D324" s="8" t="s">
        <v>18</v>
      </c>
      <c r="E324" s="8" t="s">
        <v>19</v>
      </c>
      <c r="F324" s="8" t="s">
        <v>20</v>
      </c>
      <c r="G324" s="8" t="s">
        <v>21</v>
      </c>
      <c r="H324" s="9"/>
      <c r="I324" s="9"/>
      <c r="J324" s="10">
        <f t="shared" ref="J324:M324" si="171">ifs(OR($H324="R",$I324="N"),"N/A",OR(C324="A",C324="B",C324="C",C324="U"),3,TRUE,"FLAG")</f>
        <v>3</v>
      </c>
      <c r="K324" s="10">
        <f t="shared" si="171"/>
        <v>3</v>
      </c>
      <c r="L324" s="10">
        <f t="shared" si="171"/>
        <v>3</v>
      </c>
      <c r="M324" s="10" t="str">
        <f t="shared" si="171"/>
        <v>FLAG</v>
      </c>
      <c r="N324" s="10" t="str">
        <f t="shared" si="2"/>
        <v>8-1,129(a)(3) - Automobiles/Vehicles; Stop, stand or park a vehicle so that it blocks a disabled parking stall</v>
      </c>
      <c r="O324" s="10" t="str">
        <f t="shared" si="3"/>
        <v>Automobiles/Vehicles</v>
      </c>
      <c r="Q324" s="10" t="str">
        <f>IFERROR(__xludf.DUMMYFUNCTION("""COMPUTED_VALUE"""),"Marriage")</f>
        <v>Marriage</v>
      </c>
    </row>
    <row r="325">
      <c r="A325" s="7" t="s">
        <v>630</v>
      </c>
      <c r="B325" s="8" t="s">
        <v>631</v>
      </c>
      <c r="C325" s="8" t="s">
        <v>18</v>
      </c>
      <c r="D325" s="8" t="s">
        <v>18</v>
      </c>
      <c r="E325" s="8" t="s">
        <v>19</v>
      </c>
      <c r="F325" s="8" t="s">
        <v>20</v>
      </c>
      <c r="G325" s="8" t="s">
        <v>21</v>
      </c>
      <c r="H325" s="9"/>
      <c r="I325" s="9"/>
      <c r="J325" s="10">
        <f t="shared" ref="J325:M325" si="172">ifs(OR($H325="R",$I325="N"),"N/A",OR(C325="A",C325="B",C325="C",C325="U"),3,TRUE,"FLAG")</f>
        <v>3</v>
      </c>
      <c r="K325" s="10">
        <f t="shared" si="172"/>
        <v>3</v>
      </c>
      <c r="L325" s="10">
        <f t="shared" si="172"/>
        <v>3</v>
      </c>
      <c r="M325" s="10" t="str">
        <f t="shared" si="172"/>
        <v>FLAG</v>
      </c>
      <c r="N325" s="10" t="str">
        <f t="shared" si="2"/>
        <v>8-1,129(a)(4) - Automobiles/Vehicles; Stop, stand or park a vehicle so that it blocks an access aisle</v>
      </c>
      <c r="O325" s="10" t="str">
        <f t="shared" si="3"/>
        <v>Automobiles/Vehicles</v>
      </c>
      <c r="Q325" s="10" t="str">
        <f>IFERROR(__xludf.DUMMYFUNCTION("""COMPUTED_VALUE"""),"Maternity Centers &amp; Child Care Facilities")</f>
        <v>Maternity Centers &amp; Child Care Facilities</v>
      </c>
    </row>
    <row r="326">
      <c r="A326" s="7" t="s">
        <v>632</v>
      </c>
      <c r="B326" s="8" t="s">
        <v>633</v>
      </c>
      <c r="C326" s="8" t="s">
        <v>18</v>
      </c>
      <c r="D326" s="8" t="s">
        <v>18</v>
      </c>
      <c r="E326" s="8" t="s">
        <v>19</v>
      </c>
      <c r="F326" s="8" t="s">
        <v>20</v>
      </c>
      <c r="G326" s="8" t="s">
        <v>21</v>
      </c>
      <c r="H326" s="9"/>
      <c r="I326" s="9"/>
      <c r="J326" s="10">
        <f t="shared" ref="J326:M326" si="173">ifs(OR($H326="R",$I326="N"),"N/A",OR(C326="A",C326="B",C326="C",C326="U"),3,TRUE,"FLAG")</f>
        <v>3</v>
      </c>
      <c r="K326" s="10">
        <f t="shared" si="173"/>
        <v>3</v>
      </c>
      <c r="L326" s="10">
        <f t="shared" si="173"/>
        <v>3</v>
      </c>
      <c r="M326" s="10" t="str">
        <f t="shared" si="173"/>
        <v>FLAG</v>
      </c>
      <c r="N326" s="10" t="str">
        <f t="shared" si="2"/>
        <v>8-1,129(a)(2) - Automobiles/Vehicles; Stop, stand or park a vehicle so that it blocks an access entrance</v>
      </c>
      <c r="O326" s="10" t="str">
        <f t="shared" si="3"/>
        <v>Automobiles/Vehicles</v>
      </c>
      <c r="Q326" s="10" t="str">
        <f>IFERROR(__xludf.DUMMYFUNCTION("""COMPUTED_VALUE"""),"Meat &amp; Poultry Inspection Act")</f>
        <v>Meat &amp; Poultry Inspection Act</v>
      </c>
    </row>
    <row r="327">
      <c r="A327" s="7" t="s">
        <v>634</v>
      </c>
      <c r="B327" s="8" t="s">
        <v>635</v>
      </c>
      <c r="C327" s="8" t="s">
        <v>18</v>
      </c>
      <c r="D327" s="8" t="s">
        <v>18</v>
      </c>
      <c r="E327" s="8" t="s">
        <v>19</v>
      </c>
      <c r="F327" s="8" t="s">
        <v>20</v>
      </c>
      <c r="G327" s="8" t="s">
        <v>21</v>
      </c>
      <c r="H327" s="9"/>
      <c r="I327" s="9"/>
      <c r="J327" s="10">
        <f t="shared" ref="J327:M327" si="174">ifs(OR($H327="R",$I327="N"),"N/A",OR(C327="A",C327="B",C327="C",C327="U"),3,TRUE,"FLAG")</f>
        <v>3</v>
      </c>
      <c r="K327" s="10">
        <f t="shared" si="174"/>
        <v>3</v>
      </c>
      <c r="L327" s="10">
        <f t="shared" si="174"/>
        <v>3</v>
      </c>
      <c r="M327" s="10" t="str">
        <f t="shared" si="174"/>
        <v>FLAG</v>
      </c>
      <c r="N327" s="10" t="str">
        <f t="shared" si="2"/>
        <v>8-1,129(a)(1) - Automobiles/Vehicles; Stop, stand or park a vehicle, in handicap accessible parking without displaying required special license plate, permanent placard or disabled veteran license plate and an individual identification card, or a valid temporary placard</v>
      </c>
      <c r="O327" s="10" t="str">
        <f t="shared" si="3"/>
        <v>Automobiles/Vehicles</v>
      </c>
      <c r="Q327" s="10" t="str">
        <f>IFERROR(__xludf.DUMMYFUNCTION("""COMPUTED_VALUE"""),"Meat &amp; Poultry")</f>
        <v>Meat &amp; Poultry</v>
      </c>
    </row>
    <row r="328">
      <c r="A328" s="7" t="s">
        <v>636</v>
      </c>
      <c r="B328" s="8" t="s">
        <v>637</v>
      </c>
      <c r="C328" s="8" t="s">
        <v>18</v>
      </c>
      <c r="D328" s="8" t="s">
        <v>18</v>
      </c>
      <c r="E328" s="8" t="s">
        <v>19</v>
      </c>
      <c r="F328" s="8" t="s">
        <v>20</v>
      </c>
      <c r="G328" s="8" t="s">
        <v>21</v>
      </c>
      <c r="H328" s="9"/>
      <c r="I328" s="9"/>
      <c r="J328" s="10">
        <f t="shared" ref="J328:M328" si="175">ifs(OR($H328="R",$I328="N"),"N/A",OR(C328="A",C328="B",C328="C",C328="U"),3,TRUE,"FLAG")</f>
        <v>3</v>
      </c>
      <c r="K328" s="10">
        <f t="shared" si="175"/>
        <v>3</v>
      </c>
      <c r="L328" s="10">
        <f t="shared" si="175"/>
        <v>3</v>
      </c>
      <c r="M328" s="10" t="str">
        <f t="shared" si="175"/>
        <v>FLAG</v>
      </c>
      <c r="N328" s="10" t="str">
        <f t="shared" si="2"/>
        <v>8-177 - Automobiles/Vehicles; Swearing falsely to any affidavit required</v>
      </c>
      <c r="O328" s="10" t="str">
        <f t="shared" si="3"/>
        <v>Automobiles/Vehicles</v>
      </c>
      <c r="Q328" s="10" t="str">
        <f>IFERROR(__xludf.DUMMYFUNCTION("""COMPUTED_VALUE"""),"Medicaid fraud")</f>
        <v>Medicaid fraud</v>
      </c>
    </row>
    <row r="329">
      <c r="A329" s="7" t="s">
        <v>638</v>
      </c>
      <c r="B329" s="8" t="s">
        <v>639</v>
      </c>
      <c r="C329" s="8" t="s">
        <v>18</v>
      </c>
      <c r="D329" s="8" t="s">
        <v>18</v>
      </c>
      <c r="E329" s="8" t="s">
        <v>19</v>
      </c>
      <c r="F329" s="8" t="s">
        <v>20</v>
      </c>
      <c r="G329" s="8" t="s">
        <v>21</v>
      </c>
      <c r="H329" s="9"/>
      <c r="I329" s="9"/>
      <c r="J329" s="10">
        <f t="shared" ref="J329:M329" si="176">ifs(OR($H329="R",$I329="N"),"N/A",OR(C329="A",C329="B",C329="C",C329="U"),3,TRUE,"FLAG")</f>
        <v>3</v>
      </c>
      <c r="K329" s="10">
        <f t="shared" si="176"/>
        <v>3</v>
      </c>
      <c r="L329" s="10">
        <f t="shared" si="176"/>
        <v>3</v>
      </c>
      <c r="M329" s="10" t="str">
        <f t="shared" si="176"/>
        <v>FLAG</v>
      </c>
      <c r="N329" s="10" t="str">
        <f t="shared" si="2"/>
        <v>8-1,130a(b) - Automobiles/Vehicles; Unauthorized utilization of any handicapped accessible parking I.D. device, issued to another, to park in any handicapped parking space; 1st violation</v>
      </c>
      <c r="O329" s="10" t="str">
        <f t="shared" si="3"/>
        <v>Automobiles/Vehicles</v>
      </c>
      <c r="Q329" s="10" t="str">
        <f>IFERROR(__xludf.DUMMYFUNCTION("""COMPUTED_VALUE"""),"Medicaid")</f>
        <v>Medicaid</v>
      </c>
    </row>
    <row r="330">
      <c r="A330" s="7" t="s">
        <v>640</v>
      </c>
      <c r="B330" s="8" t="s">
        <v>641</v>
      </c>
      <c r="C330" s="8" t="s">
        <v>18</v>
      </c>
      <c r="D330" s="8" t="s">
        <v>18</v>
      </c>
      <c r="E330" s="8" t="s">
        <v>19</v>
      </c>
      <c r="F330" s="8" t="s">
        <v>20</v>
      </c>
      <c r="G330" s="8" t="s">
        <v>21</v>
      </c>
      <c r="H330" s="9"/>
      <c r="I330" s="9"/>
      <c r="J330" s="10">
        <f t="shared" ref="J330:M330" si="177">ifs(OR($H330="R",$I330="N"),"N/A",OR(C330="A",C330="B",C330="C",C330="U"),3,TRUE,"FLAG")</f>
        <v>3</v>
      </c>
      <c r="K330" s="10">
        <f t="shared" si="177"/>
        <v>3</v>
      </c>
      <c r="L330" s="10">
        <f t="shared" si="177"/>
        <v>3</v>
      </c>
      <c r="M330" s="10" t="str">
        <f t="shared" si="177"/>
        <v>FLAG</v>
      </c>
      <c r="N330" s="10" t="str">
        <f t="shared" si="2"/>
        <v>8-135(b) - Automobiles/Vehicles; Unlawful operation of unregistered vehicle after transfer/sale</v>
      </c>
      <c r="O330" s="10" t="str">
        <f t="shared" si="3"/>
        <v>Automobiles/Vehicles</v>
      </c>
      <c r="Q330" s="10" t="str">
        <f>IFERROR(__xludf.DUMMYFUNCTION("""COMPUTED_VALUE"""),"Mental Health Tech")</f>
        <v>Mental Health Tech</v>
      </c>
    </row>
    <row r="331">
      <c r="A331" s="7" t="s">
        <v>642</v>
      </c>
      <c r="B331" s="8" t="s">
        <v>643</v>
      </c>
      <c r="C331" s="8" t="s">
        <v>18</v>
      </c>
      <c r="D331" s="8" t="s">
        <v>18</v>
      </c>
      <c r="E331" s="8" t="s">
        <v>19</v>
      </c>
      <c r="F331" s="8" t="s">
        <v>20</v>
      </c>
      <c r="G331" s="8" t="s">
        <v>21</v>
      </c>
      <c r="H331" s="9"/>
      <c r="I331" s="9"/>
      <c r="J331" s="10">
        <f t="shared" ref="J331:M331" si="178">ifs(OR($H331="R",$I331="N"),"N/A",OR(C331="A",C331="B",C331="C",C331="U"),3,TRUE,"FLAG")</f>
        <v>3</v>
      </c>
      <c r="K331" s="10">
        <f t="shared" si="178"/>
        <v>3</v>
      </c>
      <c r="L331" s="10">
        <f t="shared" si="178"/>
        <v>3</v>
      </c>
      <c r="M331" s="10" t="str">
        <f t="shared" si="178"/>
        <v>FLAG</v>
      </c>
      <c r="N331" s="10" t="str">
        <f t="shared" si="2"/>
        <v>8-135(a) - Automobiles/Vehicles; Unlawful possession of license plate</v>
      </c>
      <c r="O331" s="10" t="str">
        <f t="shared" si="3"/>
        <v>Automobiles/Vehicles</v>
      </c>
      <c r="Q331" s="10" t="str">
        <f>IFERROR(__xludf.DUMMYFUNCTION("""COMPUTED_VALUE"""),"Mentally Ill, Incapacitated &amp; Dependent Persons")</f>
        <v>Mentally Ill, Incapacitated &amp; Dependent Persons</v>
      </c>
    </row>
    <row r="332">
      <c r="A332" s="7" t="s">
        <v>644</v>
      </c>
      <c r="B332" s="8" t="s">
        <v>603</v>
      </c>
      <c r="C332" s="8" t="s">
        <v>18</v>
      </c>
      <c r="D332" s="8" t="s">
        <v>18</v>
      </c>
      <c r="E332" s="8" t="s">
        <v>19</v>
      </c>
      <c r="F332" s="8" t="s">
        <v>20</v>
      </c>
      <c r="G332" s="8" t="s">
        <v>21</v>
      </c>
      <c r="H332" s="9"/>
      <c r="I332" s="9"/>
      <c r="J332" s="10">
        <f t="shared" ref="J332:M332" si="179">ifs(OR($H332="R",$I332="N"),"N/A",OR(C332="A",C332="B",C332="C",C332="U"),3,TRUE,"FLAG")</f>
        <v>3</v>
      </c>
      <c r="K332" s="10">
        <f t="shared" si="179"/>
        <v>3</v>
      </c>
      <c r="L332" s="10">
        <f t="shared" si="179"/>
        <v>3</v>
      </c>
      <c r="M332" s="10" t="str">
        <f t="shared" si="179"/>
        <v>FLAG</v>
      </c>
      <c r="N332" s="10" t="str">
        <f t="shared" si="2"/>
        <v>8-142(First) - Automobiles/Vehicles; Unlawfully claiming motor vehicle is exempt from registration as a self-propelled crane</v>
      </c>
      <c r="O332" s="10" t="str">
        <f t="shared" si="3"/>
        <v>Automobiles/Vehicles</v>
      </c>
      <c r="Q332" s="10" t="str">
        <f>IFERROR(__xludf.DUMMYFUNCTION("""COMPUTED_VALUE"""),"Milk, Cream &amp; Dairy Products")</f>
        <v>Milk, Cream &amp; Dairy Products</v>
      </c>
    </row>
    <row r="333">
      <c r="A333" s="7" t="s">
        <v>645</v>
      </c>
      <c r="B333" s="8" t="s">
        <v>646</v>
      </c>
      <c r="C333" s="8" t="s">
        <v>18</v>
      </c>
      <c r="D333" s="8" t="s">
        <v>18</v>
      </c>
      <c r="E333" s="8" t="s">
        <v>19</v>
      </c>
      <c r="F333" s="8" t="s">
        <v>20</v>
      </c>
      <c r="G333" s="8" t="s">
        <v>21</v>
      </c>
      <c r="H333" s="9"/>
      <c r="I333" s="9"/>
      <c r="J333" s="10">
        <f t="shared" ref="J333:M333" si="180">ifs(OR($H333="R",$I333="N"),"N/A",OR(C333="A",C333="B",C333="C",C333="U"),3,TRUE,"FLAG")</f>
        <v>3</v>
      </c>
      <c r="K333" s="10">
        <f t="shared" si="180"/>
        <v>3</v>
      </c>
      <c r="L333" s="10">
        <f t="shared" si="180"/>
        <v>3</v>
      </c>
      <c r="M333" s="10" t="str">
        <f t="shared" si="180"/>
        <v>FLAG</v>
      </c>
      <c r="N333" s="10" t="str">
        <f t="shared" si="2"/>
        <v>8-142(Fifth) - Automobiles/Vehicles; Use a false/ fictitious name or address when applying for a certificate of title, registration of a vehicle or for renewal or duplicate; knowingly making false statement to conceal a material fact or otherwise commit a fraud in an application</v>
      </c>
      <c r="O333" s="10" t="str">
        <f t="shared" si="3"/>
        <v>Automobiles/Vehicles</v>
      </c>
      <c r="Q333" s="10" t="str">
        <f>IFERROR(__xludf.DUMMYFUNCTION("""COMPUTED_VALUE"""),"Mineral Severance Tax")</f>
        <v>Mineral Severance Tax</v>
      </c>
    </row>
    <row r="334">
      <c r="A334" s="7" t="s">
        <v>647</v>
      </c>
      <c r="B334" s="8" t="s">
        <v>648</v>
      </c>
      <c r="C334" s="8">
        <v>9.0</v>
      </c>
      <c r="D334" s="8">
        <v>10.0</v>
      </c>
      <c r="E334" s="8">
        <v>10.0</v>
      </c>
      <c r="F334" s="8">
        <v>10.0</v>
      </c>
      <c r="G334" s="8" t="s">
        <v>21</v>
      </c>
      <c r="H334" s="9"/>
      <c r="I334" s="9"/>
      <c r="N334" s="10" t="str">
        <f t="shared" si="2"/>
        <v>8-1327(a)(5) - Automobiles/Vehicles; Use of False or Fictitious Name on ID Application</v>
      </c>
      <c r="O334" s="10" t="str">
        <f t="shared" si="3"/>
        <v>Automobiles/Vehicles</v>
      </c>
      <c r="Q334" s="10" t="str">
        <f>IFERROR(__xludf.DUMMYFUNCTION("""COMPUTED_VALUE"""),"Mines &amp; Mining")</f>
        <v>Mines &amp; Mining</v>
      </c>
    </row>
    <row r="335">
      <c r="A335" s="7" t="s">
        <v>649</v>
      </c>
      <c r="B335" s="8" t="s">
        <v>650</v>
      </c>
      <c r="C335" s="8">
        <v>10.0</v>
      </c>
      <c r="D335" s="8">
        <v>10.0</v>
      </c>
      <c r="E335" s="8">
        <v>10.0</v>
      </c>
      <c r="F335" s="8">
        <v>10.0</v>
      </c>
      <c r="G335" s="8" t="s">
        <v>21</v>
      </c>
      <c r="H335" s="9"/>
      <c r="I335" s="9"/>
      <c r="N335" s="10" t="str">
        <f t="shared" si="2"/>
        <v>8-113 - Automobiles/Vehicles; Various Vehicle Identification numbers; unlawful acts</v>
      </c>
      <c r="O335" s="10" t="str">
        <f t="shared" si="3"/>
        <v>Automobiles/Vehicles</v>
      </c>
      <c r="Q335" s="10" t="str">
        <f>IFERROR(__xludf.DUMMYFUNCTION("""COMPUTED_VALUE"""),"Mistreatment of a Confined Person")</f>
        <v>Mistreatment of a Confined Person</v>
      </c>
    </row>
    <row r="336">
      <c r="A336" s="7" t="s">
        <v>651</v>
      </c>
      <c r="B336" s="8" t="s">
        <v>652</v>
      </c>
      <c r="C336" s="8" t="s">
        <v>19</v>
      </c>
      <c r="D336" s="8" t="s">
        <v>19</v>
      </c>
      <c r="E336" s="8" t="s">
        <v>19</v>
      </c>
      <c r="F336" s="8" t="s">
        <v>20</v>
      </c>
      <c r="G336" s="8" t="s">
        <v>21</v>
      </c>
      <c r="H336" s="9"/>
      <c r="I336" s="9"/>
      <c r="J336" s="10">
        <f t="shared" ref="J336:M336" si="181">ifs(OR($H336="R",$I336="N"),"N/A",OR(C336="A",C336="B",C336="C",C336="U"),3,TRUE,"FLAG")</f>
        <v>3</v>
      </c>
      <c r="K336" s="10">
        <f t="shared" si="181"/>
        <v>3</v>
      </c>
      <c r="L336" s="10">
        <f t="shared" si="181"/>
        <v>3</v>
      </c>
      <c r="M336" s="10" t="str">
        <f t="shared" si="181"/>
        <v>FLAG</v>
      </c>
      <c r="N336" s="10" t="str">
        <f t="shared" si="2"/>
        <v>8-116(b) - Automobiles/Vehicles; VINs; custody of vehicle with VIN destroyed, removed, etc</v>
      </c>
      <c r="O336" s="10" t="str">
        <f t="shared" si="3"/>
        <v>Automobiles/Vehicles</v>
      </c>
      <c r="Q336" s="10" t="str">
        <f>IFERROR(__xludf.DUMMYFUNCTION("""COMPUTED_VALUE"""),"Mistreatment of an Elder Person")</f>
        <v>Mistreatment of an Elder Person</v>
      </c>
    </row>
    <row r="337">
      <c r="A337" s="7" t="s">
        <v>653</v>
      </c>
      <c r="B337" s="8" t="s">
        <v>654</v>
      </c>
      <c r="C337" s="8">
        <v>10.0</v>
      </c>
      <c r="D337" s="8">
        <v>10.0</v>
      </c>
      <c r="E337" s="8">
        <v>10.0</v>
      </c>
      <c r="F337" s="8">
        <v>10.0</v>
      </c>
      <c r="G337" s="8" t="s">
        <v>21</v>
      </c>
      <c r="H337" s="9"/>
      <c r="I337" s="9"/>
      <c r="N337" s="10" t="str">
        <f t="shared" si="2"/>
        <v>8-116(c) - Automobiles/Vehicles; VINs; destroy, alter, remove, etc. VIN</v>
      </c>
      <c r="O337" s="10" t="str">
        <f t="shared" si="3"/>
        <v>Automobiles/Vehicles</v>
      </c>
      <c r="Q337" s="10" t="str">
        <f>IFERROR(__xludf.DUMMYFUNCTION("""COMPUTED_VALUE"""),"Mistreatment of Dependent Adult")</f>
        <v>Mistreatment of Dependent Adult</v>
      </c>
    </row>
    <row r="338">
      <c r="A338" s="7" t="s">
        <v>655</v>
      </c>
      <c r="B338" s="8" t="s">
        <v>656</v>
      </c>
      <c r="C338" s="8">
        <v>10.0</v>
      </c>
      <c r="D338" s="8">
        <v>10.0</v>
      </c>
      <c r="E338" s="8">
        <v>10.0</v>
      </c>
      <c r="F338" s="8">
        <v>10.0</v>
      </c>
      <c r="G338" s="8" t="s">
        <v>21</v>
      </c>
      <c r="H338" s="9"/>
      <c r="I338" s="9"/>
      <c r="N338" s="10" t="str">
        <f t="shared" si="2"/>
        <v>8-116(a) - Automobiles/Vehicles; VINs; sale of vehicle with VIN destroyed, removed, etc</v>
      </c>
      <c r="O338" s="10" t="str">
        <f t="shared" si="3"/>
        <v>Automobiles/Vehicles</v>
      </c>
      <c r="Q338" s="10" t="str">
        <f>IFERROR(__xludf.DUMMYFUNCTION("""COMPUTED_VALUE"""),"Misuse of Public Funds")</f>
        <v>Misuse of Public Funds</v>
      </c>
    </row>
    <row r="339">
      <c r="A339" s="7" t="s">
        <v>657</v>
      </c>
      <c r="B339" s="8" t="s">
        <v>658</v>
      </c>
      <c r="C339" s="8" t="s">
        <v>18</v>
      </c>
      <c r="D339" s="8" t="s">
        <v>18</v>
      </c>
      <c r="E339" s="8" t="s">
        <v>19</v>
      </c>
      <c r="F339" s="8" t="s">
        <v>20</v>
      </c>
      <c r="G339" s="8" t="s">
        <v>21</v>
      </c>
      <c r="H339" s="9"/>
      <c r="I339" s="9"/>
      <c r="J339" s="10">
        <f t="shared" ref="J339:M339" si="182">ifs(OR($H339="R",$I339="N"),"N/A",OR(C339="A",C339="B",C339="C",C339="U"),3,TRUE,"FLAG")</f>
        <v>3</v>
      </c>
      <c r="K339" s="10">
        <f t="shared" si="182"/>
        <v>3</v>
      </c>
      <c r="L339" s="10">
        <f t="shared" si="182"/>
        <v>3</v>
      </c>
      <c r="M339" s="10" t="str">
        <f t="shared" si="182"/>
        <v>FLAG</v>
      </c>
      <c r="N339" s="10" t="str">
        <f t="shared" si="2"/>
        <v>8-161(d) - Automobiles/Vehicles; Willful and false representation of qualifications to obtain disabled veterans registration and license plates or false use of such parking privilege</v>
      </c>
      <c r="O339" s="10" t="str">
        <f t="shared" si="3"/>
        <v>Automobiles/Vehicles</v>
      </c>
      <c r="Q339" s="10" t="str">
        <f>IFERROR(__xludf.DUMMYFUNCTION("""COMPUTED_VALUE"""),"Mortgage Business Act")</f>
        <v>Mortgage Business Act</v>
      </c>
    </row>
    <row r="340">
      <c r="A340" s="7" t="s">
        <v>659</v>
      </c>
      <c r="B340" s="8" t="s">
        <v>660</v>
      </c>
      <c r="C340" s="8" t="s">
        <v>18</v>
      </c>
      <c r="D340" s="8" t="s">
        <v>18</v>
      </c>
      <c r="E340" s="8" t="s">
        <v>19</v>
      </c>
      <c r="F340" s="8" t="s">
        <v>20</v>
      </c>
      <c r="G340" s="8" t="s">
        <v>21</v>
      </c>
      <c r="H340" s="9"/>
      <c r="I340" s="9"/>
      <c r="J340" s="10">
        <f t="shared" ref="J340:M340" si="183">ifs(OR($H340="R",$I340="N"),"N/A",OR(C340="A",C340="B",C340="C",C340="U"),3,TRUE,"FLAG")</f>
        <v>3</v>
      </c>
      <c r="K340" s="10">
        <f t="shared" si="183"/>
        <v>3</v>
      </c>
      <c r="L340" s="10">
        <f t="shared" si="183"/>
        <v>3</v>
      </c>
      <c r="M340" s="10" t="str">
        <f t="shared" si="183"/>
        <v>FLAG</v>
      </c>
      <c r="N340" s="10" t="str">
        <f t="shared" si="2"/>
        <v>8-1,117 - Automobiles/Vehicles; Willful filing or knowingly presenting a fraudulent proration fleet registration application to gain refund or credit</v>
      </c>
      <c r="O340" s="10" t="str">
        <f t="shared" si="3"/>
        <v>Automobiles/Vehicles</v>
      </c>
      <c r="Q340" s="10" t="str">
        <f>IFERROR(__xludf.DUMMYFUNCTION("""COMPUTED_VALUE"""),"Motion Pictures")</f>
        <v>Motion Pictures</v>
      </c>
    </row>
    <row r="341">
      <c r="A341" s="7" t="s">
        <v>661</v>
      </c>
      <c r="B341" s="12">
        <v>39692.0</v>
      </c>
      <c r="C341" s="8" t="s">
        <v>27</v>
      </c>
      <c r="D341" s="8" t="s">
        <v>28</v>
      </c>
      <c r="E341" s="8" t="s">
        <v>19</v>
      </c>
      <c r="F341" s="8" t="s">
        <v>20</v>
      </c>
      <c r="G341" s="8" t="s">
        <v>21</v>
      </c>
      <c r="H341" s="9"/>
      <c r="I341" s="9"/>
      <c r="J341" s="10">
        <f t="shared" ref="J341:M341" si="184">ifs(OR($H341="R",$I341="N"),"N/A",OR(C341="A",C341="B",C341="C",C341="U"),3,TRUE,"FLAG")</f>
        <v>3</v>
      </c>
      <c r="K341" s="10">
        <f t="shared" si="184"/>
        <v>3</v>
      </c>
      <c r="L341" s="10">
        <f t="shared" si="184"/>
        <v>3</v>
      </c>
      <c r="M341" s="10" t="str">
        <f t="shared" si="184"/>
        <v>FLAG</v>
      </c>
      <c r="N341" s="10" t="str">
        <f t="shared" si="2"/>
        <v>39692 - Banking; Certified checks, drafts or orders in excess of amount on deposit</v>
      </c>
      <c r="O341" s="10" t="str">
        <f t="shared" si="3"/>
        <v>Banking</v>
      </c>
      <c r="Q341" s="10" t="str">
        <f>IFERROR(__xludf.DUMMYFUNCTION("""COMPUTED_VALUE"""),"Motor Carriers")</f>
        <v>Motor Carriers</v>
      </c>
    </row>
    <row r="342">
      <c r="A342" s="7" t="s">
        <v>662</v>
      </c>
      <c r="B342" s="8" t="s">
        <v>663</v>
      </c>
      <c r="C342" s="8" t="s">
        <v>18</v>
      </c>
      <c r="D342" s="8" t="s">
        <v>18</v>
      </c>
      <c r="E342" s="8" t="s">
        <v>19</v>
      </c>
      <c r="F342" s="8" t="s">
        <v>20</v>
      </c>
      <c r="G342" s="8" t="s">
        <v>21</v>
      </c>
      <c r="H342" s="9"/>
      <c r="I342" s="9"/>
      <c r="J342" s="10">
        <f t="shared" ref="J342:M342" si="185">ifs(OR($H342="R",$I342="N"),"N/A",OR(C342="A",C342="B",C342="C",C342="U"),3,TRUE,"FLAG")</f>
        <v>3</v>
      </c>
      <c r="K342" s="10">
        <f t="shared" si="185"/>
        <v>3</v>
      </c>
      <c r="L342" s="10">
        <f t="shared" si="185"/>
        <v>3</v>
      </c>
      <c r="M342" s="10" t="str">
        <f t="shared" si="185"/>
        <v>FLAG</v>
      </c>
      <c r="N342" s="10" t="str">
        <f t="shared" si="2"/>
        <v>9-1717(a) - Banking; Commissioner; prohibition of felon serving as director, officer or employee of bank</v>
      </c>
      <c r="O342" s="10" t="str">
        <f t="shared" si="3"/>
        <v>Banking</v>
      </c>
      <c r="Q342" s="10" t="str">
        <f>IFERROR(__xludf.DUMMYFUNCTION("""COMPUTED_VALUE"""),"Motorboat Exhaust Noise Emissions in Violation of Limits")</f>
        <v>Motorboat Exhaust Noise Emissions in Violation of Limits</v>
      </c>
    </row>
    <row r="343">
      <c r="A343" s="7" t="s">
        <v>664</v>
      </c>
      <c r="B343" s="8" t="s">
        <v>665</v>
      </c>
      <c r="C343" s="8" t="s">
        <v>19</v>
      </c>
      <c r="D343" s="8" t="s">
        <v>19</v>
      </c>
      <c r="E343" s="8" t="s">
        <v>19</v>
      </c>
      <c r="F343" s="8" t="s">
        <v>20</v>
      </c>
      <c r="G343" s="8" t="s">
        <v>21</v>
      </c>
      <c r="H343" s="9"/>
      <c r="I343" s="9"/>
      <c r="J343" s="10">
        <f t="shared" ref="J343:M343" si="186">ifs(OR($H343="R",$I343="N"),"N/A",OR(C343="A",C343="B",C343="C",C343="U"),3,TRUE,"FLAG")</f>
        <v>3</v>
      </c>
      <c r="K343" s="10">
        <f t="shared" si="186"/>
        <v>3</v>
      </c>
      <c r="L343" s="10">
        <f t="shared" si="186"/>
        <v>3</v>
      </c>
      <c r="M343" s="10" t="str">
        <f t="shared" si="186"/>
        <v>FLAG</v>
      </c>
      <c r="N343" s="10" t="str">
        <f t="shared" si="2"/>
        <v>9-1712(b) - Banking; Commissioner; unauthorized disclosure of confidential information</v>
      </c>
      <c r="O343" s="10" t="str">
        <f t="shared" si="3"/>
        <v>Banking</v>
      </c>
      <c r="Q343" s="10" t="str">
        <f>IFERROR(__xludf.DUMMYFUNCTION("""COMPUTED_VALUE"""),"Murder")</f>
        <v>Murder</v>
      </c>
    </row>
    <row r="344">
      <c r="A344" s="7" t="s">
        <v>666</v>
      </c>
      <c r="B344" s="8" t="s">
        <v>667</v>
      </c>
      <c r="C344" s="8">
        <v>7.0</v>
      </c>
      <c r="D344" s="8">
        <v>9.0</v>
      </c>
      <c r="E344" s="8">
        <v>9.0</v>
      </c>
      <c r="F344" s="8">
        <v>10.0</v>
      </c>
      <c r="G344" s="8" t="s">
        <v>21</v>
      </c>
      <c r="H344" s="9"/>
      <c r="I344" s="9"/>
      <c r="N344" s="10" t="str">
        <f t="shared" si="2"/>
        <v>9-2012(a) - Banking; Embezzlement with intent to injure or defraud</v>
      </c>
      <c r="O344" s="10" t="str">
        <f t="shared" si="3"/>
        <v>Banking</v>
      </c>
      <c r="Q344" s="10" t="str">
        <f>IFERROR(__xludf.DUMMYFUNCTION("""COMPUTED_VALUE"""),"Naturopathic Doctor Licensure Act")</f>
        <v>Naturopathic Doctor Licensure Act</v>
      </c>
    </row>
    <row r="345">
      <c r="A345" s="7" t="s">
        <v>668</v>
      </c>
      <c r="B345" s="12">
        <v>39326.0</v>
      </c>
      <c r="C345" s="8" t="s">
        <v>27</v>
      </c>
      <c r="D345" s="8" t="s">
        <v>28</v>
      </c>
      <c r="E345" s="8" t="s">
        <v>19</v>
      </c>
      <c r="F345" s="8" t="s">
        <v>20</v>
      </c>
      <c r="G345" s="8" t="s">
        <v>21</v>
      </c>
      <c r="H345" s="9"/>
      <c r="I345" s="9"/>
      <c r="J345" s="10">
        <f t="shared" ref="J345:M345" si="187">ifs(OR($H345="R",$I345="N"),"N/A",OR(C345="A",C345="B",C345="C",C345="U"),3,TRUE,"FLAG")</f>
        <v>3</v>
      </c>
      <c r="K345" s="10">
        <f t="shared" si="187"/>
        <v>3</v>
      </c>
      <c r="L345" s="10">
        <f t="shared" si="187"/>
        <v>3</v>
      </c>
      <c r="M345" s="10" t="str">
        <f t="shared" si="187"/>
        <v>FLAG</v>
      </c>
      <c r="N345" s="10" t="str">
        <f t="shared" si="2"/>
        <v>39326 - Banking; Failure by receiver to comply with state banking code by receiver</v>
      </c>
      <c r="O345" s="10" t="str">
        <f t="shared" si="3"/>
        <v>Banking</v>
      </c>
      <c r="Q345" s="10" t="str">
        <f>IFERROR(__xludf.DUMMYFUNCTION("""COMPUTED_VALUE"""),"New Goods Public Auction")</f>
        <v>New Goods Public Auction</v>
      </c>
    </row>
    <row r="346">
      <c r="A346" s="7" t="s">
        <v>669</v>
      </c>
      <c r="B346" s="12">
        <v>40422.0</v>
      </c>
      <c r="C346" s="8">
        <v>8.0</v>
      </c>
      <c r="D346" s="8">
        <v>10.0</v>
      </c>
      <c r="E346" s="8">
        <v>10.0</v>
      </c>
      <c r="F346" s="8">
        <v>10.0</v>
      </c>
      <c r="G346" s="8" t="s">
        <v>21</v>
      </c>
      <c r="H346" s="9"/>
      <c r="I346" s="9"/>
      <c r="N346" s="10" t="str">
        <f t="shared" si="2"/>
        <v>40422 - Banking; Insolvent bank receiving deposits</v>
      </c>
      <c r="O346" s="10" t="str">
        <f t="shared" si="3"/>
        <v>Banking</v>
      </c>
      <c r="Q346" s="10" t="str">
        <f>IFERROR(__xludf.DUMMYFUNCTION("""COMPUTED_VALUE"""),"Nonsupport of Child")</f>
        <v>Nonsupport of Child</v>
      </c>
    </row>
    <row r="347">
      <c r="A347" s="7" t="s">
        <v>670</v>
      </c>
      <c r="B347" s="12">
        <v>37500.0</v>
      </c>
      <c r="C347" s="8">
        <v>8.0</v>
      </c>
      <c r="D347" s="8">
        <v>10.0</v>
      </c>
      <c r="E347" s="8">
        <v>10.0</v>
      </c>
      <c r="F347" s="8">
        <v>10.0</v>
      </c>
      <c r="G347" s="8" t="s">
        <v>21</v>
      </c>
      <c r="H347" s="9"/>
      <c r="I347" s="9"/>
      <c r="N347" s="10" t="str">
        <f t="shared" si="2"/>
        <v>37500 - Banking; Make false report, statement or entry in the books</v>
      </c>
      <c r="O347" s="10" t="str">
        <f t="shared" si="3"/>
        <v>Banking</v>
      </c>
      <c r="Q347" s="10" t="str">
        <f>IFERROR(__xludf.DUMMYFUNCTION("""COMPUTED_VALUE"""),"Nonsupport of Spouse")</f>
        <v>Nonsupport of Spouse</v>
      </c>
    </row>
    <row r="348">
      <c r="A348" s="7" t="s">
        <v>671</v>
      </c>
      <c r="B348" s="12">
        <v>38596.0</v>
      </c>
      <c r="C348" s="8" t="s">
        <v>27</v>
      </c>
      <c r="D348" s="8" t="s">
        <v>28</v>
      </c>
      <c r="E348" s="8" t="s">
        <v>19</v>
      </c>
      <c r="F348" s="8" t="s">
        <v>20</v>
      </c>
      <c r="G348" s="8" t="s">
        <v>21</v>
      </c>
      <c r="H348" s="9"/>
      <c r="I348" s="9"/>
      <c r="J348" s="10">
        <f t="shared" ref="J348:M348" si="188">ifs(OR($H348="R",$I348="N"),"N/A",OR(C348="A",C348="B",C348="C",C348="U"),3,TRUE,"FLAG")</f>
        <v>3</v>
      </c>
      <c r="K348" s="10">
        <f t="shared" si="188"/>
        <v>3</v>
      </c>
      <c r="L348" s="10">
        <f t="shared" si="188"/>
        <v>3</v>
      </c>
      <c r="M348" s="10" t="str">
        <f t="shared" si="188"/>
        <v>FLAG</v>
      </c>
      <c r="N348" s="10" t="str">
        <f t="shared" si="2"/>
        <v>38596 - Banking; Neglect to perform any duty required; permit violation of any of the provisions of this act; make a false statement; or be guilty of any misconduct or corruption in office</v>
      </c>
      <c r="O348" s="10" t="str">
        <f t="shared" si="3"/>
        <v>Banking</v>
      </c>
      <c r="Q348" s="10" t="str">
        <f>IFERROR(__xludf.DUMMYFUNCTION("""COMPUTED_VALUE"""),"Notaries Public &amp; Commissioners")</f>
        <v>Notaries Public &amp; Commissioners</v>
      </c>
    </row>
    <row r="349">
      <c r="A349" s="7" t="s">
        <v>672</v>
      </c>
      <c r="B349" s="12">
        <v>37135.0</v>
      </c>
      <c r="C349" s="8" t="s">
        <v>27</v>
      </c>
      <c r="D349" s="8" t="s">
        <v>28</v>
      </c>
      <c r="E349" s="8" t="s">
        <v>19</v>
      </c>
      <c r="F349" s="8" t="s">
        <v>20</v>
      </c>
      <c r="G349" s="8" t="s">
        <v>21</v>
      </c>
      <c r="H349" s="9"/>
      <c r="I349" s="9"/>
      <c r="J349" s="10">
        <f t="shared" ref="J349:M349" si="189">ifs(OR($H349="R",$I349="N"),"N/A",OR(C349="A",C349="B",C349="C",C349="U"),3,TRUE,"FLAG")</f>
        <v>3</v>
      </c>
      <c r="K349" s="10">
        <f t="shared" si="189"/>
        <v>3</v>
      </c>
      <c r="L349" s="10">
        <f t="shared" si="189"/>
        <v>3</v>
      </c>
      <c r="M349" s="10" t="str">
        <f t="shared" si="189"/>
        <v>FLAG</v>
      </c>
      <c r="N349" s="10" t="str">
        <f t="shared" si="2"/>
        <v>37135 - Banking; Neglect to perform duties required or failure to conform to law</v>
      </c>
      <c r="O349" s="10" t="str">
        <f t="shared" si="3"/>
        <v>Banking</v>
      </c>
      <c r="Q349" s="10" t="str">
        <f>IFERROR(__xludf.DUMMYFUNCTION("""COMPUTED_VALUE"""),"Notary public - use of ""notario publico"" prohibited")</f>
        <v>Notary public - use of "notario publico" prohibited</v>
      </c>
    </row>
    <row r="350">
      <c r="A350" s="7" t="s">
        <v>673</v>
      </c>
      <c r="B350" s="12">
        <v>38961.0</v>
      </c>
      <c r="C350" s="8">
        <v>8.0</v>
      </c>
      <c r="D350" s="8">
        <v>10.0</v>
      </c>
      <c r="E350" s="8">
        <v>10.0</v>
      </c>
      <c r="F350" s="8">
        <v>10.0</v>
      </c>
      <c r="G350" s="8" t="s">
        <v>21</v>
      </c>
      <c r="H350" s="9"/>
      <c r="I350" s="9"/>
      <c r="N350" s="10" t="str">
        <f t="shared" si="2"/>
        <v>38961 - Banking; Receiving deposits after authority revoked</v>
      </c>
      <c r="O350" s="10" t="str">
        <f t="shared" si="3"/>
        <v>Banking</v>
      </c>
      <c r="Q350" s="10" t="str">
        <f>IFERROR(__xludf.DUMMYFUNCTION("""COMPUTED_VALUE"""),"Nuclear Energy Development &amp; Radiation Control Act")</f>
        <v>Nuclear Energy Development &amp; Radiation Control Act</v>
      </c>
    </row>
    <row r="351">
      <c r="A351" s="7" t="s">
        <v>674</v>
      </c>
      <c r="B351" s="12">
        <v>43709.0</v>
      </c>
      <c r="C351" s="8">
        <v>8.0</v>
      </c>
      <c r="D351" s="8">
        <v>10.0</v>
      </c>
      <c r="E351" s="8">
        <v>10.0</v>
      </c>
      <c r="F351" s="8">
        <v>10.0</v>
      </c>
      <c r="G351" s="8" t="s">
        <v>21</v>
      </c>
      <c r="H351" s="9"/>
      <c r="I351" s="9"/>
      <c r="N351" s="10" t="str">
        <f t="shared" si="2"/>
        <v>43709 - Banking; Unlawful to obstruct examination</v>
      </c>
      <c r="O351" s="10" t="str">
        <f t="shared" si="3"/>
        <v>Banking</v>
      </c>
      <c r="Q351" s="10" t="str">
        <f>IFERROR(__xludf.DUMMYFUNCTION("""COMPUTED_VALUE"""),"Nurse Practice Act")</f>
        <v>Nurse Practice Act</v>
      </c>
    </row>
    <row r="352">
      <c r="A352" s="7" t="s">
        <v>675</v>
      </c>
      <c r="B352" s="8" t="s">
        <v>676</v>
      </c>
      <c r="C352" s="8" t="s">
        <v>27</v>
      </c>
      <c r="D352" s="8" t="s">
        <v>28</v>
      </c>
      <c r="E352" s="8" t="s">
        <v>19</v>
      </c>
      <c r="F352" s="8" t="s">
        <v>20</v>
      </c>
      <c r="G352" s="8" t="s">
        <v>21</v>
      </c>
      <c r="H352" s="9"/>
      <c r="I352" s="9"/>
      <c r="J352" s="10">
        <f t="shared" ref="J352:M352" si="190">ifs(OR($H352="R",$I352="N"),"N/A",OR(C352="A",C352="B",C352="C",C352="U"),3,TRUE,"FLAG")</f>
        <v>3</v>
      </c>
      <c r="K352" s="10">
        <f t="shared" si="190"/>
        <v>3</v>
      </c>
      <c r="L352" s="10">
        <f t="shared" si="190"/>
        <v>3</v>
      </c>
      <c r="M352" s="10" t="str">
        <f t="shared" si="190"/>
        <v>FLAG</v>
      </c>
      <c r="N352" s="10" t="str">
        <f t="shared" si="2"/>
        <v>9-2013(a)(1) - Banking; Unlawful to offer anything of value</v>
      </c>
      <c r="O352" s="10" t="str">
        <f t="shared" si="3"/>
        <v>Banking</v>
      </c>
      <c r="Q352" s="10" t="str">
        <f>IFERROR(__xludf.DUMMYFUNCTION("""COMPUTED_VALUE"""),"Obstructing Apprehension or Prosecution")</f>
        <v>Obstructing Apprehension or Prosecution</v>
      </c>
    </row>
    <row r="353">
      <c r="A353" s="7" t="s">
        <v>677</v>
      </c>
      <c r="B353" s="8" t="s">
        <v>678</v>
      </c>
      <c r="C353" s="8" t="s">
        <v>27</v>
      </c>
      <c r="D353" s="8" t="s">
        <v>28</v>
      </c>
      <c r="E353" s="8" t="s">
        <v>19</v>
      </c>
      <c r="F353" s="8" t="s">
        <v>20</v>
      </c>
      <c r="G353" s="8" t="s">
        <v>21</v>
      </c>
      <c r="H353" s="9"/>
      <c r="I353" s="9"/>
      <c r="J353" s="10">
        <f t="shared" ref="J353:M353" si="191">ifs(OR($H353="R",$I353="N"),"N/A",OR(C353="A",C353="B",C353="C",C353="U"),3,TRUE,"FLAG")</f>
        <v>3</v>
      </c>
      <c r="K353" s="10">
        <f t="shared" si="191"/>
        <v>3</v>
      </c>
      <c r="L353" s="10">
        <f t="shared" si="191"/>
        <v>3</v>
      </c>
      <c r="M353" s="10" t="str">
        <f t="shared" si="191"/>
        <v>FLAG</v>
      </c>
      <c r="N353" s="10" t="str">
        <f t="shared" si="2"/>
        <v>9-2013(a)(2) - Banking; Unlawful to solicit anything of value</v>
      </c>
      <c r="O353" s="10" t="str">
        <f t="shared" si="3"/>
        <v>Banking</v>
      </c>
      <c r="Q353" s="10" t="str">
        <f>IFERROR(__xludf.DUMMYFUNCTION("""COMPUTED_VALUE"""),"Obstruction of a Medicaid Fraud Investigation")</f>
        <v>Obstruction of a Medicaid Fraud Investigation</v>
      </c>
    </row>
    <row r="354">
      <c r="A354" s="7" t="s">
        <v>679</v>
      </c>
      <c r="B354" s="12">
        <v>40787.0</v>
      </c>
      <c r="C354" s="8" t="s">
        <v>27</v>
      </c>
      <c r="D354" s="8" t="s">
        <v>28</v>
      </c>
      <c r="E354" s="8" t="s">
        <v>19</v>
      </c>
      <c r="F354" s="8" t="s">
        <v>20</v>
      </c>
      <c r="G354" s="8" t="s">
        <v>21</v>
      </c>
      <c r="H354" s="9"/>
      <c r="I354" s="9"/>
      <c r="J354" s="10">
        <f t="shared" ref="J354:M354" si="192">ifs(OR($H354="R",$I354="N"),"N/A",OR(C354="A",C354="B",C354="C",C354="U"),3,TRUE,"FLAG")</f>
        <v>3</v>
      </c>
      <c r="K354" s="10">
        <f t="shared" si="192"/>
        <v>3</v>
      </c>
      <c r="L354" s="10">
        <f t="shared" si="192"/>
        <v>3</v>
      </c>
      <c r="M354" s="10" t="str">
        <f t="shared" si="192"/>
        <v>FLAG</v>
      </c>
      <c r="N354" s="10" t="str">
        <f t="shared" si="2"/>
        <v>40787 - Banking; Unlawfully engaging in the banking or trust company business</v>
      </c>
      <c r="O354" s="10" t="str">
        <f t="shared" si="3"/>
        <v>Banking</v>
      </c>
      <c r="Q354" s="10" t="str">
        <f>IFERROR(__xludf.DUMMYFUNCTION("""COMPUTED_VALUE"""),"Odometers")</f>
        <v>Odometers</v>
      </c>
    </row>
    <row r="355">
      <c r="A355" s="7" t="s">
        <v>680</v>
      </c>
      <c r="B355" s="12">
        <v>42614.0</v>
      </c>
      <c r="C355" s="8" t="s">
        <v>28</v>
      </c>
      <c r="D355" s="8" t="s">
        <v>19</v>
      </c>
      <c r="E355" s="8" t="s">
        <v>19</v>
      </c>
      <c r="F355" s="8" t="s">
        <v>20</v>
      </c>
      <c r="G355" s="8" t="s">
        <v>21</v>
      </c>
      <c r="H355" s="9"/>
      <c r="I355" s="9"/>
      <c r="J355" s="10">
        <f t="shared" ref="J355:M355" si="193">ifs(OR($H355="R",$I355="N"),"N/A",OR(C355="A",C355="B",C355="C",C355="U"),3,TRUE,"FLAG")</f>
        <v>3</v>
      </c>
      <c r="K355" s="10">
        <f t="shared" si="193"/>
        <v>3</v>
      </c>
      <c r="L355" s="10">
        <f t="shared" si="193"/>
        <v>3</v>
      </c>
      <c r="M355" s="10" t="str">
        <f t="shared" si="193"/>
        <v>FLAG</v>
      </c>
      <c r="N355" s="10" t="str">
        <f t="shared" si="2"/>
        <v>42614 - Banking; Unlawfully transacting banking or trust business</v>
      </c>
      <c r="O355" s="10" t="str">
        <f t="shared" si="3"/>
        <v>Banking</v>
      </c>
      <c r="Q355" s="10" t="str">
        <f>IFERROR(__xludf.DUMMYFUNCTION("""COMPUTED_VALUE"""),"Official Misconduct")</f>
        <v>Official Misconduct</v>
      </c>
    </row>
    <row r="356">
      <c r="A356" s="7" t="s">
        <v>681</v>
      </c>
      <c r="B356" s="12">
        <v>38231.0</v>
      </c>
      <c r="C356" s="8">
        <v>7.0</v>
      </c>
      <c r="D356" s="8">
        <v>9.0</v>
      </c>
      <c r="E356" s="8">
        <v>9.0</v>
      </c>
      <c r="F356" s="8">
        <v>10.0</v>
      </c>
      <c r="G356" s="8" t="s">
        <v>21</v>
      </c>
      <c r="H356" s="9"/>
      <c r="I356" s="9"/>
      <c r="N356" s="10" t="str">
        <f t="shared" si="2"/>
        <v>38231 - Banking; Willfully swear or affirm falsely; penalty as for perjury; in a felony trial</v>
      </c>
      <c r="O356" s="10" t="str">
        <f t="shared" si="3"/>
        <v>Banking</v>
      </c>
      <c r="Q356" s="10" t="str">
        <f>IFERROR(__xludf.DUMMYFUNCTION("""COMPUTED_VALUE"""),"Oil &amp; Gas")</f>
        <v>Oil &amp; Gas</v>
      </c>
    </row>
    <row r="357">
      <c r="A357" s="7" t="s">
        <v>682</v>
      </c>
      <c r="B357" s="12">
        <v>38231.0</v>
      </c>
      <c r="C357" s="8">
        <v>9.0</v>
      </c>
      <c r="D357" s="8">
        <v>10.0</v>
      </c>
      <c r="E357" s="8">
        <v>10.0</v>
      </c>
      <c r="F357" s="8">
        <v>10.0</v>
      </c>
      <c r="G357" s="8" t="s">
        <v>21</v>
      </c>
      <c r="H357" s="9"/>
      <c r="I357" s="9"/>
      <c r="N357" s="10" t="str">
        <f t="shared" si="2"/>
        <v>38231 - Banking; Willfully swear or affirm falsely; penalty as for perjury; other than in a felony trial</v>
      </c>
      <c r="O357" s="10" t="str">
        <f t="shared" si="3"/>
        <v>Banking</v>
      </c>
      <c r="Q357" s="10" t="str">
        <f>IFERROR(__xludf.DUMMYFUNCTION("""COMPUTED_VALUE"""),"Optometry Law")</f>
        <v>Optometry Law</v>
      </c>
    </row>
    <row r="358">
      <c r="A358" s="7" t="s">
        <v>683</v>
      </c>
      <c r="B358" s="8" t="s">
        <v>684</v>
      </c>
      <c r="C358" s="8" t="s">
        <v>18</v>
      </c>
      <c r="D358" s="8" t="s">
        <v>18</v>
      </c>
      <c r="E358" s="8" t="s">
        <v>19</v>
      </c>
      <c r="F358" s="8" t="s">
        <v>20</v>
      </c>
      <c r="G358" s="8" t="s">
        <v>21</v>
      </c>
      <c r="H358" s="9"/>
      <c r="I358" s="9"/>
      <c r="J358" s="10">
        <f t="shared" ref="J358:M358" si="194">ifs(OR($H358="R",$I358="N"),"N/A",OR(C358="A",C358="B",C358="C",C358="U"),3,TRUE,"FLAG")</f>
        <v>3</v>
      </c>
      <c r="K358" s="10">
        <f t="shared" si="194"/>
        <v>3</v>
      </c>
      <c r="L358" s="10">
        <f t="shared" si="194"/>
        <v>3</v>
      </c>
      <c r="M358" s="10" t="str">
        <f t="shared" si="194"/>
        <v>FLAG</v>
      </c>
      <c r="N358" s="10" t="str">
        <f t="shared" si="2"/>
        <v>2-717 - Barberry Eradication; Penalty for violation of act, K.S.A. 2-712 to 2-716</v>
      </c>
      <c r="O358" s="10" t="str">
        <f t="shared" si="3"/>
        <v>Barberry Eradication</v>
      </c>
      <c r="Q358" s="10" t="str">
        <f>IFERROR(__xludf.DUMMYFUNCTION("""COMPUTED_VALUE"""),"Parimutuel Racing")</f>
        <v>Parimutuel Racing</v>
      </c>
    </row>
    <row r="359">
      <c r="A359" s="7" t="s">
        <v>685</v>
      </c>
      <c r="B359" s="8" t="s">
        <v>686</v>
      </c>
      <c r="C359" s="8" t="s">
        <v>18</v>
      </c>
      <c r="D359" s="8" t="s">
        <v>18</v>
      </c>
      <c r="E359" s="8" t="s">
        <v>19</v>
      </c>
      <c r="F359" s="8" t="s">
        <v>20</v>
      </c>
      <c r="G359" s="8" t="s">
        <v>21</v>
      </c>
      <c r="H359" s="9"/>
      <c r="I359" s="9"/>
      <c r="J359" s="10">
        <f t="shared" ref="J359:M359" si="195">ifs(OR($H359="R",$I359="N"),"N/A",OR(C359="A",C359="B",C359="C",C359="U"),3,TRUE,"FLAG")</f>
        <v>3</v>
      </c>
      <c r="K359" s="10">
        <f t="shared" si="195"/>
        <v>3</v>
      </c>
      <c r="L359" s="10">
        <f t="shared" si="195"/>
        <v>3</v>
      </c>
      <c r="M359" s="10" t="str">
        <f t="shared" si="195"/>
        <v>FLAG</v>
      </c>
      <c r="N359" s="10" t="str">
        <f t="shared" si="2"/>
        <v>65-1822(b) - Barbers; Obtain or attempt to obtain a license for any other than the required fee, or for any other thing of value or by fraudulent misrepresentations</v>
      </c>
      <c r="O359" s="10" t="str">
        <f t="shared" si="3"/>
        <v>Barbers</v>
      </c>
      <c r="Q359" s="10" t="str">
        <f>IFERROR(__xludf.DUMMYFUNCTION("""COMPUTED_VALUE"""),"Parks/museums/lakes/recreational grounds")</f>
        <v>Parks/museums/lakes/recreational grounds</v>
      </c>
    </row>
    <row r="360">
      <c r="A360" s="7" t="s">
        <v>687</v>
      </c>
      <c r="B360" s="8" t="s">
        <v>688</v>
      </c>
      <c r="C360" s="8" t="s">
        <v>18</v>
      </c>
      <c r="D360" s="8" t="s">
        <v>18</v>
      </c>
      <c r="E360" s="8" t="s">
        <v>19</v>
      </c>
      <c r="F360" s="8" t="s">
        <v>20</v>
      </c>
      <c r="G360" s="8" t="s">
        <v>21</v>
      </c>
      <c r="H360" s="9"/>
      <c r="I360" s="9"/>
      <c r="J360" s="10">
        <f t="shared" ref="J360:M360" si="196">ifs(OR($H360="R",$I360="N"),"N/A",OR(C360="A",C360="B",C360="C",C360="U"),3,TRUE,"FLAG")</f>
        <v>3</v>
      </c>
      <c r="K360" s="10">
        <f t="shared" si="196"/>
        <v>3</v>
      </c>
      <c r="L360" s="10">
        <f t="shared" si="196"/>
        <v>3</v>
      </c>
      <c r="M360" s="10" t="str">
        <f t="shared" si="196"/>
        <v>FLAG</v>
      </c>
      <c r="N360" s="10" t="str">
        <f t="shared" si="2"/>
        <v>65-1810(f) - Barbers; Operate a barber school or barber college without a license</v>
      </c>
      <c r="O360" s="10" t="str">
        <f t="shared" si="3"/>
        <v>Barbers</v>
      </c>
      <c r="Q360" s="10" t="str">
        <f>IFERROR(__xludf.DUMMYFUNCTION("""COMPUTED_VALUE"""),"Pawn Brokers and Precious Metal Dealers")</f>
        <v>Pawn Brokers and Precious Metal Dealers</v>
      </c>
    </row>
    <row r="361">
      <c r="A361" s="7" t="s">
        <v>689</v>
      </c>
      <c r="B361" s="8" t="s">
        <v>690</v>
      </c>
      <c r="C361" s="8" t="s">
        <v>18</v>
      </c>
      <c r="D361" s="8" t="s">
        <v>18</v>
      </c>
      <c r="E361" s="8" t="s">
        <v>19</v>
      </c>
      <c r="F361" s="8" t="s">
        <v>20</v>
      </c>
      <c r="G361" s="8" t="s">
        <v>21</v>
      </c>
      <c r="H361" s="9"/>
      <c r="I361" s="9"/>
      <c r="J361" s="10">
        <f t="shared" ref="J361:M361" si="197">ifs(OR($H361="R",$I361="N"),"N/A",OR(C361="A",C361="B",C361="C",C361="U"),3,TRUE,"FLAG")</f>
        <v>3</v>
      </c>
      <c r="K361" s="10">
        <f t="shared" si="197"/>
        <v>3</v>
      </c>
      <c r="L361" s="10">
        <f t="shared" si="197"/>
        <v>3</v>
      </c>
      <c r="M361" s="10" t="str">
        <f t="shared" si="197"/>
        <v>FLAG</v>
      </c>
      <c r="N361" s="10" t="str">
        <f t="shared" si="2"/>
        <v>65-1822(a) - Barbers; Penalty for any violation of act</v>
      </c>
      <c r="O361" s="10" t="str">
        <f t="shared" si="3"/>
        <v>Barbers</v>
      </c>
      <c r="Q361" s="10" t="str">
        <f>IFERROR(__xludf.DUMMYFUNCTION("""COMPUTED_VALUE"""),"Performance of an Unauthorized Official Act")</f>
        <v>Performance of an Unauthorized Official Act</v>
      </c>
    </row>
    <row r="362">
      <c r="A362" s="7" t="s">
        <v>691</v>
      </c>
      <c r="B362" s="8" t="s">
        <v>692</v>
      </c>
      <c r="C362" s="8" t="s">
        <v>18</v>
      </c>
      <c r="D362" s="8" t="s">
        <v>18</v>
      </c>
      <c r="E362" s="8" t="s">
        <v>19</v>
      </c>
      <c r="F362" s="8" t="s">
        <v>20</v>
      </c>
      <c r="G362" s="8" t="s">
        <v>21</v>
      </c>
      <c r="H362" s="9"/>
      <c r="I362" s="9"/>
      <c r="J362" s="10">
        <f t="shared" ref="J362:M362" si="198">ifs(OR($H362="R",$I362="N"),"N/A",OR(C362="A",C362="B",C362="C",C362="U"),3,TRUE,"FLAG")</f>
        <v>3</v>
      </c>
      <c r="K362" s="10">
        <f t="shared" si="198"/>
        <v>3</v>
      </c>
      <c r="L362" s="10">
        <f t="shared" si="198"/>
        <v>3</v>
      </c>
      <c r="M362" s="10" t="str">
        <f t="shared" si="198"/>
        <v>FLAG</v>
      </c>
      <c r="N362" s="10" t="str">
        <f t="shared" si="2"/>
        <v>65-1828(a) - Barbers; Penalty for any violation of act unless otherwise provided</v>
      </c>
      <c r="O362" s="10" t="str">
        <f t="shared" si="3"/>
        <v>Barbers</v>
      </c>
      <c r="Q362" s="10" t="str">
        <f>IFERROR(__xludf.DUMMYFUNCTION("""COMPUTED_VALUE"""),"Perjury")</f>
        <v>Perjury</v>
      </c>
    </row>
    <row r="363">
      <c r="A363" s="7" t="s">
        <v>693</v>
      </c>
      <c r="B363" s="8" t="s">
        <v>694</v>
      </c>
      <c r="C363" s="8" t="s">
        <v>18</v>
      </c>
      <c r="D363" s="8" t="s">
        <v>18</v>
      </c>
      <c r="E363" s="8" t="s">
        <v>19</v>
      </c>
      <c r="F363" s="8" t="s">
        <v>20</v>
      </c>
      <c r="G363" s="8" t="s">
        <v>21</v>
      </c>
      <c r="H363" s="9"/>
      <c r="I363" s="9"/>
      <c r="J363" s="10">
        <f t="shared" ref="J363:M363" si="199">ifs(OR($H363="R",$I363="N"),"N/A",OR(C363="A",C363="B",C363="C",C363="U"),3,TRUE,"FLAG")</f>
        <v>3</v>
      </c>
      <c r="K363" s="10">
        <f t="shared" si="199"/>
        <v>3</v>
      </c>
      <c r="L363" s="10">
        <f t="shared" si="199"/>
        <v>3</v>
      </c>
      <c r="M363" s="10" t="str">
        <f t="shared" si="199"/>
        <v>FLAG</v>
      </c>
      <c r="N363" s="10" t="str">
        <f t="shared" si="2"/>
        <v>65-1822(c) - Barbers; Practice or attempt to practice by fraudulent misrepresentations</v>
      </c>
      <c r="O363" s="10" t="str">
        <f t="shared" si="3"/>
        <v>Barbers</v>
      </c>
      <c r="Q363" s="10" t="str">
        <f>IFERROR(__xludf.DUMMYFUNCTION("""COMPUTED_VALUE"""),"Permitting False Claim")</f>
        <v>Permitting False Claim</v>
      </c>
    </row>
    <row r="364">
      <c r="A364" s="7" t="s">
        <v>695</v>
      </c>
      <c r="B364" s="8" t="s">
        <v>696</v>
      </c>
      <c r="C364" s="8" t="s">
        <v>27</v>
      </c>
      <c r="D364" s="8" t="s">
        <v>28</v>
      </c>
      <c r="E364" s="8" t="s">
        <v>19</v>
      </c>
      <c r="F364" s="8" t="s">
        <v>20</v>
      </c>
      <c r="G364" s="8" t="s">
        <v>24</v>
      </c>
      <c r="H364" s="9"/>
      <c r="I364" s="9"/>
      <c r="J364" s="10">
        <f t="shared" ref="J364:M364" si="200">ifs(OR($H364="R",$I364="N"),"N/A",OR(C364="A",C364="B",C364="C",C364="U"),3,TRUE,"FLAG")</f>
        <v>3</v>
      </c>
      <c r="K364" s="10">
        <f t="shared" si="200"/>
        <v>3</v>
      </c>
      <c r="L364" s="10">
        <f t="shared" si="200"/>
        <v>3</v>
      </c>
      <c r="M364" s="10" t="str">
        <f t="shared" si="200"/>
        <v>FLAG</v>
      </c>
      <c r="N364" s="10" t="str">
        <f t="shared" si="2"/>
        <v>21-5413(c)(1)(D) - Battery; Attorney while engaged in performance of duty</v>
      </c>
      <c r="O364" s="10" t="str">
        <f t="shared" si="3"/>
        <v>Battery</v>
      </c>
      <c r="Q364" s="10" t="str">
        <f>IFERROR(__xludf.DUMMYFUNCTION("""COMPUTED_VALUE"""),"Personal &amp; Family Protection Act")</f>
        <v>Personal &amp; Family Protection Act</v>
      </c>
    </row>
    <row r="365">
      <c r="A365" s="7" t="s">
        <v>695</v>
      </c>
      <c r="B365" s="8" t="s">
        <v>697</v>
      </c>
      <c r="C365" s="8">
        <v>7.0</v>
      </c>
      <c r="D365" s="8">
        <v>9.0</v>
      </c>
      <c r="E365" s="8">
        <v>9.0</v>
      </c>
      <c r="F365" s="8">
        <v>10.0</v>
      </c>
      <c r="G365" s="8" t="s">
        <v>24</v>
      </c>
      <c r="H365" s="9"/>
      <c r="I365" s="9"/>
      <c r="N365" s="10" t="str">
        <f t="shared" si="2"/>
        <v>21-5413(c)(2)(D) - Battery; Attorney while engaged in performance of duty</v>
      </c>
      <c r="O365" s="10" t="str">
        <f t="shared" si="3"/>
        <v>Battery</v>
      </c>
      <c r="Q365" s="10" t="str">
        <f>IFERROR(__xludf.DUMMYFUNCTION("""COMPUTED_VALUE"""),"Personal &amp; Real Property")</f>
        <v>Personal &amp; Real Property</v>
      </c>
    </row>
    <row r="366">
      <c r="A366" s="7" t="s">
        <v>698</v>
      </c>
      <c r="B366" s="8" t="s">
        <v>699</v>
      </c>
      <c r="C366" s="8">
        <v>7.0</v>
      </c>
      <c r="D366" s="8">
        <v>9.0</v>
      </c>
      <c r="E366" s="8">
        <v>9.0</v>
      </c>
      <c r="F366" s="8">
        <v>10.0</v>
      </c>
      <c r="G366" s="8" t="s">
        <v>24</v>
      </c>
      <c r="H366" s="9"/>
      <c r="I366" s="9"/>
      <c r="N366" s="10" t="str">
        <f t="shared" si="2"/>
        <v>21-5413(c)(2)(A) - Battery; Campus or university police officer; knowingly or recklessly causing bodily harm</v>
      </c>
      <c r="O366" s="10" t="str">
        <f t="shared" si="3"/>
        <v>Battery</v>
      </c>
      <c r="Q366" s="10" t="str">
        <f>IFERROR(__xludf.DUMMYFUNCTION("""COMPUTED_VALUE"""),"Pesticide Law")</f>
        <v>Pesticide Law</v>
      </c>
    </row>
    <row r="367">
      <c r="A367" s="7" t="s">
        <v>700</v>
      </c>
      <c r="B367" s="8" t="s">
        <v>701</v>
      </c>
      <c r="C367" s="8" t="s">
        <v>27</v>
      </c>
      <c r="D367" s="8" t="s">
        <v>28</v>
      </c>
      <c r="E367" s="8" t="s">
        <v>19</v>
      </c>
      <c r="F367" s="8" t="s">
        <v>20</v>
      </c>
      <c r="G367" s="8" t="s">
        <v>24</v>
      </c>
      <c r="H367" s="9"/>
      <c r="I367" s="9"/>
      <c r="J367" s="10">
        <f t="shared" ref="J367:M367" si="201">ifs(OR($H367="R",$I367="N"),"N/A",OR(C367="A",C367="B",C367="C",C367="U"),3,TRUE,"FLAG")</f>
        <v>3</v>
      </c>
      <c r="K367" s="10">
        <f t="shared" si="201"/>
        <v>3</v>
      </c>
      <c r="L367" s="10">
        <f t="shared" si="201"/>
        <v>3</v>
      </c>
      <c r="M367" s="10" t="str">
        <f t="shared" si="201"/>
        <v>FLAG</v>
      </c>
      <c r="N367" s="10" t="str">
        <f t="shared" si="2"/>
        <v>21-5413(c)(1)(A) - Battery; Campus/university police officer; Knowingly causing physical contact  in a rude, insulting or angry manner</v>
      </c>
      <c r="O367" s="10" t="str">
        <f t="shared" si="3"/>
        <v>Battery</v>
      </c>
      <c r="Q367" s="10" t="str">
        <f>IFERROR(__xludf.DUMMYFUNCTION("""COMPUTED_VALUE"""),"Pet Animal Act, Violation or failure to comply with any provision of the act or any rule and regulation")</f>
        <v>Pet Animal Act, Violation or failure to comply with any provision of the act or any rule and regulation</v>
      </c>
    </row>
    <row r="368">
      <c r="A368" s="7" t="s">
        <v>702</v>
      </c>
      <c r="B368" s="8" t="s">
        <v>703</v>
      </c>
      <c r="C368" s="8">
        <v>5.0</v>
      </c>
      <c r="D368" s="8">
        <v>7.0</v>
      </c>
      <c r="E368" s="8">
        <v>7.0</v>
      </c>
      <c r="F368" s="8">
        <v>8.0</v>
      </c>
      <c r="G368" s="8" t="s">
        <v>24</v>
      </c>
      <c r="H368" s="9"/>
      <c r="I368" s="9"/>
      <c r="N368" s="10" t="str">
        <f t="shared" si="2"/>
        <v>21-5413(c)(3)(D) - Battery; City or county correctional officer/employee by a person confined in city holding facility or county jail</v>
      </c>
      <c r="O368" s="10" t="str">
        <f t="shared" si="3"/>
        <v>Battery</v>
      </c>
      <c r="Q368" s="10" t="str">
        <f>IFERROR(__xludf.DUMMYFUNCTION("""COMPUTED_VALUE"""),"Pet Animal Act")</f>
        <v>Pet Animal Act</v>
      </c>
    </row>
    <row r="369">
      <c r="A369" s="7" t="s">
        <v>704</v>
      </c>
      <c r="B369" s="8" t="s">
        <v>705</v>
      </c>
      <c r="C369" s="8" t="s">
        <v>27</v>
      </c>
      <c r="D369" s="8" t="s">
        <v>28</v>
      </c>
      <c r="E369" s="8" t="s">
        <v>19</v>
      </c>
      <c r="F369" s="8" t="s">
        <v>20</v>
      </c>
      <c r="G369" s="8" t="s">
        <v>24</v>
      </c>
      <c r="H369" s="9"/>
      <c r="I369" s="9"/>
      <c r="J369" s="10">
        <f t="shared" ref="J369:M369" si="202">ifs(OR($H369="R",$I369="N"),"N/A",OR(C369="A",C369="B",C369="C",C369="U"),3,TRUE,"FLAG")</f>
        <v>3</v>
      </c>
      <c r="K369" s="10">
        <f t="shared" si="202"/>
        <v>3</v>
      </c>
      <c r="L369" s="10">
        <f t="shared" si="202"/>
        <v>3</v>
      </c>
      <c r="M369" s="10" t="str">
        <f t="shared" si="202"/>
        <v>FLAG</v>
      </c>
      <c r="N369" s="10" t="str">
        <f t="shared" si="2"/>
        <v>21-5413(c)(1)(E) - Battery; Community corrections or court services officer while engaged in performance of duty</v>
      </c>
      <c r="O369" s="10" t="str">
        <f t="shared" si="3"/>
        <v>Battery</v>
      </c>
      <c r="Q369" s="10" t="str">
        <f>IFERROR(__xludf.DUMMYFUNCTION("""COMPUTED_VALUE"""),"Pharmacy Act")</f>
        <v>Pharmacy Act</v>
      </c>
    </row>
    <row r="370">
      <c r="A370" s="7" t="s">
        <v>704</v>
      </c>
      <c r="B370" s="8" t="s">
        <v>706</v>
      </c>
      <c r="C370" s="8">
        <v>7.0</v>
      </c>
      <c r="D370" s="8">
        <v>9.0</v>
      </c>
      <c r="E370" s="8">
        <v>9.0</v>
      </c>
      <c r="F370" s="8">
        <v>10.0</v>
      </c>
      <c r="G370" s="8" t="s">
        <v>24</v>
      </c>
      <c r="H370" s="9"/>
      <c r="I370" s="9"/>
      <c r="N370" s="10" t="str">
        <f t="shared" si="2"/>
        <v>21-5413(c)(2)(E) - Battery; Community corrections or court services officer while engaged in performance of duty</v>
      </c>
      <c r="O370" s="10" t="str">
        <f t="shared" si="3"/>
        <v>Battery</v>
      </c>
      <c r="Q370" s="10" t="str">
        <f>IFERROR(__xludf.DUMMYFUNCTION("""COMPUTED_VALUE"""),"Pharmacy")</f>
        <v>Pharmacy</v>
      </c>
    </row>
    <row r="371">
      <c r="A371" s="7" t="s">
        <v>707</v>
      </c>
      <c r="B371" s="8" t="s">
        <v>708</v>
      </c>
      <c r="C371" s="8" t="s">
        <v>27</v>
      </c>
      <c r="D371" s="8" t="s">
        <v>28</v>
      </c>
      <c r="E371" s="8" t="s">
        <v>19</v>
      </c>
      <c r="F371" s="8" t="s">
        <v>20</v>
      </c>
      <c r="G371" s="8" t="s">
        <v>24</v>
      </c>
      <c r="H371" s="9"/>
      <c r="I371" s="9"/>
      <c r="J371" s="10">
        <f t="shared" ref="J371:M371" si="203">ifs(OR($H371="R",$I371="N"),"N/A",OR(C371="A",C371="B",C371="C",C371="U"),3,TRUE,"FLAG")</f>
        <v>3</v>
      </c>
      <c r="K371" s="10">
        <f t="shared" si="203"/>
        <v>3</v>
      </c>
      <c r="L371" s="10">
        <f t="shared" si="203"/>
        <v>3</v>
      </c>
      <c r="M371" s="10" t="str">
        <f t="shared" si="203"/>
        <v>FLAG</v>
      </c>
      <c r="N371" s="10" t="str">
        <f t="shared" si="2"/>
        <v>21-5413(c)(1)(C) - Battery; Judge while engaged in performance of duty</v>
      </c>
      <c r="O371" s="10" t="str">
        <f t="shared" si="3"/>
        <v>Battery</v>
      </c>
      <c r="Q371" s="10" t="str">
        <f>IFERROR(__xludf.DUMMYFUNCTION("""COMPUTED_VALUE"""),"Physical Therapy")</f>
        <v>Physical Therapy</v>
      </c>
    </row>
    <row r="372">
      <c r="A372" s="7" t="s">
        <v>707</v>
      </c>
      <c r="B372" s="8" t="s">
        <v>709</v>
      </c>
      <c r="C372" s="8">
        <v>7.0</v>
      </c>
      <c r="D372" s="8">
        <v>9.0</v>
      </c>
      <c r="E372" s="8">
        <v>9.0</v>
      </c>
      <c r="F372" s="8">
        <v>10.0</v>
      </c>
      <c r="G372" s="8" t="s">
        <v>24</v>
      </c>
      <c r="H372" s="9"/>
      <c r="I372" s="9"/>
      <c r="N372" s="10" t="str">
        <f t="shared" si="2"/>
        <v>21-5413(c)(2)(C) - Battery; Judge while engaged in performance of duty</v>
      </c>
      <c r="O372" s="10" t="str">
        <f t="shared" si="3"/>
        <v>Battery</v>
      </c>
      <c r="Q372" s="10" t="str">
        <f>IFERROR(__xludf.DUMMYFUNCTION("""COMPUTED_VALUE"""),"Physically Disabled Persons")</f>
        <v>Physically Disabled Persons</v>
      </c>
    </row>
    <row r="373">
      <c r="A373" s="7" t="s">
        <v>710</v>
      </c>
      <c r="B373" s="8" t="s">
        <v>711</v>
      </c>
      <c r="C373" s="8">
        <v>5.0</v>
      </c>
      <c r="D373" s="8">
        <v>7.0</v>
      </c>
      <c r="E373" s="8">
        <v>7.0</v>
      </c>
      <c r="F373" s="8">
        <v>8.0</v>
      </c>
      <c r="G373" s="8" t="s">
        <v>24</v>
      </c>
      <c r="H373" s="9"/>
      <c r="I373" s="9"/>
      <c r="N373" s="10" t="str">
        <f t="shared" si="2"/>
        <v>21-5413(c)(3)(B) - Battery; Juvenile correctional facility officer/employee by a person confined in a JCF</v>
      </c>
      <c r="O373" s="10" t="str">
        <f t="shared" si="3"/>
        <v>Battery</v>
      </c>
      <c r="Q373" s="10" t="str">
        <f>IFERROR(__xludf.DUMMYFUNCTION("""COMPUTED_VALUE"""),"Physician Assistant Licensure Act")</f>
        <v>Physician Assistant Licensure Act</v>
      </c>
    </row>
    <row r="374">
      <c r="A374" s="7" t="s">
        <v>712</v>
      </c>
      <c r="B374" s="8" t="s">
        <v>713</v>
      </c>
      <c r="C374" s="8">
        <v>5.0</v>
      </c>
      <c r="D374" s="8">
        <v>7.0</v>
      </c>
      <c r="E374" s="8">
        <v>7.0</v>
      </c>
      <c r="F374" s="8">
        <v>8.0</v>
      </c>
      <c r="G374" s="8" t="s">
        <v>24</v>
      </c>
      <c r="H374" s="9"/>
      <c r="I374" s="9"/>
      <c r="N374" s="10" t="str">
        <f t="shared" si="2"/>
        <v>21-5413(c)(3)(C) - Battery; Juvenile detention facility officer/employee by a person confined in a JDC</v>
      </c>
      <c r="O374" s="10" t="str">
        <f t="shared" si="3"/>
        <v>Battery</v>
      </c>
      <c r="Q374" s="10" t="str">
        <f>IFERROR(__xludf.DUMMYFUNCTION("""COMPUTED_VALUE"""),"Planning and Zoning")</f>
        <v>Planning and Zoning</v>
      </c>
    </row>
    <row r="375">
      <c r="A375" s="7" t="s">
        <v>714</v>
      </c>
      <c r="B375" s="8" t="s">
        <v>715</v>
      </c>
      <c r="C375" s="8" t="s">
        <v>28</v>
      </c>
      <c r="D375" s="8" t="s">
        <v>19</v>
      </c>
      <c r="E375" s="8" t="s">
        <v>19</v>
      </c>
      <c r="F375" s="8" t="s">
        <v>20</v>
      </c>
      <c r="G375" s="8" t="s">
        <v>24</v>
      </c>
      <c r="H375" s="9"/>
      <c r="I375" s="9"/>
      <c r="J375" s="10">
        <f t="shared" ref="J375:M375" si="204">ifs(OR($H375="R",$I375="N"),"N/A",OR(C375="A",C375="B",C375="C",C375="U"),3,TRUE,"FLAG")</f>
        <v>3</v>
      </c>
      <c r="K375" s="10">
        <f t="shared" si="204"/>
        <v>3</v>
      </c>
      <c r="L375" s="10">
        <f t="shared" si="204"/>
        <v>3</v>
      </c>
      <c r="M375" s="10" t="str">
        <f t="shared" si="204"/>
        <v>FLAG</v>
      </c>
      <c r="N375" s="10" t="str">
        <f t="shared" si="2"/>
        <v>21-5413(a)(2) - Battery; Knowingly causing physical contact with another person when done in a rude, insulting or angry manner</v>
      </c>
      <c r="O375" s="10" t="str">
        <f t="shared" si="3"/>
        <v>Battery</v>
      </c>
      <c r="Q375" s="10" t="str">
        <f>IFERROR(__xludf.DUMMYFUNCTION("""COMPUTED_VALUE"""),"Plant Pests")</f>
        <v>Plant Pests</v>
      </c>
    </row>
    <row r="376">
      <c r="A376" s="7" t="s">
        <v>716</v>
      </c>
      <c r="B376" s="8" t="s">
        <v>717</v>
      </c>
      <c r="C376" s="8" t="s">
        <v>28</v>
      </c>
      <c r="D376" s="8" t="s">
        <v>19</v>
      </c>
      <c r="E376" s="8" t="s">
        <v>19</v>
      </c>
      <c r="F376" s="8" t="s">
        <v>20</v>
      </c>
      <c r="G376" s="8" t="s">
        <v>24</v>
      </c>
      <c r="H376" s="9"/>
      <c r="I376" s="9"/>
      <c r="J376" s="10">
        <f t="shared" ref="J376:M376" si="205">ifs(OR($H376="R",$I376="N"),"N/A",OR(C376="A",C376="B",C376="C",C376="U"),3,TRUE,"FLAG")</f>
        <v>3</v>
      </c>
      <c r="K376" s="10">
        <f t="shared" si="205"/>
        <v>3</v>
      </c>
      <c r="L376" s="10">
        <f t="shared" si="205"/>
        <v>3</v>
      </c>
      <c r="M376" s="10" t="str">
        <f t="shared" si="205"/>
        <v>FLAG</v>
      </c>
      <c r="N376" s="10" t="str">
        <f t="shared" si="2"/>
        <v>21-5413(a)(1) - Battery; Knowingly or recklessly causing bodily harm to another person</v>
      </c>
      <c r="O376" s="10" t="str">
        <f t="shared" si="3"/>
        <v>Battery</v>
      </c>
      <c r="Q376" s="10" t="str">
        <f>IFERROR(__xludf.DUMMYFUNCTION("""COMPUTED_VALUE"""),"Podiatrist")</f>
        <v>Podiatrist</v>
      </c>
    </row>
    <row r="377">
      <c r="A377" s="7" t="s">
        <v>718</v>
      </c>
      <c r="B377" s="8" t="s">
        <v>719</v>
      </c>
      <c r="C377" s="8" t="s">
        <v>27</v>
      </c>
      <c r="D377" s="8" t="s">
        <v>28</v>
      </c>
      <c r="E377" s="8" t="s">
        <v>19</v>
      </c>
      <c r="F377" s="8" t="s">
        <v>20</v>
      </c>
      <c r="G377" s="8" t="s">
        <v>24</v>
      </c>
      <c r="H377" s="9"/>
      <c r="I377" s="9"/>
      <c r="J377" s="10">
        <f t="shared" ref="J377:M377" si="206">ifs(OR($H377="R",$I377="N"),"N/A",OR(C377="A",C377="B",C377="C",C377="U"),3,TRUE,"FLAG")</f>
        <v>3</v>
      </c>
      <c r="K377" s="10">
        <f t="shared" si="206"/>
        <v>3</v>
      </c>
      <c r="L377" s="10">
        <f t="shared" si="206"/>
        <v>3</v>
      </c>
      <c r="M377" s="10" t="str">
        <f t="shared" si="206"/>
        <v>FLAG</v>
      </c>
      <c r="N377" s="10" t="str">
        <f t="shared" si="2"/>
        <v>21-5413(c)(1)(B) - Battery; Law enforcement officer; Knowingly causing physical contact in a rude, insulting or angry manner</v>
      </c>
      <c r="O377" s="10" t="str">
        <f t="shared" si="3"/>
        <v>Battery</v>
      </c>
      <c r="Q377" s="10" t="str">
        <f>IFERROR(__xludf.DUMMYFUNCTION("""COMPUTED_VALUE"""),"Possession of Gambling Device")</f>
        <v>Possession of Gambling Device</v>
      </c>
    </row>
    <row r="378">
      <c r="A378" s="7" t="s">
        <v>720</v>
      </c>
      <c r="B378" s="8" t="s">
        <v>721</v>
      </c>
      <c r="C378" s="8">
        <v>7.0</v>
      </c>
      <c r="D378" s="8">
        <v>9.0</v>
      </c>
      <c r="E378" s="8">
        <v>9.0</v>
      </c>
      <c r="F378" s="8">
        <v>10.0</v>
      </c>
      <c r="G378" s="8" t="s">
        <v>24</v>
      </c>
      <c r="H378" s="9"/>
      <c r="I378" s="9"/>
      <c r="N378" s="10" t="str">
        <f t="shared" si="2"/>
        <v>21-5413(f) - Battery; Mental health employee</v>
      </c>
      <c r="O378" s="10" t="str">
        <f t="shared" si="3"/>
        <v>Battery</v>
      </c>
      <c r="Q378" s="10" t="str">
        <f>IFERROR(__xludf.DUMMYFUNCTION("""COMPUTED_VALUE"""),"Poultry Disease Control Act")</f>
        <v>Poultry Disease Control Act</v>
      </c>
    </row>
    <row r="379">
      <c r="A379" s="7" t="s">
        <v>722</v>
      </c>
      <c r="B379" s="8" t="s">
        <v>723</v>
      </c>
      <c r="C379" s="8" t="s">
        <v>27</v>
      </c>
      <c r="D379" s="8" t="s">
        <v>28</v>
      </c>
      <c r="E379" s="8" t="s">
        <v>19</v>
      </c>
      <c r="F379" s="8" t="s">
        <v>20</v>
      </c>
      <c r="G379" s="8" t="s">
        <v>24</v>
      </c>
      <c r="H379" s="9"/>
      <c r="I379" s="9"/>
      <c r="J379" s="10">
        <f t="shared" ref="J379:M379" si="207">ifs(OR($H379="R",$I379="N"),"N/A",OR(C379="A",C379="B",C379="C",C379="U"),3,TRUE,"FLAG")</f>
        <v>3</v>
      </c>
      <c r="K379" s="10">
        <f t="shared" si="207"/>
        <v>3</v>
      </c>
      <c r="L379" s="10">
        <f t="shared" si="207"/>
        <v>3</v>
      </c>
      <c r="M379" s="10" t="str">
        <f t="shared" si="207"/>
        <v>FLAG</v>
      </c>
      <c r="N379" s="10" t="str">
        <f t="shared" si="2"/>
        <v>21-5413(e) - Battery; School employee</v>
      </c>
      <c r="O379" s="10" t="str">
        <f t="shared" si="3"/>
        <v>Battery</v>
      </c>
      <c r="Q379" s="10" t="str">
        <f>IFERROR(__xludf.DUMMYFUNCTION("""COMPUTED_VALUE"""),"Presenting False Claim")</f>
        <v>Presenting False Claim</v>
      </c>
    </row>
    <row r="380">
      <c r="A380" s="7" t="s">
        <v>724</v>
      </c>
      <c r="B380" s="8" t="s">
        <v>725</v>
      </c>
      <c r="C380" s="8">
        <v>5.0</v>
      </c>
      <c r="D380" s="8">
        <v>7.0</v>
      </c>
      <c r="E380" s="8">
        <v>7.0</v>
      </c>
      <c r="F380" s="8">
        <v>8.0</v>
      </c>
      <c r="G380" s="8" t="s">
        <v>24</v>
      </c>
      <c r="H380" s="9"/>
      <c r="I380" s="9"/>
      <c r="N380" s="10" t="str">
        <f t="shared" si="2"/>
        <v>21-5413(c)(3)(A) - Battery; State correctional officer/employee by a person in custody of the Secretary of Corrections</v>
      </c>
      <c r="O380" s="10" t="str">
        <f t="shared" si="3"/>
        <v>Battery</v>
      </c>
      <c r="Q380" s="10" t="str">
        <f>IFERROR(__xludf.DUMMYFUNCTION("""COMPUTED_VALUE"""),"Private &amp; Out-of-State Postsecondary Educational Institution Act")</f>
        <v>Private &amp; Out-of-State Postsecondary Educational Institution Act</v>
      </c>
    </row>
    <row r="381">
      <c r="A381" s="7" t="s">
        <v>726</v>
      </c>
      <c r="B381" s="8" t="s">
        <v>727</v>
      </c>
      <c r="C381" s="8">
        <v>7.0</v>
      </c>
      <c r="D381" s="8">
        <v>9.0</v>
      </c>
      <c r="E381" s="8">
        <v>9.0</v>
      </c>
      <c r="F381" s="8">
        <v>10.0</v>
      </c>
      <c r="G381" s="8" t="s">
        <v>24</v>
      </c>
      <c r="H381" s="9"/>
      <c r="I381" s="9"/>
      <c r="N381" s="10" t="str">
        <f t="shared" si="2"/>
        <v>21-5413(c)(2)(B) - Battery; State, county or city law enforcement officer; knowingly or recklessly causing bodily harm</v>
      </c>
      <c r="O381" s="10" t="str">
        <f t="shared" si="3"/>
        <v>Battery</v>
      </c>
      <c r="Q381" s="10" t="str">
        <f>IFERROR(__xludf.DUMMYFUNCTION("""COMPUTED_VALUE"""),"Private Investigative or Security Operations")</f>
        <v>Private Investigative or Security Operations</v>
      </c>
    </row>
    <row r="382">
      <c r="A382" s="7" t="s">
        <v>728</v>
      </c>
      <c r="B382" s="8" t="s">
        <v>729</v>
      </c>
      <c r="C382" s="8">
        <v>10.0</v>
      </c>
      <c r="D382" s="8">
        <v>10.0</v>
      </c>
      <c r="E382" s="8">
        <v>10.0</v>
      </c>
      <c r="F382" s="8">
        <v>10.0</v>
      </c>
      <c r="G382" s="8" t="s">
        <v>21</v>
      </c>
      <c r="H382" s="9"/>
      <c r="I382" s="9"/>
      <c r="N382" s="10" t="str">
        <f t="shared" si="2"/>
        <v>21-5609(a)(3) - Bigamy; Cohabitation in this state after marriage in another state or country under circumstances described in subsection (a)(1) or (a)(2)</v>
      </c>
      <c r="O382" s="10" t="str">
        <f t="shared" si="3"/>
        <v>Bigamy</v>
      </c>
      <c r="Q382" s="10" t="str">
        <f>IFERROR(__xludf.DUMMYFUNCTION("""COMPUTED_VALUE"""),"Prize Fights and Wrestling Matches Prohibited")</f>
        <v>Prize Fights and Wrestling Matches Prohibited</v>
      </c>
    </row>
    <row r="383">
      <c r="A383" s="7" t="s">
        <v>730</v>
      </c>
      <c r="B383" s="8" t="s">
        <v>731</v>
      </c>
      <c r="C383" s="8">
        <v>10.0</v>
      </c>
      <c r="D383" s="8">
        <v>10.0</v>
      </c>
      <c r="E383" s="8">
        <v>10.0</v>
      </c>
      <c r="F383" s="8">
        <v>10.0</v>
      </c>
      <c r="G383" s="8" t="s">
        <v>21</v>
      </c>
      <c r="H383" s="9"/>
      <c r="I383" s="9"/>
      <c r="N383" s="10" t="str">
        <f t="shared" si="2"/>
        <v>21-5609(a)(1) - Bigamy; Marriage by a person who has another spouse living at the time of such marriage</v>
      </c>
      <c r="O383" s="10" t="str">
        <f t="shared" si="3"/>
        <v>Bigamy</v>
      </c>
      <c r="Q383" s="10" t="str">
        <f>IFERROR(__xludf.DUMMYFUNCTION("""COMPUTED_VALUE"""),"Production &amp; Conservation of Natural Gas")</f>
        <v>Production &amp; Conservation of Natural Gas</v>
      </c>
    </row>
    <row r="384">
      <c r="A384" s="7" t="s">
        <v>732</v>
      </c>
      <c r="B384" s="8" t="s">
        <v>733</v>
      </c>
      <c r="C384" s="8">
        <v>10.0</v>
      </c>
      <c r="D384" s="8">
        <v>10.0</v>
      </c>
      <c r="E384" s="8">
        <v>10.0</v>
      </c>
      <c r="F384" s="8">
        <v>10.0</v>
      </c>
      <c r="G384" s="8" t="s">
        <v>21</v>
      </c>
      <c r="H384" s="9"/>
      <c r="I384" s="9"/>
      <c r="N384" s="10" t="str">
        <f t="shared" si="2"/>
        <v>21-5609(a)(2) - Bigamy; Marriage by an unmarried person to a person known to be the spouse of another</v>
      </c>
      <c r="O384" s="10" t="str">
        <f t="shared" si="3"/>
        <v>Bigamy</v>
      </c>
      <c r="Q384" s="10" t="str">
        <f>IFERROR(__xludf.DUMMYFUNCTION("""COMPUTED_VALUE"""),"Professional Counselor")</f>
        <v>Professional Counselor</v>
      </c>
    </row>
    <row r="385">
      <c r="A385" s="7" t="s">
        <v>734</v>
      </c>
      <c r="B385" s="8" t="s">
        <v>735</v>
      </c>
      <c r="C385" s="8">
        <v>7.0</v>
      </c>
      <c r="D385" s="8">
        <v>9.0</v>
      </c>
      <c r="E385" s="8">
        <v>9.0</v>
      </c>
      <c r="F385" s="8">
        <v>10.0</v>
      </c>
      <c r="G385" s="8" t="s">
        <v>21</v>
      </c>
      <c r="H385" s="9"/>
      <c r="I385" s="9"/>
      <c r="N385" s="10" t="str">
        <f t="shared" si="2"/>
        <v>21-5428(a)(1) - Blackmail; Intentionally gain/attempt to gain anything of value or compel another to act against such person's will, by threatening to: Communicate information that would subject such person or another to public ridicule, contempt or degradation</v>
      </c>
      <c r="O385" s="10" t="str">
        <f t="shared" si="3"/>
        <v>Blackmail</v>
      </c>
      <c r="Q385" s="10" t="str">
        <f>IFERROR(__xludf.DUMMYFUNCTION("""COMPUTED_VALUE"""),"Promoting Material to Minors that is Harmful")</f>
        <v>Promoting Material to Minors that is Harmful</v>
      </c>
    </row>
    <row r="386">
      <c r="A386" s="7" t="s">
        <v>736</v>
      </c>
      <c r="B386" s="8" t="s">
        <v>737</v>
      </c>
      <c r="C386" s="8">
        <v>4.0</v>
      </c>
      <c r="D386" s="8">
        <v>6.0</v>
      </c>
      <c r="E386" s="8">
        <v>6.0</v>
      </c>
      <c r="F386" s="8">
        <v>7.0</v>
      </c>
      <c r="G386" s="8" t="s">
        <v>24</v>
      </c>
      <c r="H386" s="9"/>
      <c r="I386" s="9"/>
      <c r="N386" s="10" t="str">
        <f t="shared" si="2"/>
        <v>21-5428(a)(2) - Blackmail; Intentionally gain/attempt to gain anything of value or compel another to act against such person's will, by threatening to: Disseminate videotape, photograph, film or image obtained in violation of K.S.A. 21-6101(a)(6)</v>
      </c>
      <c r="O386" s="10" t="str">
        <f t="shared" si="3"/>
        <v>Blackmail</v>
      </c>
      <c r="Q386" s="10" t="str">
        <f>IFERROR(__xludf.DUMMYFUNCTION("""COMPUTED_VALUE"""),"Promoting Obscenity to Minors")</f>
        <v>Promoting Obscenity to Minors</v>
      </c>
    </row>
    <row r="387">
      <c r="A387" s="7" t="s">
        <v>738</v>
      </c>
      <c r="B387" s="8" t="s">
        <v>739</v>
      </c>
      <c r="C387" s="8" t="s">
        <v>19</v>
      </c>
      <c r="D387" s="8" t="s">
        <v>19</v>
      </c>
      <c r="E387" s="8" t="s">
        <v>19</v>
      </c>
      <c r="F387" s="8" t="s">
        <v>20</v>
      </c>
      <c r="G387" s="8" t="s">
        <v>21</v>
      </c>
      <c r="H387" s="9"/>
      <c r="I387" s="9"/>
      <c r="J387" s="10">
        <f t="shared" ref="J387:M387" si="208">ifs(OR($H387="R",$I387="N"),"N/A",OR(C387="A",C387="B",C387="C",C387="U"),3,TRUE,"FLAG")</f>
        <v>3</v>
      </c>
      <c r="K387" s="10">
        <f t="shared" si="208"/>
        <v>3</v>
      </c>
      <c r="L387" s="10">
        <f t="shared" si="208"/>
        <v>3</v>
      </c>
      <c r="M387" s="10" t="str">
        <f t="shared" si="208"/>
        <v>FLAG</v>
      </c>
      <c r="N387" s="10" t="str">
        <f t="shared" si="2"/>
        <v>74-5824 - Board of Examiners In Fitting &amp; Dispensing of Hearing Aids; Penalty for violation of Act - 1st offense</v>
      </c>
      <c r="O387" s="10" t="str">
        <f t="shared" si="3"/>
        <v>Board of Examiners In Fitting &amp; Dispensing of Hearing Aids</v>
      </c>
      <c r="Q387" s="10" t="str">
        <f>IFERROR(__xludf.DUMMYFUNCTION("""COMPUTED_VALUE"""),"Promoting Obscenity")</f>
        <v>Promoting Obscenity</v>
      </c>
    </row>
    <row r="388">
      <c r="A388" s="7" t="s">
        <v>740</v>
      </c>
      <c r="B388" s="8" t="s">
        <v>739</v>
      </c>
      <c r="C388" s="8" t="s">
        <v>28</v>
      </c>
      <c r="D388" s="8" t="s">
        <v>19</v>
      </c>
      <c r="E388" s="8" t="s">
        <v>19</v>
      </c>
      <c r="F388" s="8" t="s">
        <v>20</v>
      </c>
      <c r="G388" s="8" t="s">
        <v>21</v>
      </c>
      <c r="H388" s="9"/>
      <c r="I388" s="9"/>
      <c r="J388" s="10">
        <f t="shared" ref="J388:M388" si="209">ifs(OR($H388="R",$I388="N"),"N/A",OR(C388="A",C388="B",C388="C",C388="U"),3,TRUE,"FLAG")</f>
        <v>3</v>
      </c>
      <c r="K388" s="10">
        <f t="shared" si="209"/>
        <v>3</v>
      </c>
      <c r="L388" s="10">
        <f t="shared" si="209"/>
        <v>3</v>
      </c>
      <c r="M388" s="10" t="str">
        <f t="shared" si="209"/>
        <v>FLAG</v>
      </c>
      <c r="N388" s="10" t="str">
        <f t="shared" si="2"/>
        <v>74-5824 - Board of Examiners In Fitting &amp; Dispensing of Hearing Aids; Penalty for violation of Act - 2nd or subs. offense</v>
      </c>
      <c r="O388" s="10" t="str">
        <f t="shared" si="3"/>
        <v>Board of Examiners In Fitting &amp; Dispensing of Hearing Aids</v>
      </c>
      <c r="Q388" s="10" t="str">
        <f>IFERROR(__xludf.DUMMYFUNCTION("""COMPUTED_VALUE"""),"Promoting the Sale of Sexual Relations")</f>
        <v>Promoting the Sale of Sexual Relations</v>
      </c>
    </row>
    <row r="389">
      <c r="A389" s="7" t="s">
        <v>741</v>
      </c>
      <c r="B389" s="8" t="s">
        <v>742</v>
      </c>
      <c r="C389" s="8" t="s">
        <v>19</v>
      </c>
      <c r="D389" s="8" t="s">
        <v>19</v>
      </c>
      <c r="E389" s="8" t="s">
        <v>19</v>
      </c>
      <c r="F389" s="8" t="s">
        <v>20</v>
      </c>
      <c r="G389" s="8" t="s">
        <v>21</v>
      </c>
      <c r="H389" s="9"/>
      <c r="I389" s="9"/>
      <c r="J389" s="10">
        <f t="shared" ref="J389:M389" si="210">ifs(OR($H389="R",$I389="N"),"N/A",OR(C389="A",C389="B",C389="C",C389="U"),3,TRUE,"FLAG")</f>
        <v>3</v>
      </c>
      <c r="K389" s="10">
        <f t="shared" si="210"/>
        <v>3</v>
      </c>
      <c r="L389" s="10">
        <f t="shared" si="210"/>
        <v>3</v>
      </c>
      <c r="M389" s="10" t="str">
        <f t="shared" si="210"/>
        <v>FLAG</v>
      </c>
      <c r="N389" s="10" t="str">
        <f t="shared" si="2"/>
        <v>32-1155 - Boating; Applications for license of vessels to indicate presence of marine toilets</v>
      </c>
      <c r="O389" s="10" t="str">
        <f t="shared" si="3"/>
        <v>Boating</v>
      </c>
      <c r="Q389" s="10" t="str">
        <f>IFERROR(__xludf.DUMMYFUNCTION("""COMPUTED_VALUE"""),"Protection Orders")</f>
        <v>Protection Orders</v>
      </c>
    </row>
    <row r="390">
      <c r="A390" s="7" t="s">
        <v>743</v>
      </c>
      <c r="B390" s="8" t="s">
        <v>744</v>
      </c>
      <c r="C390" s="8" t="s">
        <v>19</v>
      </c>
      <c r="D390" s="8" t="s">
        <v>19</v>
      </c>
      <c r="E390" s="8" t="s">
        <v>19</v>
      </c>
      <c r="F390" s="8" t="s">
        <v>20</v>
      </c>
      <c r="G390" s="8" t="s">
        <v>21</v>
      </c>
      <c r="H390" s="9"/>
      <c r="I390" s="9"/>
      <c r="J390" s="10">
        <f t="shared" ref="J390:M390" si="211">ifs(OR($H390="R",$I390="N"),"N/A",OR(C390="A",C390="B",C390="C",C390="U"),3,TRUE,"FLAG")</f>
        <v>3</v>
      </c>
      <c r="K390" s="10">
        <f t="shared" si="211"/>
        <v>3</v>
      </c>
      <c r="L390" s="10">
        <f t="shared" si="211"/>
        <v>3</v>
      </c>
      <c r="M390" s="10" t="str">
        <f t="shared" si="211"/>
        <v>FLAG</v>
      </c>
      <c r="N390" s="10" t="str">
        <f t="shared" si="2"/>
        <v>32-1129(a) - Boating; Boating without required lifesaving devices</v>
      </c>
      <c r="O390" s="10" t="str">
        <f t="shared" si="3"/>
        <v>Boating</v>
      </c>
      <c r="Q390" s="10" t="str">
        <f>IFERROR(__xludf.DUMMYFUNCTION("""COMPUTED_VALUE"""),"Psychologists")</f>
        <v>Psychologists</v>
      </c>
    </row>
    <row r="391">
      <c r="A391" s="7" t="s">
        <v>745</v>
      </c>
      <c r="B391" s="8" t="s">
        <v>746</v>
      </c>
      <c r="C391" s="8" t="s">
        <v>19</v>
      </c>
      <c r="D391" s="8" t="s">
        <v>19</v>
      </c>
      <c r="E391" s="8" t="s">
        <v>19</v>
      </c>
      <c r="F391" s="8" t="s">
        <v>20</v>
      </c>
      <c r="G391" s="8" t="s">
        <v>21</v>
      </c>
      <c r="H391" s="9"/>
      <c r="I391" s="9"/>
      <c r="J391" s="10">
        <f t="shared" ref="J391:M391" si="212">ifs(OR($H391="R",$I391="N"),"N/A",OR(C391="A",C391="B",C391="C",C391="U"),3,TRUE,"FLAG")</f>
        <v>3</v>
      </c>
      <c r="K391" s="10">
        <f t="shared" si="212"/>
        <v>3</v>
      </c>
      <c r="L391" s="10">
        <f t="shared" si="212"/>
        <v>3</v>
      </c>
      <c r="M391" s="10" t="str">
        <f t="shared" si="212"/>
        <v>FLAG</v>
      </c>
      <c r="N391" s="10" t="str">
        <f t="shared" si="2"/>
        <v>32-1119(e) - Boating; Every motorboat of class 2 or 3 shall be provided with an efficient bell</v>
      </c>
      <c r="O391" s="10" t="str">
        <f t="shared" si="3"/>
        <v>Boating</v>
      </c>
      <c r="Q391" s="10" t="str">
        <f>IFERROR(__xludf.DUMMYFUNCTION("""COMPUTED_VALUE"""),"Public Employees Retirement Systems")</f>
        <v>Public Employees Retirement Systems</v>
      </c>
    </row>
    <row r="392">
      <c r="A392" s="7" t="s">
        <v>747</v>
      </c>
      <c r="B392" s="8" t="s">
        <v>748</v>
      </c>
      <c r="C392" s="8" t="s">
        <v>19</v>
      </c>
      <c r="D392" s="8" t="s">
        <v>19</v>
      </c>
      <c r="E392" s="8" t="s">
        <v>19</v>
      </c>
      <c r="F392" s="8" t="s">
        <v>20</v>
      </c>
      <c r="G392" s="8" t="s">
        <v>21</v>
      </c>
      <c r="H392" s="9"/>
      <c r="I392" s="9"/>
      <c r="J392" s="10">
        <f t="shared" ref="J392:M392" si="213">ifs(OR($H392="R",$I392="N"),"N/A",OR(C392="A",C392="B",C392="C",C392="U"),3,TRUE,"FLAG")</f>
        <v>3</v>
      </c>
      <c r="K392" s="10">
        <f t="shared" si="213"/>
        <v>3</v>
      </c>
      <c r="L392" s="10">
        <f t="shared" si="213"/>
        <v>3</v>
      </c>
      <c r="M392" s="10" t="str">
        <f t="shared" si="213"/>
        <v>FLAG</v>
      </c>
      <c r="N392" s="10" t="str">
        <f t="shared" si="2"/>
        <v>32-1119(i) - Boating; Fail to have the carburetor or carburetors of engine using gasoline as fuel, equipped with coast guard approved flame arrester, backfire trap or other similar device, unless exempt</v>
      </c>
      <c r="O392" s="10" t="str">
        <f t="shared" si="3"/>
        <v>Boating</v>
      </c>
      <c r="Q392" s="10" t="str">
        <f>IFERROR(__xludf.DUMMYFUNCTION("""COMPUTED_VALUE"""),"Public Health")</f>
        <v>Public Health</v>
      </c>
    </row>
    <row r="393">
      <c r="A393" s="7" t="s">
        <v>749</v>
      </c>
      <c r="B393" s="8" t="s">
        <v>750</v>
      </c>
      <c r="C393" s="8" t="s">
        <v>19</v>
      </c>
      <c r="D393" s="8" t="s">
        <v>19</v>
      </c>
      <c r="E393" s="8" t="s">
        <v>19</v>
      </c>
      <c r="F393" s="8" t="s">
        <v>20</v>
      </c>
      <c r="G393" s="8" t="s">
        <v>21</v>
      </c>
      <c r="H393" s="9"/>
      <c r="I393" s="9"/>
      <c r="J393" s="10">
        <f t="shared" ref="J393:M393" si="214">ifs(OR($H393="R",$I393="N"),"N/A",OR(C393="A",C393="B",C393="C",C393="U"),3,TRUE,"FLAG")</f>
        <v>3</v>
      </c>
      <c r="K393" s="10">
        <f t="shared" si="214"/>
        <v>3</v>
      </c>
      <c r="L393" s="10">
        <f t="shared" si="214"/>
        <v>3</v>
      </c>
      <c r="M393" s="10" t="str">
        <f t="shared" si="214"/>
        <v>FLAG</v>
      </c>
      <c r="N393" s="10" t="str">
        <f t="shared" si="2"/>
        <v>32-1119(g) - Boating; Fail to keep readily accessible and in good condition, coast guard approved fire extinguishers, capable of promptly and effectually extinguishing burning gasoline</v>
      </c>
      <c r="O393" s="10" t="str">
        <f t="shared" si="3"/>
        <v>Boating</v>
      </c>
      <c r="Q393" s="10" t="str">
        <f>IFERROR(__xludf.DUMMYFUNCTION("""COMPUTED_VALUE"""),"Public Improvements")</f>
        <v>Public Improvements</v>
      </c>
    </row>
    <row r="394">
      <c r="A394" s="7" t="s">
        <v>751</v>
      </c>
      <c r="B394" s="8" t="s">
        <v>752</v>
      </c>
      <c r="C394" s="8" t="s">
        <v>19</v>
      </c>
      <c r="D394" s="8" t="s">
        <v>19</v>
      </c>
      <c r="E394" s="8" t="s">
        <v>19</v>
      </c>
      <c r="F394" s="8" t="s">
        <v>20</v>
      </c>
      <c r="G394" s="8" t="s">
        <v>21</v>
      </c>
      <c r="H394" s="9"/>
      <c r="I394" s="9"/>
      <c r="J394" s="10">
        <f t="shared" ref="J394:M394" si="215">ifs(OR($H394="R",$I394="N"),"N/A",OR(C394="A",C394="B",C394="C",C394="U"),3,TRUE,"FLAG")</f>
        <v>3</v>
      </c>
      <c r="K394" s="10">
        <f t="shared" si="215"/>
        <v>3</v>
      </c>
      <c r="L394" s="10">
        <f t="shared" si="215"/>
        <v>3</v>
      </c>
      <c r="M394" s="10" t="str">
        <f t="shared" si="215"/>
        <v>FLAG</v>
      </c>
      <c r="N394" s="10" t="str">
        <f t="shared" si="2"/>
        <v>32-1119(f) - Boating; Fail to keep readily accessible one coast guard approved lifesaving device for each person on board</v>
      </c>
      <c r="O394" s="10" t="str">
        <f t="shared" si="3"/>
        <v>Boating</v>
      </c>
      <c r="Q394" s="10" t="str">
        <f>IFERROR(__xludf.DUMMYFUNCTION("""COMPUTED_VALUE"""),"Public Livestock Markets")</f>
        <v>Public Livestock Markets</v>
      </c>
    </row>
    <row r="395">
      <c r="A395" s="7" t="s">
        <v>753</v>
      </c>
      <c r="B395" s="8" t="s">
        <v>754</v>
      </c>
      <c r="C395" s="8" t="s">
        <v>19</v>
      </c>
      <c r="D395" s="8" t="s">
        <v>19</v>
      </c>
      <c r="E395" s="8" t="s">
        <v>19</v>
      </c>
      <c r="F395" s="8" t="s">
        <v>20</v>
      </c>
      <c r="G395" s="8" t="s">
        <v>21</v>
      </c>
      <c r="H395" s="9"/>
      <c r="I395" s="9"/>
      <c r="J395" s="10">
        <f t="shared" ref="J395:M395" si="216">ifs(OR($H395="R",$I395="N"),"N/A",OR(C395="A",C395="B",C395="C",C395="U"),3,TRUE,"FLAG")</f>
        <v>3</v>
      </c>
      <c r="K395" s="10">
        <f t="shared" si="216"/>
        <v>3</v>
      </c>
      <c r="L395" s="10">
        <f t="shared" si="216"/>
        <v>3</v>
      </c>
      <c r="M395" s="10" t="str">
        <f t="shared" si="216"/>
        <v>FLAG</v>
      </c>
      <c r="N395" s="10" t="str">
        <f t="shared" si="2"/>
        <v>32-1119(j) - Boating; Fail to provide means for properly and efficiently ventilating the bilges of the engine and fuel tank compartments, unless exempt</v>
      </c>
      <c r="O395" s="10" t="str">
        <f t="shared" si="3"/>
        <v>Boating</v>
      </c>
      <c r="Q395" s="10" t="str">
        <f>IFERROR(__xludf.DUMMYFUNCTION("""COMPUTED_VALUE"""),"Public Nuisance")</f>
        <v>Public Nuisance</v>
      </c>
    </row>
    <row r="396">
      <c r="A396" s="7" t="s">
        <v>755</v>
      </c>
      <c r="B396" s="8" t="s">
        <v>756</v>
      </c>
      <c r="C396" s="8" t="s">
        <v>19</v>
      </c>
      <c r="D396" s="8" t="s">
        <v>19</v>
      </c>
      <c r="E396" s="8" t="s">
        <v>19</v>
      </c>
      <c r="F396" s="8" t="s">
        <v>20</v>
      </c>
      <c r="G396" s="8" t="s">
        <v>21</v>
      </c>
      <c r="H396" s="9"/>
      <c r="I396" s="9"/>
      <c r="J396" s="10">
        <f t="shared" ref="J396:M396" si="217">ifs(OR($H396="R",$I396="N"),"N/A",OR(C396="A",C396="B",C396="C",C396="U"),3,TRUE,"FLAG")</f>
        <v>3</v>
      </c>
      <c r="K396" s="10">
        <f t="shared" si="217"/>
        <v>3</v>
      </c>
      <c r="L396" s="10">
        <f t="shared" si="217"/>
        <v>3</v>
      </c>
      <c r="M396" s="10" t="str">
        <f t="shared" si="217"/>
        <v>FLAG</v>
      </c>
      <c r="N396" s="10" t="str">
        <f t="shared" si="2"/>
        <v>32-1148(b) - Boating; Failure of owner of a boat livery ensure that the equipment required pursuant to K.S.A. 32-1119 has been provided prior to permitting operation of any motorboat</v>
      </c>
      <c r="O396" s="10" t="str">
        <f t="shared" si="3"/>
        <v>Boating</v>
      </c>
      <c r="Q396" s="10" t="str">
        <f>IFERROR(__xludf.DUMMYFUNCTION("""COMPUTED_VALUE"""),"Public Officers &amp; Employees")</f>
        <v>Public Officers &amp; Employees</v>
      </c>
    </row>
    <row r="397">
      <c r="A397" s="7" t="s">
        <v>757</v>
      </c>
      <c r="B397" s="8" t="s">
        <v>758</v>
      </c>
      <c r="C397" s="8" t="s">
        <v>19</v>
      </c>
      <c r="D397" s="8" t="s">
        <v>19</v>
      </c>
      <c r="E397" s="8" t="s">
        <v>19</v>
      </c>
      <c r="F397" s="8" t="s">
        <v>20</v>
      </c>
      <c r="G397" s="8" t="s">
        <v>21</v>
      </c>
      <c r="H397" s="9"/>
      <c r="I397" s="9"/>
      <c r="J397" s="10">
        <f t="shared" ref="J397:M397" si="218">ifs(OR($H397="R",$I397="N"),"N/A",OR(C397="A",C397="B",C397="C",C397="U"),3,TRUE,"FLAG")</f>
        <v>3</v>
      </c>
      <c r="K397" s="10">
        <f t="shared" si="218"/>
        <v>3</v>
      </c>
      <c r="L397" s="10">
        <f t="shared" si="218"/>
        <v>3</v>
      </c>
      <c r="M397" s="10" t="str">
        <f t="shared" si="218"/>
        <v>FLAG</v>
      </c>
      <c r="N397" s="10" t="str">
        <f t="shared" si="2"/>
        <v>32-1148(a) - Boating; Failure of owner of a boat livery to keep certain records for at least 6 months</v>
      </c>
      <c r="O397" s="10" t="str">
        <f t="shared" si="3"/>
        <v>Boating</v>
      </c>
      <c r="Q397" s="10" t="str">
        <f>IFERROR(__xludf.DUMMYFUNCTION("""COMPUTED_VALUE"""),"Public Records Preservation")</f>
        <v>Public Records Preservation</v>
      </c>
    </row>
    <row r="398">
      <c r="A398" s="7" t="s">
        <v>759</v>
      </c>
      <c r="B398" s="8" t="s">
        <v>760</v>
      </c>
      <c r="C398" s="8" t="s">
        <v>19</v>
      </c>
      <c r="D398" s="8" t="s">
        <v>19</v>
      </c>
      <c r="E398" s="8" t="s">
        <v>19</v>
      </c>
      <c r="F398" s="8" t="s">
        <v>20</v>
      </c>
      <c r="G398" s="8" t="s">
        <v>21</v>
      </c>
      <c r="H398" s="9"/>
      <c r="I398" s="9"/>
      <c r="J398" s="10">
        <f t="shared" ref="J398:M398" si="219">ifs(OR($H398="R",$I398="N"),"N/A",OR(C398="A",C398="B",C398="C",C398="U"),3,TRUE,"FLAG")</f>
        <v>3</v>
      </c>
      <c r="K398" s="10">
        <f t="shared" si="219"/>
        <v>3</v>
      </c>
      <c r="L398" s="10">
        <f t="shared" si="219"/>
        <v>3</v>
      </c>
      <c r="M398" s="10" t="str">
        <f t="shared" si="219"/>
        <v>FLAG</v>
      </c>
      <c r="N398" s="10" t="str">
        <f t="shared" si="2"/>
        <v>32-1177(b) - Boating; Failure of vessel operator involved in a collision resulting in death or excessive property damage to file full description of the incident</v>
      </c>
      <c r="O398" s="10" t="str">
        <f t="shared" si="3"/>
        <v>Boating</v>
      </c>
      <c r="Q398" s="10" t="str">
        <f>IFERROR(__xludf.DUMMYFUNCTION("""COMPUTED_VALUE"""),"Public Utilities")</f>
        <v>Public Utilities</v>
      </c>
    </row>
    <row r="399">
      <c r="A399" s="7" t="s">
        <v>761</v>
      </c>
      <c r="B399" s="8" t="s">
        <v>762</v>
      </c>
      <c r="C399" s="8" t="s">
        <v>19</v>
      </c>
      <c r="D399" s="8" t="s">
        <v>19</v>
      </c>
      <c r="E399" s="8" t="s">
        <v>19</v>
      </c>
      <c r="F399" s="8" t="s">
        <v>20</v>
      </c>
      <c r="G399" s="8" t="s">
        <v>21</v>
      </c>
      <c r="H399" s="9"/>
      <c r="I399" s="9"/>
      <c r="J399" s="10">
        <f t="shared" ref="J399:M399" si="220">ifs(OR($H399="R",$I399="N"),"N/A",OR(C399="A",C399="B",C399="C",C399="U"),3,TRUE,"FLAG")</f>
        <v>3</v>
      </c>
      <c r="K399" s="10">
        <f t="shared" si="220"/>
        <v>3</v>
      </c>
      <c r="L399" s="10">
        <f t="shared" si="220"/>
        <v>3</v>
      </c>
      <c r="M399" s="10" t="str">
        <f t="shared" si="220"/>
        <v>FLAG</v>
      </c>
      <c r="N399" s="10" t="str">
        <f t="shared" si="2"/>
        <v>32-1177(a) - Boating; Failure of vessel operator involved in a collision, accident or other casualty to render aid and provide contact information</v>
      </c>
      <c r="O399" s="10" t="str">
        <f t="shared" si="3"/>
        <v>Boating</v>
      </c>
      <c r="Q399" s="10" t="str">
        <f>IFERROR(__xludf.DUMMYFUNCTION("""COMPUTED_VALUE"""),"Pyramid Promotional Scheme")</f>
        <v>Pyramid Promotional Scheme</v>
      </c>
    </row>
    <row r="400">
      <c r="A400" s="7" t="s">
        <v>763</v>
      </c>
      <c r="B400" s="8" t="s">
        <v>764</v>
      </c>
      <c r="C400" s="8" t="s">
        <v>19</v>
      </c>
      <c r="D400" s="8" t="s">
        <v>19</v>
      </c>
      <c r="E400" s="8" t="s">
        <v>19</v>
      </c>
      <c r="F400" s="8" t="s">
        <v>20</v>
      </c>
      <c r="G400" s="8" t="s">
        <v>21</v>
      </c>
      <c r="H400" s="9"/>
      <c r="I400" s="9"/>
      <c r="J400" s="10">
        <f t="shared" ref="J400:M400" si="221">ifs(OR($H400="R",$I400="N"),"N/A",OR(C400="A",C400="B",C400="C",C400="U"),3,TRUE,"FLAG")</f>
        <v>3</v>
      </c>
      <c r="K400" s="10">
        <f t="shared" si="221"/>
        <v>3</v>
      </c>
      <c r="L400" s="10">
        <f t="shared" si="221"/>
        <v>3</v>
      </c>
      <c r="M400" s="10" t="str">
        <f t="shared" si="221"/>
        <v>FLAG</v>
      </c>
      <c r="N400" s="10" t="str">
        <f t="shared" si="2"/>
        <v>32-1127(b) - Boating; Inspection certificate issued by the United States coast guard required for owner of any vessel operating on the waters of this state and carrying more than 20 passengers</v>
      </c>
      <c r="O400" s="10" t="str">
        <f t="shared" si="3"/>
        <v>Boating</v>
      </c>
      <c r="Q400" s="10" t="str">
        <f>IFERROR(__xludf.DUMMYFUNCTION("""COMPUTED_VALUE"""),"Radiologic Technologists Practice Act")</f>
        <v>Radiologic Technologists Practice Act</v>
      </c>
    </row>
    <row r="401">
      <c r="A401" s="7" t="s">
        <v>765</v>
      </c>
      <c r="B401" s="8" t="s">
        <v>766</v>
      </c>
      <c r="C401" s="8" t="s">
        <v>27</v>
      </c>
      <c r="D401" s="8" t="s">
        <v>28</v>
      </c>
      <c r="E401" s="8" t="s">
        <v>19</v>
      </c>
      <c r="F401" s="8" t="s">
        <v>20</v>
      </c>
      <c r="G401" s="8" t="s">
        <v>21</v>
      </c>
      <c r="H401" s="9"/>
      <c r="I401" s="9"/>
      <c r="J401" s="10">
        <f t="shared" ref="J401:M401" si="222">ifs(OR($H401="R",$I401="N"),"N/A",OR(C401="A",C401="B",C401="C",C401="U"),3,TRUE,"FLAG")</f>
        <v>3</v>
      </c>
      <c r="K401" s="10">
        <f t="shared" si="222"/>
        <v>3</v>
      </c>
      <c r="L401" s="10">
        <f t="shared" si="222"/>
        <v>3</v>
      </c>
      <c r="M401" s="10" t="str">
        <f t="shared" si="222"/>
        <v>FLAG</v>
      </c>
      <c r="N401" s="10" t="str">
        <f t="shared" si="2"/>
        <v>32-1115(a)(1) - Boating; Intentional, unauthorized, defacing, destroying, removing or altering of an identification number required for a vessel</v>
      </c>
      <c r="O401" s="10" t="str">
        <f t="shared" si="3"/>
        <v>Boating</v>
      </c>
      <c r="Q401" s="10" t="str">
        <f>IFERROR(__xludf.DUMMYFUNCTION("""COMPUTED_VALUE"""),"Radon Certification Law")</f>
        <v>Radon Certification Law</v>
      </c>
    </row>
    <row r="402">
      <c r="A402" s="7" t="s">
        <v>767</v>
      </c>
      <c r="B402" s="8" t="s">
        <v>768</v>
      </c>
      <c r="C402" s="8" t="s">
        <v>19</v>
      </c>
      <c r="D402" s="8" t="s">
        <v>19</v>
      </c>
      <c r="E402" s="8" t="s">
        <v>19</v>
      </c>
      <c r="F402" s="8" t="s">
        <v>20</v>
      </c>
      <c r="G402" s="8" t="s">
        <v>21</v>
      </c>
      <c r="H402" s="9"/>
      <c r="I402" s="9"/>
      <c r="J402" s="10">
        <f t="shared" ref="J402:M402" si="223">ifs(OR($H402="R",$I402="N"),"N/A",OR(C402="A",C402="B",C402="C",C402="U"),3,TRUE,"FLAG")</f>
        <v>3</v>
      </c>
      <c r="K402" s="10">
        <f t="shared" si="223"/>
        <v>3</v>
      </c>
      <c r="L402" s="10">
        <f t="shared" si="223"/>
        <v>3</v>
      </c>
      <c r="M402" s="10" t="str">
        <f t="shared" si="223"/>
        <v>FLAG</v>
      </c>
      <c r="N402" s="10" t="str">
        <f t="shared" si="2"/>
        <v>32-1119(b) - Boating; Lighting requirements for motorboats</v>
      </c>
      <c r="O402" s="10" t="str">
        <f t="shared" si="3"/>
        <v>Boating</v>
      </c>
      <c r="Q402" s="10" t="str">
        <f>IFERROR(__xludf.DUMMYFUNCTION("""COMPUTED_VALUE"""),"Railroad Companies")</f>
        <v>Railroad Companies</v>
      </c>
    </row>
    <row r="403">
      <c r="A403" s="7" t="s">
        <v>769</v>
      </c>
      <c r="B403" s="8" t="s">
        <v>770</v>
      </c>
      <c r="C403" s="8" t="s">
        <v>19</v>
      </c>
      <c r="D403" s="8" t="s">
        <v>19</v>
      </c>
      <c r="E403" s="8" t="s">
        <v>19</v>
      </c>
      <c r="F403" s="8" t="s">
        <v>20</v>
      </c>
      <c r="G403" s="8" t="s">
        <v>21</v>
      </c>
      <c r="H403" s="9"/>
      <c r="I403" s="9"/>
      <c r="J403" s="10">
        <f t="shared" ref="J403:M403" si="224">ifs(OR($H403="R",$I403="N"),"N/A",OR(C403="A",C403="B",C403="C",C403="U"),3,TRUE,"FLAG")</f>
        <v>3</v>
      </c>
      <c r="K403" s="10">
        <f t="shared" si="224"/>
        <v>3</v>
      </c>
      <c r="L403" s="10">
        <f t="shared" si="224"/>
        <v>3</v>
      </c>
      <c r="M403" s="10" t="str">
        <f t="shared" si="224"/>
        <v>FLAG</v>
      </c>
      <c r="N403" s="10" t="str">
        <f t="shared" si="2"/>
        <v>32-1125(b) - Boating; Manipulation of any water skis, surfboard or similar device while under the influence of alcohol or drugs, or both</v>
      </c>
      <c r="O403" s="10" t="str">
        <f t="shared" si="3"/>
        <v>Boating</v>
      </c>
      <c r="Q403" s="10" t="str">
        <f>IFERROR(__xludf.DUMMYFUNCTION("""COMPUTED_VALUE"""),"Rape")</f>
        <v>Rape</v>
      </c>
    </row>
    <row r="404">
      <c r="A404" s="7" t="s">
        <v>771</v>
      </c>
      <c r="B404" s="8" t="s">
        <v>772</v>
      </c>
      <c r="C404" s="8" t="s">
        <v>19</v>
      </c>
      <c r="D404" s="8" t="s">
        <v>19</v>
      </c>
      <c r="E404" s="8" t="s">
        <v>19</v>
      </c>
      <c r="F404" s="8" t="s">
        <v>20</v>
      </c>
      <c r="G404" s="8" t="s">
        <v>21</v>
      </c>
      <c r="H404" s="9"/>
      <c r="I404" s="9"/>
      <c r="J404" s="10">
        <f t="shared" ref="J404:M404" si="225">ifs(OR($H404="R",$I404="N"),"N/A",OR(C404="A",C404="B",C404="C",C404="U"),3,TRUE,"FLAG")</f>
        <v>3</v>
      </c>
      <c r="K404" s="10">
        <f t="shared" si="225"/>
        <v>3</v>
      </c>
      <c r="L404" s="10">
        <f t="shared" si="225"/>
        <v>3</v>
      </c>
      <c r="M404" s="10" t="str">
        <f t="shared" si="225"/>
        <v>FLAG</v>
      </c>
      <c r="N404" s="10" t="str">
        <f t="shared" si="2"/>
        <v>32-1119(d) - Boating; Motorboats of class 1, 2, or 3 shall be provided with an efficient whistle or other sound-producing mechanical appliance</v>
      </c>
      <c r="O404" s="10" t="str">
        <f t="shared" si="3"/>
        <v>Boating</v>
      </c>
      <c r="Q404" s="10" t="str">
        <f>IFERROR(__xludf.DUMMYFUNCTION("""COMPUTED_VALUE"""),"Real Estate Appraisers")</f>
        <v>Real Estate Appraisers</v>
      </c>
    </row>
    <row r="405">
      <c r="A405" s="7" t="s">
        <v>773</v>
      </c>
      <c r="B405" s="8" t="s">
        <v>774</v>
      </c>
      <c r="C405" s="8" t="s">
        <v>19</v>
      </c>
      <c r="D405" s="8" t="s">
        <v>19</v>
      </c>
      <c r="E405" s="8" t="s">
        <v>19</v>
      </c>
      <c r="F405" s="8" t="s">
        <v>20</v>
      </c>
      <c r="G405" s="8" t="s">
        <v>21</v>
      </c>
      <c r="H405" s="9"/>
      <c r="I405" s="9"/>
      <c r="J405" s="10">
        <f t="shared" ref="J405:M405" si="226">ifs(OR($H405="R",$I405="N"),"N/A",OR(C405="A",C405="B",C405="C",C405="U"),3,TRUE,"FLAG")</f>
        <v>3</v>
      </c>
      <c r="K405" s="10">
        <f t="shared" si="226"/>
        <v>3</v>
      </c>
      <c r="L405" s="10">
        <f t="shared" si="226"/>
        <v>3</v>
      </c>
      <c r="M405" s="10" t="str">
        <f t="shared" si="226"/>
        <v>FLAG</v>
      </c>
      <c r="N405" s="10" t="str">
        <f t="shared" si="2"/>
        <v>32-1119(n) - Boating; Operate a motorboat or other vessel close to swimming areas, moored boats or vessels engaged in fishing, servicing buoys or markings, or similar activities, without reducing to no wake speed</v>
      </c>
      <c r="O405" s="10" t="str">
        <f t="shared" si="3"/>
        <v>Boating</v>
      </c>
      <c r="Q405" s="10" t="str">
        <f>IFERROR(__xludf.DUMMYFUNCTION("""COMPUTED_VALUE"""),"Real Estate Brokers' &amp; Salespersons' License Act")</f>
        <v>Real Estate Brokers' &amp; Salespersons' License Act</v>
      </c>
    </row>
    <row r="406">
      <c r="A406" s="7" t="s">
        <v>775</v>
      </c>
      <c r="B406" s="8" t="s">
        <v>776</v>
      </c>
      <c r="C406" s="8" t="s">
        <v>19</v>
      </c>
      <c r="D406" s="8" t="s">
        <v>19</v>
      </c>
      <c r="E406" s="8" t="s">
        <v>19</v>
      </c>
      <c r="F406" s="8" t="s">
        <v>20</v>
      </c>
      <c r="G406" s="8" t="s">
        <v>21</v>
      </c>
      <c r="H406" s="9"/>
      <c r="I406" s="9"/>
      <c r="J406" s="10">
        <f t="shared" ref="J406:M406" si="227">ifs(OR($H406="R",$I406="N"),"N/A",OR(C406="A",C406="B",C406="C",C406="U"),3,TRUE,"FLAG")</f>
        <v>3</v>
      </c>
      <c r="K406" s="10">
        <f t="shared" si="227"/>
        <v>3</v>
      </c>
      <c r="L406" s="10">
        <f t="shared" si="227"/>
        <v>3</v>
      </c>
      <c r="M406" s="10" t="str">
        <f t="shared" si="227"/>
        <v>FLAG</v>
      </c>
      <c r="N406" s="10" t="str">
        <f t="shared" si="2"/>
        <v>32-1128(d) - Boating; Operate a motorboat towing a person or persons on water skis, surfboard, or similar device, without a wide angle rear view mirror properly placed to provide a maximum vision of the person or persons being towed, or an observer at least 12 yrs of age in the boat in addition to the operator</v>
      </c>
      <c r="O406" s="10" t="str">
        <f t="shared" si="3"/>
        <v>Boating</v>
      </c>
      <c r="Q406" s="10" t="str">
        <f>IFERROR(__xludf.DUMMYFUNCTION("""COMPUTED_VALUE"""),"Refusal to Yield a Telephone Party Line in Emergency")</f>
        <v>Refusal to Yield a Telephone Party Line in Emergency</v>
      </c>
    </row>
    <row r="407">
      <c r="A407" s="7" t="s">
        <v>777</v>
      </c>
      <c r="B407" s="8" t="s">
        <v>778</v>
      </c>
      <c r="C407" s="8" t="s">
        <v>19</v>
      </c>
      <c r="D407" s="8" t="s">
        <v>19</v>
      </c>
      <c r="E407" s="8" t="s">
        <v>19</v>
      </c>
      <c r="F407" s="8" t="s">
        <v>20</v>
      </c>
      <c r="G407" s="8" t="s">
        <v>21</v>
      </c>
      <c r="H407" s="9"/>
      <c r="I407" s="9"/>
      <c r="J407" s="10">
        <f t="shared" ref="J407:M407" si="228">ifs(OR($H407="R",$I407="N"),"N/A",OR(C407="A",C407="B",C407="C",C407="U"),3,TRUE,"FLAG")</f>
        <v>3</v>
      </c>
      <c r="K407" s="10">
        <f t="shared" si="228"/>
        <v>3</v>
      </c>
      <c r="L407" s="10">
        <f t="shared" si="228"/>
        <v>3</v>
      </c>
      <c r="M407" s="10" t="str">
        <f t="shared" si="228"/>
        <v>FLAG</v>
      </c>
      <c r="N407" s="10" t="str">
        <f t="shared" si="2"/>
        <v>32-1128(a) - Boating; Operate a vessel towing a person or persons on water skis, surfboard, or similar device, or engage in water skiing, surfboarding, or similar activity during prohibited hours</v>
      </c>
      <c r="O407" s="10" t="str">
        <f t="shared" si="3"/>
        <v>Boating</v>
      </c>
      <c r="Q407" s="10" t="str">
        <f>IFERROR(__xludf.DUMMYFUNCTION("""COMPUTED_VALUE"""),"Regulation of Labor &amp; Industry")</f>
        <v>Regulation of Labor &amp; Industry</v>
      </c>
    </row>
    <row r="408">
      <c r="A408" s="7" t="s">
        <v>779</v>
      </c>
      <c r="B408" s="8" t="s">
        <v>780</v>
      </c>
      <c r="C408" s="8" t="s">
        <v>19</v>
      </c>
      <c r="D408" s="8" t="s">
        <v>19</v>
      </c>
      <c r="E408" s="8" t="s">
        <v>19</v>
      </c>
      <c r="F408" s="8" t="s">
        <v>20</v>
      </c>
      <c r="G408" s="8" t="s">
        <v>21</v>
      </c>
      <c r="H408" s="9"/>
      <c r="I408" s="9"/>
      <c r="J408" s="10">
        <f t="shared" ref="J408:M408" si="229">ifs(OR($H408="R",$I408="N"),"N/A",OR(C408="A",C408="B",C408="C",C408="U"),3,TRUE,"FLAG")</f>
        <v>3</v>
      </c>
      <c r="K408" s="10">
        <f t="shared" si="229"/>
        <v>3</v>
      </c>
      <c r="L408" s="10">
        <f t="shared" si="229"/>
        <v>3</v>
      </c>
      <c r="M408" s="10" t="str">
        <f t="shared" si="229"/>
        <v>FLAG</v>
      </c>
      <c r="N408" s="10" t="str">
        <f t="shared" si="2"/>
        <v>32-1119(m) - Boating; Operate or give permission to operate a vessel which is not equipped as required by the laws of Kansas and rules and regulations of the secretary</v>
      </c>
      <c r="O408" s="10" t="str">
        <f t="shared" si="3"/>
        <v>Boating</v>
      </c>
      <c r="Q408" s="10" t="str">
        <f>IFERROR(__xludf.DUMMYFUNCTION("""COMPUTED_VALUE"""),"Regulation of Pharmacists")</f>
        <v>Regulation of Pharmacists</v>
      </c>
    </row>
    <row r="409">
      <c r="A409" s="7" t="s">
        <v>781</v>
      </c>
      <c r="B409" s="8" t="s">
        <v>782</v>
      </c>
      <c r="C409" s="8" t="s">
        <v>19</v>
      </c>
      <c r="D409" s="8" t="s">
        <v>19</v>
      </c>
      <c r="E409" s="8" t="s">
        <v>19</v>
      </c>
      <c r="F409" s="8" t="s">
        <v>20</v>
      </c>
      <c r="G409" s="8" t="s">
        <v>21</v>
      </c>
      <c r="H409" s="9"/>
      <c r="I409" s="9"/>
      <c r="J409" s="10">
        <f t="shared" ref="J409:M409" si="230">ifs(OR($H409="R",$I409="N"),"N/A",OR(C409="A",C409="B",C409="C",C409="U"),3,TRUE,"FLAG")</f>
        <v>3</v>
      </c>
      <c r="K409" s="10">
        <f t="shared" si="230"/>
        <v>3</v>
      </c>
      <c r="L409" s="10">
        <f t="shared" si="230"/>
        <v>3</v>
      </c>
      <c r="M409" s="10" t="str">
        <f t="shared" si="230"/>
        <v>FLAG</v>
      </c>
      <c r="N409" s="10" t="str">
        <f t="shared" si="2"/>
        <v>32-1128(c) - Boating; Operate or manipulate a vessel, tow rope or other device, in such a way as to cause the water skis, surfboard, or similar device, or any person thereon to collide with or strike against any object or person</v>
      </c>
      <c r="O409" s="10" t="str">
        <f t="shared" si="3"/>
        <v>Boating</v>
      </c>
      <c r="Q409" s="10" t="str">
        <f>IFERROR(__xludf.DUMMYFUNCTION("""COMPUTED_VALUE"""),"Regulations of Equipment/Crude Oil/Products")</f>
        <v>Regulations of Equipment/Crude Oil/Products</v>
      </c>
    </row>
    <row r="410">
      <c r="A410" s="7" t="s">
        <v>783</v>
      </c>
      <c r="B410" s="8" t="s">
        <v>784</v>
      </c>
      <c r="C410" s="8" t="s">
        <v>19</v>
      </c>
      <c r="D410" s="8" t="s">
        <v>19</v>
      </c>
      <c r="E410" s="8" t="s">
        <v>19</v>
      </c>
      <c r="F410" s="8" t="s">
        <v>20</v>
      </c>
      <c r="G410" s="8" t="s">
        <v>21</v>
      </c>
      <c r="H410" s="9"/>
      <c r="I410" s="9"/>
      <c r="J410" s="10">
        <f t="shared" ref="J410:M410" si="231">ifs(OR($H410="R",$I410="N"),"N/A",OR(C410="A",C410="B",C410="C",C410="U"),3,TRUE,"FLAG")</f>
        <v>3</v>
      </c>
      <c r="K410" s="10">
        <f t="shared" si="231"/>
        <v>3</v>
      </c>
      <c r="L410" s="10">
        <f t="shared" si="231"/>
        <v>3</v>
      </c>
      <c r="M410" s="10" t="str">
        <f t="shared" si="231"/>
        <v>FLAG</v>
      </c>
      <c r="N410" s="10" t="str">
        <f t="shared" si="2"/>
        <v>32-1110 - Boating; Operate or permit the operation of any motorboat or vessel propelled by sail without such vessel being numbered in accordance with this act</v>
      </c>
      <c r="O410" s="10" t="str">
        <f t="shared" si="3"/>
        <v>Boating</v>
      </c>
      <c r="Q410" s="10" t="str">
        <f>IFERROR(__xludf.DUMMYFUNCTION("""COMPUTED_VALUE"""),"Reporting Abuse, Neglect or Exploitation of Certain Persons")</f>
        <v>Reporting Abuse, Neglect or Exploitation of Certain Persons</v>
      </c>
    </row>
    <row r="411">
      <c r="A411" s="7" t="s">
        <v>785</v>
      </c>
      <c r="B411" s="8" t="s">
        <v>786</v>
      </c>
      <c r="C411" s="8" t="s">
        <v>19</v>
      </c>
      <c r="D411" s="8" t="s">
        <v>19</v>
      </c>
      <c r="E411" s="8" t="s">
        <v>19</v>
      </c>
      <c r="F411" s="8" t="s">
        <v>20</v>
      </c>
      <c r="G411" s="8" t="s">
        <v>21</v>
      </c>
      <c r="H411" s="9"/>
      <c r="I411" s="9"/>
      <c r="J411" s="10">
        <f t="shared" ref="J411:M411" si="232">ifs(OR($H411="R",$I411="N"),"N/A",OR(C411="A",C411="B",C411="C",C411="U"),3,TRUE,"FLAG")</f>
        <v>3</v>
      </c>
      <c r="K411" s="10">
        <f t="shared" si="232"/>
        <v>3</v>
      </c>
      <c r="L411" s="10">
        <f t="shared" si="232"/>
        <v>3</v>
      </c>
      <c r="M411" s="10" t="str">
        <f t="shared" si="232"/>
        <v>FLAG</v>
      </c>
      <c r="N411" s="10" t="str">
        <f t="shared" si="2"/>
        <v>32-1125(c) - Boating; Operation of any motorboat or vessel for pleasure riding or pull any water skis, surfboard or similar device in prohibited areas</v>
      </c>
      <c r="O411" s="10" t="str">
        <f t="shared" si="3"/>
        <v>Boating</v>
      </c>
      <c r="Q411" s="10" t="str">
        <f>IFERROR(__xludf.DUMMYFUNCTION("""COMPUTED_VALUE"""),"Residential Childhood Lead Poisoning Prevention Act")</f>
        <v>Residential Childhood Lead Poisoning Prevention Act</v>
      </c>
    </row>
    <row r="412">
      <c r="A412" s="7" t="s">
        <v>787</v>
      </c>
      <c r="B412" s="8" t="s">
        <v>788</v>
      </c>
      <c r="C412" s="8" t="s">
        <v>19</v>
      </c>
      <c r="D412" s="8" t="s">
        <v>19</v>
      </c>
      <c r="E412" s="8" t="s">
        <v>19</v>
      </c>
      <c r="F412" s="8" t="s">
        <v>20</v>
      </c>
      <c r="G412" s="8" t="s">
        <v>21</v>
      </c>
      <c r="H412" s="9"/>
      <c r="I412" s="9"/>
      <c r="J412" s="10">
        <f t="shared" ref="J412:M412" si="233">ifs(OR($H412="R",$I412="N"),"N/A",OR(C412="A",C412="B",C412="C",C412="U"),3,TRUE,"FLAG")</f>
        <v>3</v>
      </c>
      <c r="K412" s="10">
        <f t="shared" si="233"/>
        <v>3</v>
      </c>
      <c r="L412" s="10">
        <f t="shared" si="233"/>
        <v>3</v>
      </c>
      <c r="M412" s="10" t="str">
        <f t="shared" si="233"/>
        <v>FLAG</v>
      </c>
      <c r="N412" s="10" t="str">
        <f t="shared" si="2"/>
        <v>32-1127(a) - Boating; Operation of any vessel on the waters of this state carrying more than 20 passengers without satisfying the United States coast guard stability test criteria for small passenger vessels in 46 C.F.R. 179</v>
      </c>
      <c r="O412" s="10" t="str">
        <f t="shared" si="3"/>
        <v>Boating</v>
      </c>
      <c r="Q412" s="10" t="str">
        <f>IFERROR(__xludf.DUMMYFUNCTION("""COMPUTED_VALUE"""),"Respiratory Therapy Practice Act")</f>
        <v>Respiratory Therapy Practice Act</v>
      </c>
    </row>
    <row r="413">
      <c r="A413" s="7" t="s">
        <v>789</v>
      </c>
      <c r="B413" s="8" t="s">
        <v>790</v>
      </c>
      <c r="C413" s="8" t="s">
        <v>19</v>
      </c>
      <c r="D413" s="8" t="s">
        <v>19</v>
      </c>
      <c r="E413" s="8" t="s">
        <v>19</v>
      </c>
      <c r="F413" s="8" t="s">
        <v>20</v>
      </c>
      <c r="G413" s="8" t="s">
        <v>21</v>
      </c>
      <c r="H413" s="9"/>
      <c r="I413" s="9"/>
      <c r="J413" s="10">
        <f t="shared" ref="J413:M413" si="234">ifs(OR($H413="R",$I413="N"),"N/A",OR(C413="A",C413="B",C413="C",C413="U"),3,TRUE,"FLAG")</f>
        <v>3</v>
      </c>
      <c r="K413" s="10">
        <f t="shared" si="234"/>
        <v>3</v>
      </c>
      <c r="L413" s="10">
        <f t="shared" si="234"/>
        <v>3</v>
      </c>
      <c r="M413" s="10" t="str">
        <f t="shared" si="234"/>
        <v>FLAG</v>
      </c>
      <c r="N413" s="10" t="str">
        <f t="shared" si="2"/>
        <v>32-1125(d) - Boating; Operation of or mooring a vessel in prohibited areas; operation of a vessel for purposes other than fishing in designated fishing areas; operation of a vessel for purposes other than hunting in designated hunting areas</v>
      </c>
      <c r="O413" s="10" t="str">
        <f t="shared" si="3"/>
        <v>Boating</v>
      </c>
      <c r="Q413" s="10" t="str">
        <f>IFERROR(__xludf.DUMMYFUNCTION("""COMPUTED_VALUE"""),"Retailers' Sales Tax")</f>
        <v>Retailers' Sales Tax</v>
      </c>
    </row>
    <row r="414">
      <c r="A414" s="7" t="s">
        <v>791</v>
      </c>
      <c r="B414" s="8" t="s">
        <v>792</v>
      </c>
      <c r="C414" s="8" t="s">
        <v>19</v>
      </c>
      <c r="D414" s="8" t="s">
        <v>19</v>
      </c>
      <c r="E414" s="8" t="s">
        <v>19</v>
      </c>
      <c r="F414" s="8" t="s">
        <v>20</v>
      </c>
      <c r="G414" s="8" t="s">
        <v>21</v>
      </c>
      <c r="H414" s="9"/>
      <c r="I414" s="9"/>
      <c r="J414" s="10">
        <f t="shared" ref="J414:M414" si="235">ifs(OR($H414="R",$I414="N"),"N/A",OR(C414="A",C414="B",C414="C",C414="U"),3,TRUE,"FLAG")</f>
        <v>3</v>
      </c>
      <c r="K414" s="10">
        <f t="shared" si="235"/>
        <v>3</v>
      </c>
      <c r="L414" s="10">
        <f t="shared" si="235"/>
        <v>3</v>
      </c>
      <c r="M414" s="10" t="str">
        <f t="shared" si="235"/>
        <v>FLAG</v>
      </c>
      <c r="N414" s="10" t="str">
        <f t="shared" si="2"/>
        <v>32-1125(e) - Boating; Permitting a person under 12 yrs of age to operate a motorboat without parental or other adult (over 17 yrs) direct supervision</v>
      </c>
      <c r="O414" s="10" t="str">
        <f t="shared" si="3"/>
        <v>Boating</v>
      </c>
      <c r="Q414" s="10" t="str">
        <f>IFERROR(__xludf.DUMMYFUNCTION("""COMPUTED_VALUE"""),"Revised Uniform Consumer Credit Code")</f>
        <v>Revised Uniform Consumer Credit Code</v>
      </c>
    </row>
    <row r="415">
      <c r="A415" s="7" t="s">
        <v>793</v>
      </c>
      <c r="B415" s="8" t="s">
        <v>794</v>
      </c>
      <c r="C415" s="8" t="s">
        <v>27</v>
      </c>
      <c r="D415" s="8" t="s">
        <v>28</v>
      </c>
      <c r="E415" s="8" t="s">
        <v>19</v>
      </c>
      <c r="F415" s="8" t="s">
        <v>20</v>
      </c>
      <c r="G415" s="8" t="s">
        <v>21</v>
      </c>
      <c r="H415" s="9"/>
      <c r="I415" s="9"/>
      <c r="J415" s="10">
        <f t="shared" ref="J415:M415" si="236">ifs(OR($H415="R",$I415="N"),"N/A",OR(C415="A",C415="B",C415="C",C415="U"),3,TRUE,"FLAG")</f>
        <v>3</v>
      </c>
      <c r="K415" s="10">
        <f t="shared" si="236"/>
        <v>3</v>
      </c>
      <c r="L415" s="10">
        <f t="shared" si="236"/>
        <v>3</v>
      </c>
      <c r="M415" s="10" t="str">
        <f t="shared" si="236"/>
        <v>FLAG</v>
      </c>
      <c r="N415" s="10" t="str">
        <f t="shared" si="2"/>
        <v>32-1115(a)(2) - Boating; Placing or stamping any serial number upon a vessel other than the one assigned to the vessel</v>
      </c>
      <c r="O415" s="10" t="str">
        <f t="shared" si="3"/>
        <v>Boating</v>
      </c>
      <c r="Q415" s="10" t="str">
        <f>IFERROR(__xludf.DUMMYFUNCTION("""COMPUTED_VALUE"""),"RICO Act")</f>
        <v>RICO Act</v>
      </c>
    </row>
    <row r="416">
      <c r="A416" s="7" t="s">
        <v>795</v>
      </c>
      <c r="B416" s="8" t="s">
        <v>796</v>
      </c>
      <c r="C416" s="8" t="s">
        <v>19</v>
      </c>
      <c r="D416" s="8" t="s">
        <v>19</v>
      </c>
      <c r="E416" s="8" t="s">
        <v>19</v>
      </c>
      <c r="F416" s="8" t="s">
        <v>20</v>
      </c>
      <c r="G416" s="8" t="s">
        <v>21</v>
      </c>
      <c r="H416" s="9"/>
      <c r="I416" s="9"/>
      <c r="J416" s="10">
        <f t="shared" ref="J416:M416" si="237">ifs(OR($H416="R",$I416="N"),"N/A",OR(C416="A",C416="B",C416="C",C416="U"),3,TRUE,"FLAG")</f>
        <v>3</v>
      </c>
      <c r="K416" s="10">
        <f t="shared" si="237"/>
        <v>3</v>
      </c>
      <c r="L416" s="10">
        <f t="shared" si="237"/>
        <v>3</v>
      </c>
      <c r="M416" s="10" t="str">
        <f t="shared" si="237"/>
        <v>FLAG</v>
      </c>
      <c r="N416" s="10" t="str">
        <f t="shared" si="2"/>
        <v>32-1125(a) - Boating; Reckless or negligent, operation of or manipulation of any motorboat or vessel, water skis, surfboard or similar device</v>
      </c>
      <c r="O416" s="10" t="str">
        <f t="shared" si="3"/>
        <v>Boating</v>
      </c>
      <c r="Q416" s="10" t="str">
        <f>IFERROR(__xludf.DUMMYFUNCTION("""COMPUTED_VALUE"""),"Riot")</f>
        <v>Riot</v>
      </c>
    </row>
    <row r="417">
      <c r="A417" s="7" t="s">
        <v>797</v>
      </c>
      <c r="B417" s="8" t="s">
        <v>798</v>
      </c>
      <c r="C417" s="8" t="s">
        <v>19</v>
      </c>
      <c r="D417" s="8" t="s">
        <v>19</v>
      </c>
      <c r="E417" s="8" t="s">
        <v>19</v>
      </c>
      <c r="F417" s="8" t="s">
        <v>20</v>
      </c>
      <c r="G417" s="8" t="s">
        <v>21</v>
      </c>
      <c r="H417" s="9"/>
      <c r="I417" s="9"/>
      <c r="J417" s="10">
        <f t="shared" ref="J417:M417" si="238">ifs(OR($H417="R",$I417="N"),"N/A",OR(C417="A",C417="B",C417="C",C417="U"),3,TRUE,"FLAG")</f>
        <v>3</v>
      </c>
      <c r="K417" s="10">
        <f t="shared" si="238"/>
        <v>3</v>
      </c>
      <c r="L417" s="10">
        <f t="shared" si="238"/>
        <v>3</v>
      </c>
      <c r="M417" s="10" t="str">
        <f t="shared" si="238"/>
        <v>FLAG</v>
      </c>
      <c r="N417" s="10" t="str">
        <f t="shared" si="2"/>
        <v>32-1152 - Boating; Sanitation; toilet facilities</v>
      </c>
      <c r="O417" s="10" t="str">
        <f t="shared" si="3"/>
        <v>Boating</v>
      </c>
      <c r="Q417" s="10" t="str">
        <f>IFERROR(__xludf.DUMMYFUNCTION("""COMPUTED_VALUE"""),"Roads &amp; Bridges")</f>
        <v>Roads &amp; Bridges</v>
      </c>
    </row>
    <row r="418">
      <c r="A418" s="7" t="s">
        <v>799</v>
      </c>
      <c r="B418" s="8" t="s">
        <v>800</v>
      </c>
      <c r="C418" s="8" t="s">
        <v>27</v>
      </c>
      <c r="D418" s="8" t="s">
        <v>28</v>
      </c>
      <c r="E418" s="8" t="s">
        <v>19</v>
      </c>
      <c r="F418" s="8" t="s">
        <v>20</v>
      </c>
      <c r="G418" s="8" t="s">
        <v>21</v>
      </c>
      <c r="H418" s="9"/>
      <c r="I418" s="9"/>
      <c r="J418" s="10">
        <f t="shared" ref="J418:M418" si="239">ifs(OR($H418="R",$I418="N"),"N/A",OR(C418="A",C418="B",C418="C",C418="U"),3,TRUE,"FLAG")</f>
        <v>3</v>
      </c>
      <c r="K418" s="10">
        <f t="shared" si="239"/>
        <v>3</v>
      </c>
      <c r="L418" s="10">
        <f t="shared" si="239"/>
        <v>3</v>
      </c>
      <c r="M418" s="10" t="str">
        <f t="shared" si="239"/>
        <v>FLAG</v>
      </c>
      <c r="N418" s="10" t="str">
        <f t="shared" si="2"/>
        <v>32-1115(b) - Boating; Selling, bartering, exchanging or possessing any vessel where the original hull identification number has been destroyed, removed, altered or defaced</v>
      </c>
      <c r="O418" s="10" t="str">
        <f t="shared" si="3"/>
        <v>Boating</v>
      </c>
      <c r="Q418" s="10" t="str">
        <f>IFERROR(__xludf.DUMMYFUNCTION("""COMPUTED_VALUE"""),"Robbery")</f>
        <v>Robbery</v>
      </c>
    </row>
    <row r="419">
      <c r="A419" s="7" t="s">
        <v>801</v>
      </c>
      <c r="B419" s="8" t="s">
        <v>802</v>
      </c>
      <c r="C419" s="8" t="s">
        <v>19</v>
      </c>
      <c r="D419" s="8" t="s">
        <v>19</v>
      </c>
      <c r="E419" s="8" t="s">
        <v>19</v>
      </c>
      <c r="F419" s="8" t="s">
        <v>20</v>
      </c>
      <c r="G419" s="8" t="s">
        <v>21</v>
      </c>
      <c r="H419" s="9"/>
      <c r="I419" s="9"/>
      <c r="J419" s="10">
        <f t="shared" ref="J419:M419" si="240">ifs(OR($H419="R",$I419="N"),"N/A",OR(C419="A",C419="B",C419="C",C419="U"),3,TRUE,"FLAG")</f>
        <v>3</v>
      </c>
      <c r="K419" s="10">
        <f t="shared" si="240"/>
        <v>3</v>
      </c>
      <c r="L419" s="10">
        <f t="shared" si="240"/>
        <v>3</v>
      </c>
      <c r="M419" s="10" t="str">
        <f t="shared" si="240"/>
        <v>FLAG</v>
      </c>
      <c r="N419" s="10" t="str">
        <f t="shared" si="2"/>
        <v>32-1153 - Boating; Unlawful sewage disposal</v>
      </c>
      <c r="O419" s="10" t="str">
        <f t="shared" si="3"/>
        <v>Boating</v>
      </c>
      <c r="Q419" s="10" t="str">
        <f>IFERROR(__xludf.DUMMYFUNCTION("""COMPUTED_VALUE"""),"Sabbath")</f>
        <v>Sabbath</v>
      </c>
    </row>
    <row r="420">
      <c r="A420" s="7" t="s">
        <v>803</v>
      </c>
      <c r="B420" s="8" t="s">
        <v>804</v>
      </c>
      <c r="C420" s="8" t="s">
        <v>19</v>
      </c>
      <c r="D420" s="8" t="s">
        <v>19</v>
      </c>
      <c r="E420" s="8" t="s">
        <v>19</v>
      </c>
      <c r="F420" s="8" t="s">
        <v>20</v>
      </c>
      <c r="G420" s="8" t="s">
        <v>21</v>
      </c>
      <c r="H420" s="9"/>
      <c r="I420" s="9"/>
      <c r="J420" s="10">
        <f t="shared" ref="J420:M420" si="241">ifs(OR($H420="R",$I420="N"),"N/A",OR(C420="A",C420="B",C420="C",C420="U"),3,TRUE,"FLAG")</f>
        <v>3</v>
      </c>
      <c r="K420" s="10">
        <f t="shared" si="241"/>
        <v>3</v>
      </c>
      <c r="L420" s="10">
        <f t="shared" si="241"/>
        <v>3</v>
      </c>
      <c r="M420" s="10" t="str">
        <f t="shared" si="241"/>
        <v>FLAG</v>
      </c>
      <c r="N420" s="10" t="str">
        <f t="shared" si="2"/>
        <v>32-1126 - Boating; Violating capacity limits of a vessel</v>
      </c>
      <c r="O420" s="10" t="str">
        <f t="shared" si="3"/>
        <v>Boating</v>
      </c>
      <c r="Q420" s="10" t="str">
        <f>IFERROR(__xludf.DUMMYFUNCTION("""COMPUTED_VALUE"""),"Safety Materials")</f>
        <v>Safety Materials</v>
      </c>
    </row>
    <row r="421">
      <c r="A421" s="7" t="s">
        <v>805</v>
      </c>
      <c r="B421" s="8" t="s">
        <v>806</v>
      </c>
      <c r="C421" s="8" t="s">
        <v>19</v>
      </c>
      <c r="D421" s="8" t="s">
        <v>19</v>
      </c>
      <c r="E421" s="8" t="s">
        <v>19</v>
      </c>
      <c r="F421" s="8" t="s">
        <v>20</v>
      </c>
      <c r="G421" s="8" t="s">
        <v>21</v>
      </c>
      <c r="H421" s="9"/>
      <c r="I421" s="9"/>
      <c r="J421" s="10">
        <f t="shared" ref="J421:M421" si="242">ifs(OR($H421="R",$I421="N"),"N/A",OR(C421="A",C421="B",C421="C",C421="U"),3,TRUE,"FLAG")</f>
        <v>3</v>
      </c>
      <c r="K421" s="10">
        <f t="shared" si="242"/>
        <v>3</v>
      </c>
      <c r="L421" s="10">
        <f t="shared" si="242"/>
        <v>3</v>
      </c>
      <c r="M421" s="10" t="str">
        <f t="shared" si="242"/>
        <v>FLAG</v>
      </c>
      <c r="N421" s="10" t="str">
        <f t="shared" si="2"/>
        <v>32-1151 - Boating; Water Activities; scuba diving; rules and regulations; buoy required</v>
      </c>
      <c r="O421" s="10" t="str">
        <f t="shared" si="3"/>
        <v>Boating</v>
      </c>
      <c r="Q421" s="10" t="str">
        <f>IFERROR(__xludf.DUMMYFUNCTION("""COMPUTED_VALUE"""),"Sale of Recut or Regrooved Tires")</f>
        <v>Sale of Recut or Regrooved Tires</v>
      </c>
    </row>
    <row r="422">
      <c r="A422" s="7" t="s">
        <v>807</v>
      </c>
      <c r="B422" s="8" t="s">
        <v>808</v>
      </c>
      <c r="C422" s="8" t="s">
        <v>19</v>
      </c>
      <c r="D422" s="8" t="s">
        <v>19</v>
      </c>
      <c r="E422" s="8" t="s">
        <v>19</v>
      </c>
      <c r="F422" s="8" t="s">
        <v>20</v>
      </c>
      <c r="G422" s="8" t="s">
        <v>21</v>
      </c>
      <c r="H422" s="9"/>
      <c r="I422" s="9"/>
      <c r="J422" s="10">
        <f t="shared" ref="J422:M422" si="243">ifs(OR($H422="R",$I422="N"),"N/A",OR(C422="A",C422="B",C422="C",C422="U"),3,TRUE,"FLAG")</f>
        <v>3</v>
      </c>
      <c r="K422" s="10">
        <f t="shared" si="243"/>
        <v>3</v>
      </c>
      <c r="L422" s="10">
        <f t="shared" si="243"/>
        <v>3</v>
      </c>
      <c r="M422" s="10" t="str">
        <f t="shared" si="243"/>
        <v>FLAG</v>
      </c>
      <c r="N422" s="10" t="str">
        <f t="shared" si="2"/>
        <v>32-1150 - Boating; Water Activities; Scuba diving; rules and regulations; diving in prohibited locations</v>
      </c>
      <c r="O422" s="10" t="str">
        <f t="shared" si="3"/>
        <v>Boating</v>
      </c>
      <c r="Q422" s="10" t="str">
        <f>IFERROR(__xludf.DUMMYFUNCTION("""COMPUTED_VALUE"""),"Sand &amp; Gravel")</f>
        <v>Sand &amp; Gravel</v>
      </c>
    </row>
    <row r="423">
      <c r="A423" s="7" t="s">
        <v>809</v>
      </c>
      <c r="B423" s="8" t="s">
        <v>810</v>
      </c>
      <c r="C423" s="8" t="s">
        <v>19</v>
      </c>
      <c r="D423" s="8" t="s">
        <v>19</v>
      </c>
      <c r="E423" s="8" t="s">
        <v>19</v>
      </c>
      <c r="F423" s="8" t="s">
        <v>20</v>
      </c>
      <c r="G423" s="8" t="s">
        <v>21</v>
      </c>
      <c r="H423" s="9"/>
      <c r="I423" s="9"/>
      <c r="J423" s="10">
        <f t="shared" ref="J423:M423" si="244">ifs(OR($H423="R",$I423="N"),"N/A",OR(C423="A",C423="B",C423="C",C423="U"),3,TRUE,"FLAG")</f>
        <v>3</v>
      </c>
      <c r="K423" s="10">
        <f t="shared" si="244"/>
        <v>3</v>
      </c>
      <c r="L423" s="10">
        <f t="shared" si="244"/>
        <v>3</v>
      </c>
      <c r="M423" s="10" t="str">
        <f t="shared" si="244"/>
        <v>FLAG</v>
      </c>
      <c r="N423" s="10" t="str">
        <f t="shared" si="2"/>
        <v>32-1125(f) - Boating; Willfully fail or refuse to stop, or flee or attempt to elude a pursuing law enforcement vehicle or vessel, when given a visual or audible signal to stop</v>
      </c>
      <c r="O423" s="10" t="str">
        <f t="shared" si="3"/>
        <v>Boating</v>
      </c>
      <c r="Q423" s="10" t="str">
        <f>IFERROR(__xludf.DUMMYFUNCTION("""COMPUTED_VALUE"""),"Sanitation Controls")</f>
        <v>Sanitation Controls</v>
      </c>
    </row>
    <row r="424">
      <c r="A424" s="7" t="s">
        <v>811</v>
      </c>
      <c r="B424" s="12" t="s">
        <v>812</v>
      </c>
      <c r="C424" s="8" t="s">
        <v>18</v>
      </c>
      <c r="D424" s="8" t="s">
        <v>18</v>
      </c>
      <c r="E424" s="8" t="s">
        <v>19</v>
      </c>
      <c r="F424" s="8" t="s">
        <v>20</v>
      </c>
      <c r="G424" s="8" t="s">
        <v>21</v>
      </c>
      <c r="H424" s="9"/>
      <c r="I424" s="9"/>
      <c r="J424" s="10">
        <f t="shared" ref="J424:M424" si="245">ifs(OR($H424="R",$I424="N"),"N/A",OR(C424="A",C424="B",C424="C",C424="U"),3,TRUE,"FLAG")</f>
        <v>3</v>
      </c>
      <c r="K424" s="10">
        <f t="shared" si="245"/>
        <v>3</v>
      </c>
      <c r="L424" s="10">
        <f t="shared" si="245"/>
        <v>3</v>
      </c>
      <c r="M424" s="10" t="str">
        <f t="shared" si="245"/>
        <v>FLAG</v>
      </c>
      <c r="N424" s="10" t="str">
        <f t="shared" si="2"/>
        <v>-286806 - Bonds &amp; Warrants; Cash-Basis law; clerks not to issue or sign orders</v>
      </c>
      <c r="O424" s="10" t="str">
        <f t="shared" si="3"/>
        <v>Bonds &amp; Warrants</v>
      </c>
      <c r="Q424" s="10" t="str">
        <f>IFERROR(__xludf.DUMMYFUNCTION("""COMPUTED_VALUE"""),"Savings &amp; Loans Code")</f>
        <v>Savings &amp; Loans Code</v>
      </c>
    </row>
    <row r="425">
      <c r="A425" s="7" t="s">
        <v>813</v>
      </c>
      <c r="B425" s="12" t="s">
        <v>814</v>
      </c>
      <c r="C425" s="8" t="s">
        <v>18</v>
      </c>
      <c r="D425" s="8" t="s">
        <v>18</v>
      </c>
      <c r="E425" s="8" t="s">
        <v>19</v>
      </c>
      <c r="F425" s="8" t="s">
        <v>20</v>
      </c>
      <c r="G425" s="8" t="s">
        <v>21</v>
      </c>
      <c r="H425" s="9"/>
      <c r="I425" s="9"/>
      <c r="J425" s="10">
        <f t="shared" ref="J425:M425" si="246">ifs(OR($H425="R",$I425="N"),"N/A",OR(C425="A",C425="B",C425="C",C425="U"),3,TRUE,"FLAG")</f>
        <v>3</v>
      </c>
      <c r="K425" s="10">
        <f t="shared" si="246"/>
        <v>3</v>
      </c>
      <c r="L425" s="10">
        <f t="shared" si="246"/>
        <v>3</v>
      </c>
      <c r="M425" s="10" t="str">
        <f t="shared" si="246"/>
        <v>FLAG</v>
      </c>
      <c r="N425" s="10" t="str">
        <f t="shared" si="2"/>
        <v>-287171 - Bonds &amp; Warrants; Cash-Basis law; creating indebtedness in excess of funds unlawful</v>
      </c>
      <c r="O425" s="10" t="str">
        <f t="shared" si="3"/>
        <v>Bonds &amp; Warrants</v>
      </c>
      <c r="Q425" s="10" t="str">
        <f>IFERROR(__xludf.DUMMYFUNCTION("""COMPUTED_VALUE"""),"School Safety &amp; Security Act")</f>
        <v>School Safety &amp; Security Act</v>
      </c>
    </row>
    <row r="426">
      <c r="A426" s="7" t="s">
        <v>815</v>
      </c>
      <c r="B426" s="8" t="s">
        <v>816</v>
      </c>
      <c r="C426" s="8" t="s">
        <v>18</v>
      </c>
      <c r="D426" s="8" t="s">
        <v>18</v>
      </c>
      <c r="E426" s="8" t="s">
        <v>19</v>
      </c>
      <c r="F426" s="8" t="s">
        <v>20</v>
      </c>
      <c r="G426" s="8" t="s">
        <v>21</v>
      </c>
      <c r="H426" s="9"/>
      <c r="I426" s="9"/>
      <c r="J426" s="10">
        <f t="shared" ref="J426:M426" si="247">ifs(OR($H426="R",$I426="N"),"N/A",OR(C426="A",C426="B",C426="C",C426="U"),3,TRUE,"FLAG")</f>
        <v>3</v>
      </c>
      <c r="K426" s="10">
        <f t="shared" si="247"/>
        <v>3</v>
      </c>
      <c r="L426" s="10">
        <f t="shared" si="247"/>
        <v>3</v>
      </c>
      <c r="M426" s="10" t="str">
        <f t="shared" si="247"/>
        <v>FLAG</v>
      </c>
      <c r="N426" s="10" t="str">
        <f t="shared" si="2"/>
        <v>10-1116(c) - Bonds &amp; Warrants; Cash-Basis law; member of governing body of any municipality, knowingly voting for or in any manner aid or promote the entering into of any contract or the creation of any other indebtedness</v>
      </c>
      <c r="O426" s="10" t="str">
        <f t="shared" si="3"/>
        <v>Bonds &amp; Warrants</v>
      </c>
      <c r="Q426" s="10" t="str">
        <f>IFERROR(__xludf.DUMMYFUNCTION("""COMPUTED_VALUE"""),"Schools")</f>
        <v>Schools</v>
      </c>
    </row>
    <row r="427">
      <c r="A427" s="7" t="s">
        <v>817</v>
      </c>
      <c r="B427" s="12" t="s">
        <v>818</v>
      </c>
      <c r="C427" s="8" t="s">
        <v>18</v>
      </c>
      <c r="D427" s="8" t="s">
        <v>18</v>
      </c>
      <c r="E427" s="8" t="s">
        <v>19</v>
      </c>
      <c r="F427" s="8" t="s">
        <v>20</v>
      </c>
      <c r="G427" s="8" t="s">
        <v>21</v>
      </c>
      <c r="H427" s="9"/>
      <c r="I427" s="9"/>
      <c r="J427" s="10">
        <f t="shared" ref="J427:M427" si="248">ifs(OR($H427="R",$I427="N"),"N/A",OR(C427="A",C427="B",C427="C",C427="U"),3,TRUE,"FLAG")</f>
        <v>3</v>
      </c>
      <c r="K427" s="10">
        <f t="shared" si="248"/>
        <v>3</v>
      </c>
      <c r="L427" s="10">
        <f t="shared" si="248"/>
        <v>3</v>
      </c>
      <c r="M427" s="10" t="str">
        <f t="shared" si="248"/>
        <v>FLAG</v>
      </c>
      <c r="N427" s="10" t="str">
        <f t="shared" si="2"/>
        <v>-286441 - Bonds &amp; Warrants; Cash-Basis law; treasurers not to pay orders</v>
      </c>
      <c r="O427" s="10" t="str">
        <f t="shared" si="3"/>
        <v>Bonds &amp; Warrants</v>
      </c>
      <c r="Q427" s="10" t="str">
        <f>IFERROR(__xludf.DUMMYFUNCTION("""COMPUTED_VALUE"""),"Scrap Metal Dealers")</f>
        <v>Scrap Metal Dealers</v>
      </c>
    </row>
    <row r="428">
      <c r="A428" s="7" t="s">
        <v>819</v>
      </c>
      <c r="B428" s="8" t="s">
        <v>820</v>
      </c>
      <c r="C428" s="8" t="s">
        <v>18</v>
      </c>
      <c r="D428" s="8" t="s">
        <v>18</v>
      </c>
      <c r="E428" s="8" t="s">
        <v>19</v>
      </c>
      <c r="F428" s="8" t="s">
        <v>20</v>
      </c>
      <c r="G428" s="8" t="s">
        <v>21</v>
      </c>
      <c r="H428" s="9"/>
      <c r="I428" s="9"/>
      <c r="J428" s="10">
        <f t="shared" ref="J428:M428" si="249">ifs(OR($H428="R",$I428="N"),"N/A",OR(C428="A",C428="B",C428="C",C428="U"),3,TRUE,"FLAG")</f>
        <v>3</v>
      </c>
      <c r="K428" s="10">
        <f t="shared" si="249"/>
        <v>3</v>
      </c>
      <c r="L428" s="10">
        <f t="shared" si="249"/>
        <v>3</v>
      </c>
      <c r="M428" s="10" t="str">
        <f t="shared" si="249"/>
        <v>FLAG</v>
      </c>
      <c r="N428" s="10" t="str">
        <f t="shared" si="2"/>
        <v>10-118a - Bonds &amp; Warrants; Diversion of interest and sinking funds for refunding bonds; misappropriation of such</v>
      </c>
      <c r="O428" s="10" t="str">
        <f t="shared" si="3"/>
        <v>Bonds &amp; Warrants</v>
      </c>
      <c r="Q428" s="10" t="str">
        <f>IFERROR(__xludf.DUMMYFUNCTION("""COMPUTED_VALUE"""),"Sec. of Health &amp; Environment, Activities")</f>
        <v>Sec. of Health &amp; Environment, Activities</v>
      </c>
    </row>
    <row r="429">
      <c r="A429" s="7" t="s">
        <v>821</v>
      </c>
      <c r="B429" s="8" t="s">
        <v>822</v>
      </c>
      <c r="C429" s="8" t="s">
        <v>18</v>
      </c>
      <c r="D429" s="8" t="s">
        <v>18</v>
      </c>
      <c r="E429" s="8" t="s">
        <v>19</v>
      </c>
      <c r="F429" s="8" t="s">
        <v>20</v>
      </c>
      <c r="G429" s="8" t="s">
        <v>21</v>
      </c>
      <c r="H429" s="9"/>
      <c r="I429" s="9"/>
      <c r="J429" s="10">
        <f t="shared" ref="J429:M429" si="250">ifs(OR($H429="R",$I429="N"),"N/A",OR(C429="A",C429="B",C429="C",C429="U"),3,TRUE,"FLAG")</f>
        <v>3</v>
      </c>
      <c r="K429" s="10">
        <f t="shared" si="250"/>
        <v>3</v>
      </c>
      <c r="L429" s="10">
        <f t="shared" si="250"/>
        <v>3</v>
      </c>
      <c r="M429" s="10" t="str">
        <f t="shared" si="250"/>
        <v>FLAG</v>
      </c>
      <c r="N429" s="10" t="str">
        <f t="shared" si="2"/>
        <v>10-810 - Bonds &amp; Warrants; Execution of unlawful or irregular warrants or warrant checks</v>
      </c>
      <c r="O429" s="10" t="str">
        <f t="shared" si="3"/>
        <v>Bonds &amp; Warrants</v>
      </c>
      <c r="Q429" s="10" t="str">
        <f>IFERROR(__xludf.DUMMYFUNCTION("""COMPUTED_VALUE"""),"Second Amendment Protection Act")</f>
        <v>Second Amendment Protection Act</v>
      </c>
    </row>
    <row r="430">
      <c r="A430" s="7" t="s">
        <v>823</v>
      </c>
      <c r="B430" s="8" t="s">
        <v>824</v>
      </c>
      <c r="C430" s="8" t="s">
        <v>19</v>
      </c>
      <c r="D430" s="8" t="s">
        <v>19</v>
      </c>
      <c r="E430" s="8" t="s">
        <v>19</v>
      </c>
      <c r="F430" s="8" t="s">
        <v>20</v>
      </c>
      <c r="G430" s="8" t="s">
        <v>21</v>
      </c>
      <c r="H430" s="9"/>
      <c r="I430" s="9"/>
      <c r="J430" s="10">
        <f t="shared" ref="J430:M430" si="251">ifs(OR($H430="R",$I430="N"),"N/A",OR(C430="A",C430="B",C430="C",C430="U"),3,TRUE,"FLAG")</f>
        <v>3</v>
      </c>
      <c r="K430" s="10">
        <f t="shared" si="251"/>
        <v>3</v>
      </c>
      <c r="L430" s="10">
        <f t="shared" si="251"/>
        <v>3</v>
      </c>
      <c r="M430" s="10" t="str">
        <f t="shared" si="251"/>
        <v>FLAG</v>
      </c>
      <c r="N430" s="10" t="str">
        <f t="shared" si="2"/>
        <v>10-130(d)(1) - Bonds &amp; Warrants; Failure of a county treasurer to forward moneys in the county treasury when requested</v>
      </c>
      <c r="O430" s="10" t="str">
        <f t="shared" si="3"/>
        <v>Bonds &amp; Warrants</v>
      </c>
      <c r="Q430" s="10" t="str">
        <f>IFERROR(__xludf.DUMMYFUNCTION("""COMPUTED_VALUE"""),"Sedition")</f>
        <v>Sedition</v>
      </c>
    </row>
    <row r="431">
      <c r="A431" s="7" t="s">
        <v>825</v>
      </c>
      <c r="B431" s="8" t="s">
        <v>826</v>
      </c>
      <c r="C431" s="8" t="s">
        <v>18</v>
      </c>
      <c r="D431" s="8" t="s">
        <v>18</v>
      </c>
      <c r="E431" s="8" t="s">
        <v>19</v>
      </c>
      <c r="F431" s="8" t="s">
        <v>20</v>
      </c>
      <c r="G431" s="8" t="s">
        <v>21</v>
      </c>
      <c r="H431" s="9"/>
      <c r="I431" s="9"/>
      <c r="J431" s="10">
        <f t="shared" ref="J431:M431" si="252">ifs(OR($H431="R",$I431="N"),"N/A",OR(C431="A",C431="B",C431="C",C431="U"),3,TRUE,"FLAG")</f>
        <v>3</v>
      </c>
      <c r="K431" s="10">
        <f t="shared" si="252"/>
        <v>3</v>
      </c>
      <c r="L431" s="10">
        <f t="shared" si="252"/>
        <v>3</v>
      </c>
      <c r="M431" s="10" t="str">
        <f t="shared" si="252"/>
        <v>FLAG</v>
      </c>
      <c r="N431" s="10" t="str">
        <f t="shared" si="2"/>
        <v>10-130a - Bonds &amp; Warrants; Failure of state treasurer to pay certain funds or moneys as provided by law</v>
      </c>
      <c r="O431" s="10" t="str">
        <f t="shared" si="3"/>
        <v>Bonds &amp; Warrants</v>
      </c>
      <c r="Q431" s="10" t="str">
        <f>IFERROR(__xludf.DUMMYFUNCTION("""COMPUTED_VALUE"""),"Sell Beverage Containers with Detachable Tabs")</f>
        <v>Sell Beverage Containers with Detachable Tabs</v>
      </c>
    </row>
    <row r="432">
      <c r="A432" s="7" t="s">
        <v>827</v>
      </c>
      <c r="B432" s="8" t="s">
        <v>828</v>
      </c>
      <c r="C432" s="8" t="s">
        <v>19</v>
      </c>
      <c r="D432" s="8" t="s">
        <v>19</v>
      </c>
      <c r="E432" s="8" t="s">
        <v>19</v>
      </c>
      <c r="F432" s="8" t="s">
        <v>20</v>
      </c>
      <c r="G432" s="8" t="s">
        <v>21</v>
      </c>
      <c r="H432" s="9"/>
      <c r="I432" s="9"/>
      <c r="J432" s="10">
        <f t="shared" ref="J432:M432" si="253">ifs(OR($H432="R",$I432="N"),"N/A",OR(C432="A",C432="B",C432="C",C432="U"),3,TRUE,"FLAG")</f>
        <v>3</v>
      </c>
      <c r="K432" s="10">
        <f t="shared" si="253"/>
        <v>3</v>
      </c>
      <c r="L432" s="10">
        <f t="shared" si="253"/>
        <v>3</v>
      </c>
      <c r="M432" s="10" t="str">
        <f t="shared" si="253"/>
        <v>FLAG</v>
      </c>
      <c r="N432" s="10" t="str">
        <f t="shared" si="2"/>
        <v>10-130(d)(2) - Bonds &amp; Warrants; Failure of the treasurer of a municipality or any county treasurer to make timely request for moneys</v>
      </c>
      <c r="O432" s="10" t="str">
        <f t="shared" si="3"/>
        <v>Bonds &amp; Warrants</v>
      </c>
      <c r="Q432" s="10" t="str">
        <f>IFERROR(__xludf.DUMMYFUNCTION("""COMPUTED_VALUE"""),"Selling Sexual Relations")</f>
        <v>Selling Sexual Relations</v>
      </c>
    </row>
    <row r="433">
      <c r="A433" s="7" t="s">
        <v>829</v>
      </c>
      <c r="B433" s="8" t="s">
        <v>830</v>
      </c>
      <c r="C433" s="8" t="s">
        <v>19</v>
      </c>
      <c r="D433" s="8" t="s">
        <v>19</v>
      </c>
      <c r="E433" s="8" t="s">
        <v>19</v>
      </c>
      <c r="F433" s="8" t="s">
        <v>20</v>
      </c>
      <c r="G433" s="8" t="s">
        <v>21</v>
      </c>
      <c r="H433" s="9"/>
      <c r="I433" s="9"/>
      <c r="J433" s="10">
        <f t="shared" ref="J433:M433" si="254">ifs(OR($H433="R",$I433="N"),"N/A",OR(C433="A",C433="B",C433="C",C433="U"),3,TRUE,"FLAG")</f>
        <v>3</v>
      </c>
      <c r="K433" s="10">
        <f t="shared" si="254"/>
        <v>3</v>
      </c>
      <c r="L433" s="10">
        <f t="shared" si="254"/>
        <v>3</v>
      </c>
      <c r="M433" s="10" t="str">
        <f t="shared" si="254"/>
        <v>FLAG</v>
      </c>
      <c r="N433" s="10" t="str">
        <f t="shared" si="2"/>
        <v>10-130(d)(3) - Bonds &amp; Warrants; Failure of the treasurer of a municipality to make timely remittance of moneys for redemption of bonds or to pay the interest thereon</v>
      </c>
      <c r="O433" s="10" t="str">
        <f t="shared" si="3"/>
        <v>Bonds &amp; Warrants</v>
      </c>
      <c r="Q433" s="10" t="str">
        <f>IFERROR(__xludf.DUMMYFUNCTION("""COMPUTED_VALUE"""),"Sewer Districts")</f>
        <v>Sewer Districts</v>
      </c>
    </row>
    <row r="434">
      <c r="A434" s="7" t="s">
        <v>831</v>
      </c>
      <c r="B434" s="8" t="s">
        <v>832</v>
      </c>
      <c r="C434" s="8" t="s">
        <v>19</v>
      </c>
      <c r="D434" s="8" t="s">
        <v>19</v>
      </c>
      <c r="E434" s="8" t="s">
        <v>19</v>
      </c>
      <c r="F434" s="8" t="s">
        <v>20</v>
      </c>
      <c r="G434" s="8" t="s">
        <v>21</v>
      </c>
      <c r="H434" s="9"/>
      <c r="I434" s="9"/>
      <c r="J434" s="10">
        <f t="shared" ref="J434:M434" si="255">ifs(OR($H434="R",$I434="N"),"N/A",OR(C434="A",C434="B",C434="C",C434="U"),3,TRUE,"FLAG")</f>
        <v>3</v>
      </c>
      <c r="K434" s="10">
        <f t="shared" si="255"/>
        <v>3</v>
      </c>
      <c r="L434" s="10">
        <f t="shared" si="255"/>
        <v>3</v>
      </c>
      <c r="M434" s="10" t="str">
        <f t="shared" si="255"/>
        <v>FLAG</v>
      </c>
      <c r="N434" s="10" t="str">
        <f t="shared" si="2"/>
        <v>10-110(a) - Bonds &amp; Warrants; Failure to furnish statement</v>
      </c>
      <c r="O434" s="10" t="str">
        <f t="shared" si="3"/>
        <v>Bonds &amp; Warrants</v>
      </c>
      <c r="Q434" s="10" t="str">
        <f>IFERROR(__xludf.DUMMYFUNCTION("""COMPUTED_VALUE"""),"Sexual Battery")</f>
        <v>Sexual Battery</v>
      </c>
    </row>
    <row r="435">
      <c r="A435" s="7" t="s">
        <v>833</v>
      </c>
      <c r="B435" s="8" t="s">
        <v>834</v>
      </c>
      <c r="C435" s="8" t="s">
        <v>18</v>
      </c>
      <c r="D435" s="8" t="s">
        <v>18</v>
      </c>
      <c r="E435" s="8" t="s">
        <v>19</v>
      </c>
      <c r="F435" s="8" t="s">
        <v>20</v>
      </c>
      <c r="G435" s="8" t="s">
        <v>21</v>
      </c>
      <c r="H435" s="9"/>
      <c r="I435" s="9"/>
      <c r="J435" s="10">
        <f t="shared" ref="J435:M435" si="256">ifs(OR($H435="R",$I435="N"),"N/A",OR(C435="A",C435="B",C435="C",C435="U"),3,TRUE,"FLAG")</f>
        <v>3</v>
      </c>
      <c r="K435" s="10">
        <f t="shared" si="256"/>
        <v>3</v>
      </c>
      <c r="L435" s="10">
        <f t="shared" si="256"/>
        <v>3</v>
      </c>
      <c r="M435" s="10" t="str">
        <f t="shared" si="256"/>
        <v>FLAG</v>
      </c>
      <c r="N435" s="10" t="str">
        <f t="shared" si="2"/>
        <v>10-113 - Bonds &amp; Warrants; Failure to levy a sum sufficient to pay the interest on bonds as required</v>
      </c>
      <c r="O435" s="10" t="str">
        <f t="shared" si="3"/>
        <v>Bonds &amp; Warrants</v>
      </c>
      <c r="Q435" s="10" t="str">
        <f>IFERROR(__xludf.DUMMYFUNCTION("""COMPUTED_VALUE"""),"Sexual Exploitation of Child")</f>
        <v>Sexual Exploitation of Child</v>
      </c>
    </row>
    <row r="436">
      <c r="A436" s="7" t="s">
        <v>835</v>
      </c>
      <c r="B436" s="8" t="s">
        <v>832</v>
      </c>
      <c r="C436" s="8" t="s">
        <v>19</v>
      </c>
      <c r="D436" s="8" t="s">
        <v>19</v>
      </c>
      <c r="E436" s="8" t="s">
        <v>19</v>
      </c>
      <c r="F436" s="8" t="s">
        <v>20</v>
      </c>
      <c r="G436" s="8" t="s">
        <v>21</v>
      </c>
      <c r="H436" s="9"/>
      <c r="I436" s="9"/>
      <c r="J436" s="10">
        <f t="shared" ref="J436:M436" si="257">ifs(OR($H436="R",$I436="N"),"N/A",OR(C436="A",C436="B",C436="C",C436="U"),3,TRUE,"FLAG")</f>
        <v>3</v>
      </c>
      <c r="K436" s="10">
        <f t="shared" si="257"/>
        <v>3</v>
      </c>
      <c r="L436" s="10">
        <f t="shared" si="257"/>
        <v>3</v>
      </c>
      <c r="M436" s="10" t="str">
        <f t="shared" si="257"/>
        <v>FLAG</v>
      </c>
      <c r="N436" s="10" t="str">
        <f t="shared" si="2"/>
        <v>10-110(a) - Bonds &amp; Warrants; Failure to make cancellation</v>
      </c>
      <c r="O436" s="10" t="str">
        <f t="shared" si="3"/>
        <v>Bonds &amp; Warrants</v>
      </c>
      <c r="Q436" s="10" t="str">
        <f>IFERROR(__xludf.DUMMYFUNCTION("""COMPUTED_VALUE"""),"Sexually-Oriented Signs - violation of provisions")</f>
        <v>Sexually-Oriented Signs - violation of provisions</v>
      </c>
    </row>
    <row r="437">
      <c r="A437" s="7" t="s">
        <v>836</v>
      </c>
      <c r="B437" s="8" t="s">
        <v>837</v>
      </c>
      <c r="C437" s="8" t="s">
        <v>18</v>
      </c>
      <c r="D437" s="8" t="s">
        <v>18</v>
      </c>
      <c r="E437" s="8" t="s">
        <v>19</v>
      </c>
      <c r="F437" s="8" t="s">
        <v>20</v>
      </c>
      <c r="G437" s="8" t="s">
        <v>21</v>
      </c>
      <c r="H437" s="9"/>
      <c r="I437" s="9"/>
      <c r="J437" s="10">
        <f t="shared" ref="J437:M437" si="258">ifs(OR($H437="R",$I437="N"),"N/A",OR(C437="A",C437="B",C437="C",C437="U"),3,TRUE,"FLAG")</f>
        <v>3</v>
      </c>
      <c r="K437" s="10">
        <f t="shared" si="258"/>
        <v>3</v>
      </c>
      <c r="L437" s="10">
        <f t="shared" si="258"/>
        <v>3</v>
      </c>
      <c r="M437" s="10" t="str">
        <f t="shared" si="258"/>
        <v>FLAG</v>
      </c>
      <c r="N437" s="10" t="str">
        <f t="shared" si="2"/>
        <v>10-117 - Bonds &amp; Warrants; Unlawful issue, diversion or misuse of bond proceeds or tax funds</v>
      </c>
      <c r="O437" s="10" t="str">
        <f t="shared" si="3"/>
        <v>Bonds &amp; Warrants</v>
      </c>
      <c r="Q437" s="10" t="str">
        <f>IFERROR(__xludf.DUMMYFUNCTION("""COMPUTED_VALUE"""),"Simulating the Legal Process")</f>
        <v>Simulating the Legal Process</v>
      </c>
    </row>
    <row r="438">
      <c r="A438" s="7" t="s">
        <v>838</v>
      </c>
      <c r="B438" s="8" t="s">
        <v>839</v>
      </c>
      <c r="C438" s="8">
        <v>8.0</v>
      </c>
      <c r="D438" s="8">
        <v>10.0</v>
      </c>
      <c r="E438" s="8">
        <v>10.0</v>
      </c>
      <c r="F438" s="8">
        <v>10.0</v>
      </c>
      <c r="G438" s="8" t="s">
        <v>24</v>
      </c>
      <c r="H438" s="9"/>
      <c r="I438" s="9"/>
      <c r="N438" s="10" t="str">
        <f t="shared" si="2"/>
        <v>21-6101(a)(8) - Breach of Privacy; Disseminating any videotape photograph, film or image of another identifiable person 18 years of age or older who is nude or engaged in sexual activity and under circumstances in which such identifiable person had a reasonable expectation of privacy, with the intent to harass, threaten or intimidate such identifiable person, and such identifiable person did not consent to such dissemination</v>
      </c>
      <c r="O438" s="10" t="str">
        <f t="shared" si="3"/>
        <v>Breach of Privacy</v>
      </c>
      <c r="Q438" s="10" t="str">
        <f>IFERROR(__xludf.DUMMYFUNCTION("""COMPUTED_VALUE"""),"Smoke Detector Act")</f>
        <v>Smoke Detector Act</v>
      </c>
    </row>
    <row r="439">
      <c r="A439" s="7" t="s">
        <v>840</v>
      </c>
      <c r="B439" s="8" t="s">
        <v>839</v>
      </c>
      <c r="C439" s="8">
        <v>5.0</v>
      </c>
      <c r="D439" s="8">
        <v>7.0</v>
      </c>
      <c r="E439" s="8">
        <v>7.0</v>
      </c>
      <c r="F439" s="8">
        <v>8.0</v>
      </c>
      <c r="G439" s="8" t="s">
        <v>24</v>
      </c>
      <c r="H439" s="9"/>
      <c r="I439" s="9"/>
      <c r="N439" s="10" t="str">
        <f t="shared" si="2"/>
        <v>21-6101(a)(8) - Breach of Privacy; Disseminating any videotape photograph, film or image of another identifiable person 18 years of age or older who is nude or engaged in sexual activity and under circumstances in which such identifiable person had a reasonable expectation of privacy, with the intent to harass, threaten or intimidate such identifiable person, and such identifiable person did not consent to such dissemination; 2nd or subsequent offense</v>
      </c>
      <c r="O439" s="10" t="str">
        <f t="shared" si="3"/>
        <v>Breach of Privacy</v>
      </c>
      <c r="Q439" s="10" t="str">
        <f>IFERROR(__xludf.DUMMYFUNCTION("""COMPUTED_VALUE"""),"Social Workers")</f>
        <v>Social Workers</v>
      </c>
    </row>
    <row r="440">
      <c r="A440" s="7" t="s">
        <v>841</v>
      </c>
      <c r="B440" s="8" t="s">
        <v>842</v>
      </c>
      <c r="C440" s="8" t="s">
        <v>27</v>
      </c>
      <c r="D440" s="8" t="s">
        <v>28</v>
      </c>
      <c r="E440" s="8" t="s">
        <v>19</v>
      </c>
      <c r="F440" s="8" t="s">
        <v>20</v>
      </c>
      <c r="G440" s="8" t="s">
        <v>21</v>
      </c>
      <c r="H440" s="9"/>
      <c r="I440" s="9"/>
      <c r="J440" s="10">
        <f t="shared" ref="J440:M440" si="259">ifs(OR($H440="R",$I440="N"),"N/A",OR(C440="A",C440="B",C440="C",C440="U"),3,TRUE,"FLAG")</f>
        <v>3</v>
      </c>
      <c r="K440" s="10">
        <f t="shared" si="259"/>
        <v>3</v>
      </c>
      <c r="L440" s="10">
        <f t="shared" si="259"/>
        <v>3</v>
      </c>
      <c r="M440" s="10" t="str">
        <f t="shared" si="259"/>
        <v>FLAG</v>
      </c>
      <c r="N440" s="10" t="str">
        <f t="shared" si="2"/>
        <v>21-6101(a)(5) - Breach of Privacy; Install or use any device or equipment for the interception of any telephone, telegraph or other wire or wireless communication</v>
      </c>
      <c r="O440" s="10" t="str">
        <f t="shared" si="3"/>
        <v>Breach of Privacy</v>
      </c>
      <c r="Q440" s="10" t="str">
        <f>IFERROR(__xludf.DUMMYFUNCTION("""COMPUTED_VALUE"""),"Soil Amendment Act")</f>
        <v>Soil Amendment Act</v>
      </c>
    </row>
    <row r="441">
      <c r="A441" s="7" t="s">
        <v>843</v>
      </c>
      <c r="B441" s="8" t="s">
        <v>844</v>
      </c>
      <c r="C441" s="8" t="s">
        <v>27</v>
      </c>
      <c r="D441" s="8" t="s">
        <v>28</v>
      </c>
      <c r="E441" s="8" t="s">
        <v>19</v>
      </c>
      <c r="F441" s="8" t="s">
        <v>20</v>
      </c>
      <c r="G441" s="8" t="s">
        <v>21</v>
      </c>
      <c r="H441" s="9"/>
      <c r="I441" s="9"/>
      <c r="J441" s="10">
        <f t="shared" ref="J441:M441" si="260">ifs(OR($H441="R",$I441="N"),"N/A",OR(C441="A",C441="B",C441="C",C441="U"),3,TRUE,"FLAG")</f>
        <v>3</v>
      </c>
      <c r="K441" s="10">
        <f t="shared" si="260"/>
        <v>3</v>
      </c>
      <c r="L441" s="10">
        <f t="shared" si="260"/>
        <v>3</v>
      </c>
      <c r="M441" s="10" t="str">
        <f t="shared" si="260"/>
        <v>FLAG</v>
      </c>
      <c r="N441" s="10" t="str">
        <f t="shared" si="2"/>
        <v>21-6101(a)(4) - Breach of Privacy; Install or use outside or inside a private place any device for hearing, recording, amplifying or broadcasting sounds</v>
      </c>
      <c r="O441" s="10" t="str">
        <f t="shared" si="3"/>
        <v>Breach of Privacy</v>
      </c>
      <c r="Q441" s="10" t="str">
        <f>IFERROR(__xludf.DUMMYFUNCTION("""COMPUTED_VALUE"""),"Soldiers, Sailors &amp; Patriotic Emblems")</f>
        <v>Soldiers, Sailors &amp; Patriotic Emblems</v>
      </c>
    </row>
    <row r="442">
      <c r="A442" s="7" t="s">
        <v>845</v>
      </c>
      <c r="B442" s="8" t="s">
        <v>846</v>
      </c>
      <c r="C442" s="8">
        <v>5.0</v>
      </c>
      <c r="D442" s="8">
        <v>7.0</v>
      </c>
      <c r="E442" s="8">
        <v>7.0</v>
      </c>
      <c r="F442" s="8">
        <v>8.0</v>
      </c>
      <c r="G442" s="8" t="s">
        <v>24</v>
      </c>
      <c r="H442" s="9"/>
      <c r="I442" s="9"/>
      <c r="N442" s="10" t="str">
        <f t="shared" si="2"/>
        <v>21-6101(a)(7) - Breach of Privacy; Knowingly and without authority; Disseminating or permitting the dissemination of any videotape, photograph, film or image obtained in violation of subsection (a)(6)</v>
      </c>
      <c r="O442" s="10" t="str">
        <f t="shared" si="3"/>
        <v>Breach of Privacy</v>
      </c>
      <c r="Q442" s="10" t="str">
        <f>IFERROR(__xludf.DUMMYFUNCTION("""COMPUTED_VALUE"""),"Solid &amp; Hazardous Wastes")</f>
        <v>Solid &amp; Hazardous Wastes</v>
      </c>
    </row>
    <row r="443">
      <c r="A443" s="7" t="s">
        <v>847</v>
      </c>
      <c r="B443" s="8" t="s">
        <v>848</v>
      </c>
      <c r="C443" s="8" t="s">
        <v>27</v>
      </c>
      <c r="D443" s="8" t="s">
        <v>28</v>
      </c>
      <c r="E443" s="8" t="s">
        <v>19</v>
      </c>
      <c r="F443" s="8" t="s">
        <v>20</v>
      </c>
      <c r="G443" s="8" t="s">
        <v>21</v>
      </c>
      <c r="H443" s="9"/>
      <c r="I443" s="9"/>
      <c r="J443" s="10">
        <f t="shared" ref="J443:M443" si="261">ifs(OR($H443="R",$I443="N"),"N/A",OR(C443="A",C443="B",C443="C",C443="U"),3,TRUE,"FLAG")</f>
        <v>3</v>
      </c>
      <c r="K443" s="10">
        <f t="shared" si="261"/>
        <v>3</v>
      </c>
      <c r="L443" s="10">
        <f t="shared" si="261"/>
        <v>3</v>
      </c>
      <c r="M443" s="10" t="str">
        <f t="shared" si="261"/>
        <v>FLAG</v>
      </c>
      <c r="N443" s="10" t="str">
        <f t="shared" si="2"/>
        <v>21-6101(a)(2) - Breach of Privacy; Knowingly and without authority; Divulging, without consent of sender or receiver, the existence or contents of intercepted message</v>
      </c>
      <c r="O443" s="10" t="str">
        <f t="shared" si="3"/>
        <v>Breach of Privacy</v>
      </c>
      <c r="Q443" s="10" t="str">
        <f>IFERROR(__xludf.DUMMYFUNCTION("""COMPUTED_VALUE"""),"Speech-Language Pathologists &amp; Audiologists")</f>
        <v>Speech-Language Pathologists &amp; Audiologists</v>
      </c>
    </row>
    <row r="444">
      <c r="A444" s="7" t="s">
        <v>849</v>
      </c>
      <c r="B444" s="8" t="s">
        <v>850</v>
      </c>
      <c r="C444" s="8" t="s">
        <v>27</v>
      </c>
      <c r="D444" s="8" t="s">
        <v>28</v>
      </c>
      <c r="E444" s="8" t="s">
        <v>19</v>
      </c>
      <c r="F444" s="8" t="s">
        <v>20</v>
      </c>
      <c r="G444" s="8" t="s">
        <v>21</v>
      </c>
      <c r="H444" s="9"/>
      <c r="I444" s="9"/>
      <c r="J444" s="10">
        <f t="shared" ref="J444:M444" si="262">ifs(OR($H444="R",$I444="N"),"N/A",OR(C444="A",C444="B",C444="C",C444="U"),3,TRUE,"FLAG")</f>
        <v>3</v>
      </c>
      <c r="K444" s="10">
        <f t="shared" si="262"/>
        <v>3</v>
      </c>
      <c r="L444" s="10">
        <f t="shared" si="262"/>
        <v>3</v>
      </c>
      <c r="M444" s="10" t="str">
        <f t="shared" si="262"/>
        <v>FLAG</v>
      </c>
      <c r="N444" s="10" t="str">
        <f t="shared" si="2"/>
        <v>21-6101(a)(3) - Breach of Privacy; Knowingly and without authority; Enter with intent to listen surreptitiously to private conversations in a private place or to observe the personal conduct of any other person entitled to privacy therein</v>
      </c>
      <c r="O444" s="10" t="str">
        <f t="shared" si="3"/>
        <v>Breach of Privacy</v>
      </c>
      <c r="Q444" s="10" t="str">
        <f>IFERROR(__xludf.DUMMYFUNCTION("""COMPUTED_VALUE"""),"Sports Bribery")</f>
        <v>Sports Bribery</v>
      </c>
    </row>
    <row r="445">
      <c r="A445" s="7" t="s">
        <v>851</v>
      </c>
      <c r="B445" s="8" t="s">
        <v>852</v>
      </c>
      <c r="C445" s="8">
        <v>8.0</v>
      </c>
      <c r="D445" s="8">
        <v>10.0</v>
      </c>
      <c r="E445" s="8">
        <v>10.0</v>
      </c>
      <c r="F445" s="8">
        <v>10.0</v>
      </c>
      <c r="G445" s="8" t="s">
        <v>24</v>
      </c>
      <c r="H445" s="9"/>
      <c r="I445" s="9"/>
      <c r="N445" s="10" t="str">
        <f t="shared" si="2"/>
        <v>21-6101(a)(6) - Breach of Privacy; Knowingly and without authority; Installing or using a concealed camera of any type, to secretly photograph or record by electronic or other means, another, who is nude or in a state of undress, or record under or through the clothing being worn by that other person, for the purpose of viewing the body of, or the undergarments worn by, that other person, without consent or knowledge of that other person, with intent to invade the privacy</v>
      </c>
      <c r="O445" s="10" t="str">
        <f t="shared" si="3"/>
        <v>Breach of Privacy</v>
      </c>
      <c r="Q445" s="10" t="str">
        <f>IFERROR(__xludf.DUMMYFUNCTION("""COMPUTED_VALUE"""),"Stalking")</f>
        <v>Stalking</v>
      </c>
    </row>
    <row r="446">
      <c r="A446" s="7" t="s">
        <v>853</v>
      </c>
      <c r="B446" s="8" t="s">
        <v>852</v>
      </c>
      <c r="C446" s="8">
        <v>5.0</v>
      </c>
      <c r="D446" s="8">
        <v>7.0</v>
      </c>
      <c r="E446" s="8">
        <v>7.0</v>
      </c>
      <c r="F446" s="8">
        <v>8.0</v>
      </c>
      <c r="G446" s="8" t="s">
        <v>24</v>
      </c>
      <c r="H446" s="9"/>
      <c r="I446" s="9"/>
      <c r="N446" s="10" t="str">
        <f t="shared" si="2"/>
        <v>21-6101(a)(6) - Breach of Privacy; Knowingly and without authority; Installing or using a concealed camera of any type, to secretly photograph or record by electronic or other means, another, who is nude or in a state of undress, or record under or through the clothing being worn by that other person, for the purpose of viewing the body of, or the undergarments worn by, that other person, without consent or knowledge of that other person, with intent to invade the privacy; 2nd offense within 5 years</v>
      </c>
      <c r="O446" s="10" t="str">
        <f t="shared" si="3"/>
        <v>Breach of Privacy</v>
      </c>
      <c r="Q446" s="10" t="str">
        <f>IFERROR(__xludf.DUMMYFUNCTION("""COMPUTED_VALUE"""),"State Board of Technical Professionals")</f>
        <v>State Board of Technical Professionals</v>
      </c>
    </row>
    <row r="447">
      <c r="A447" s="7" t="s">
        <v>854</v>
      </c>
      <c r="B447" s="8" t="s">
        <v>855</v>
      </c>
      <c r="C447" s="8" t="s">
        <v>27</v>
      </c>
      <c r="D447" s="8" t="s">
        <v>28</v>
      </c>
      <c r="E447" s="8" t="s">
        <v>19</v>
      </c>
      <c r="F447" s="8" t="s">
        <v>20</v>
      </c>
      <c r="G447" s="8" t="s">
        <v>21</v>
      </c>
      <c r="H447" s="9"/>
      <c r="I447" s="9"/>
      <c r="J447" s="10">
        <f t="shared" ref="J447:M447" si="263">ifs(OR($H447="R",$I447="N"),"N/A",OR(C447="A",C447="B",C447="C",C447="U"),3,TRUE,"FLAG")</f>
        <v>3</v>
      </c>
      <c r="K447" s="10">
        <f t="shared" si="263"/>
        <v>3</v>
      </c>
      <c r="L447" s="10">
        <f t="shared" si="263"/>
        <v>3</v>
      </c>
      <c r="M447" s="10" t="str">
        <f t="shared" si="263"/>
        <v>FLAG</v>
      </c>
      <c r="N447" s="10" t="str">
        <f t="shared" si="2"/>
        <v>21-6101(a)(1) - Breach of Privacy; Knowingly and without authority; Intercepting, without consent of sender or receiver, a message by telephone, telegraph, letter or other means of private communication</v>
      </c>
      <c r="O447" s="10" t="str">
        <f t="shared" si="3"/>
        <v>Breach of Privacy</v>
      </c>
      <c r="Q447" s="10" t="str">
        <f>IFERROR(__xludf.DUMMYFUNCTION("""COMPUTED_VALUE"""),"State Corporation Commission")</f>
        <v>State Corporation Commission</v>
      </c>
    </row>
    <row r="448">
      <c r="A448" s="7" t="s">
        <v>856</v>
      </c>
      <c r="B448" s="8" t="s">
        <v>857</v>
      </c>
      <c r="C448" s="8">
        <v>7.0</v>
      </c>
      <c r="D448" s="8">
        <v>9.0</v>
      </c>
      <c r="E448" s="8">
        <v>9.0</v>
      </c>
      <c r="F448" s="8">
        <v>10.0</v>
      </c>
      <c r="G448" s="8" t="s">
        <v>21</v>
      </c>
      <c r="H448" s="9"/>
      <c r="I448" s="9"/>
      <c r="N448" s="10" t="str">
        <f t="shared" si="2"/>
        <v>21-6001(a)(1) - Bribery; Intent to improperly influence a public official, offer, give or promise to give, directly or indirectly, to any public official benefit, reward or consideration which public official is not permitted to accept, in exchange for performance or omission of performance of public official's duty or promise to perform or omit to perform powers or duties</v>
      </c>
      <c r="O448" s="10" t="str">
        <f t="shared" si="3"/>
        <v>Bribery</v>
      </c>
      <c r="Q448" s="10" t="str">
        <f>IFERROR(__xludf.DUMMYFUNCTION("""COMPUTED_VALUE"""),"State Fair")</f>
        <v>State Fair</v>
      </c>
    </row>
    <row r="449">
      <c r="A449" s="7" t="s">
        <v>858</v>
      </c>
      <c r="B449" s="8" t="s">
        <v>859</v>
      </c>
      <c r="C449" s="8">
        <v>7.0</v>
      </c>
      <c r="D449" s="8">
        <v>9.0</v>
      </c>
      <c r="E449" s="8">
        <v>9.0</v>
      </c>
      <c r="F449" s="8">
        <v>10.0</v>
      </c>
      <c r="G449" s="8" t="s">
        <v>21</v>
      </c>
      <c r="H449" s="9"/>
      <c r="I449" s="9"/>
      <c r="N449" s="10" t="str">
        <f t="shared" si="2"/>
        <v>21-6001(a)(2) - Bribery; Public official  intentionally requesting, receiving or agreeing to receive, directly or indirectly, any benefit, reward or consideration, which public official is not permitted to accept, with intent to improperly influence such public official and in exchange for performance or omission of performance of public official’s powers or duties or promise to perform or omit performance of powers or duties</v>
      </c>
      <c r="O449" s="10" t="str">
        <f t="shared" si="3"/>
        <v>Bribery</v>
      </c>
      <c r="Q449" s="10" t="str">
        <f>IFERROR(__xludf.DUMMYFUNCTION("""COMPUTED_VALUE"""),"State Gov. Ethics")</f>
        <v>State Gov. Ethics</v>
      </c>
    </row>
    <row r="450">
      <c r="A450" s="7" t="s">
        <v>860</v>
      </c>
      <c r="B450" s="8" t="s">
        <v>861</v>
      </c>
      <c r="C450" s="8" t="s">
        <v>18</v>
      </c>
      <c r="D450" s="8" t="s">
        <v>18</v>
      </c>
      <c r="E450" s="8" t="s">
        <v>19</v>
      </c>
      <c r="F450" s="8" t="s">
        <v>20</v>
      </c>
      <c r="G450" s="8" t="s">
        <v>21</v>
      </c>
      <c r="H450" s="9"/>
      <c r="I450" s="9"/>
      <c r="J450" s="10">
        <f t="shared" ref="J450:M450" si="264">ifs(OR($H450="R",$I450="N"),"N/A",OR(C450="A",C450="B",C450="C",C450="U"),3,TRUE,"FLAG")</f>
        <v>3</v>
      </c>
      <c r="K450" s="10">
        <f t="shared" si="264"/>
        <v>3</v>
      </c>
      <c r="L450" s="10">
        <f t="shared" si="264"/>
        <v>3</v>
      </c>
      <c r="M450" s="10" t="str">
        <f t="shared" si="264"/>
        <v>FLAG</v>
      </c>
      <c r="N450" s="10" t="str">
        <f t="shared" si="2"/>
        <v>32-1131(a)(3) - BUI; Alcohol concentration in blood or breath is .02 or more within 3 hours of vessel operation or attempted operation and person under 21; 1st offense</v>
      </c>
      <c r="O450" s="10" t="str">
        <f t="shared" si="3"/>
        <v>BUI</v>
      </c>
      <c r="Q450" s="10" t="str">
        <f>IFERROR(__xludf.DUMMYFUNCTION("""COMPUTED_VALUE"""),"State Institutions for the Intellectually Disabled")</f>
        <v>State Institutions for the Intellectually Disabled</v>
      </c>
    </row>
    <row r="451">
      <c r="A451" s="7" t="s">
        <v>862</v>
      </c>
      <c r="B451" s="8" t="s">
        <v>861</v>
      </c>
      <c r="C451" s="8" t="s">
        <v>18</v>
      </c>
      <c r="D451" s="8" t="s">
        <v>18</v>
      </c>
      <c r="E451" s="8" t="s">
        <v>19</v>
      </c>
      <c r="F451" s="8" t="s">
        <v>20</v>
      </c>
      <c r="G451" s="8" t="s">
        <v>21</v>
      </c>
      <c r="H451" s="9"/>
      <c r="I451" s="9"/>
      <c r="J451" s="10">
        <f t="shared" ref="J451:M451" si="265">ifs(OR($H451="R",$I451="N"),"N/A",OR(C451="A",C451="B",C451="C",C451="U"),3,TRUE,"FLAG")</f>
        <v>3</v>
      </c>
      <c r="K451" s="10">
        <f t="shared" si="265"/>
        <v>3</v>
      </c>
      <c r="L451" s="10">
        <f t="shared" si="265"/>
        <v>3</v>
      </c>
      <c r="M451" s="10" t="str">
        <f t="shared" si="265"/>
        <v>FLAG</v>
      </c>
      <c r="N451" s="10" t="str">
        <f t="shared" si="2"/>
        <v>32-1131(a)(3) - BUI; Alcohol concentration in blood or breath is .02 or more within 3 hours of vessel operation or attempted operation and person under 21; 2nd or subs. offense</v>
      </c>
      <c r="O451" s="10" t="str">
        <f t="shared" si="3"/>
        <v>BUI</v>
      </c>
      <c r="Q451" s="10" t="str">
        <f>IFERROR(__xludf.DUMMYFUNCTION("""COMPUTED_VALUE"""),"State Lottery")</f>
        <v>State Lottery</v>
      </c>
    </row>
    <row r="452">
      <c r="A452" s="7" t="s">
        <v>863</v>
      </c>
      <c r="B452" s="8" t="s">
        <v>864</v>
      </c>
      <c r="C452" s="8" t="s">
        <v>18</v>
      </c>
      <c r="D452" s="8" t="s">
        <v>18</v>
      </c>
      <c r="E452" s="8" t="s">
        <v>19</v>
      </c>
      <c r="F452" s="8" t="s">
        <v>20</v>
      </c>
      <c r="G452" s="8" t="s">
        <v>21</v>
      </c>
      <c r="H452" s="9"/>
      <c r="I452" s="9"/>
      <c r="J452" s="10">
        <f t="shared" ref="J452:M452" si="266">ifs(OR($H452="R",$I452="N"),"N/A",OR(C452="A",C452="B",C452="C",C452="U"),3,TRUE,"FLAG")</f>
        <v>3</v>
      </c>
      <c r="K452" s="10">
        <f t="shared" si="266"/>
        <v>3</v>
      </c>
      <c r="L452" s="10">
        <f t="shared" si="266"/>
        <v>3</v>
      </c>
      <c r="M452" s="10" t="str">
        <f t="shared" si="266"/>
        <v>FLAG</v>
      </c>
      <c r="N452" s="10" t="str">
        <f t="shared" si="2"/>
        <v>32-1131(a)(1) - BUI; Alcohol concentration in blood or breath is .08 or more as shown by competent evidence including other competent evidence; 1st offense</v>
      </c>
      <c r="O452" s="10" t="str">
        <f t="shared" si="3"/>
        <v>BUI</v>
      </c>
      <c r="Q452" s="10" t="str">
        <f>IFERROR(__xludf.DUMMYFUNCTION("""COMPUTED_VALUE"""),"Storage Tank Act")</f>
        <v>Storage Tank Act</v>
      </c>
    </row>
    <row r="453">
      <c r="A453" s="7" t="s">
        <v>865</v>
      </c>
      <c r="B453" s="8" t="s">
        <v>864</v>
      </c>
      <c r="C453" s="8" t="s">
        <v>18</v>
      </c>
      <c r="D453" s="8" t="s">
        <v>18</v>
      </c>
      <c r="E453" s="8" t="s">
        <v>19</v>
      </c>
      <c r="F453" s="8" t="s">
        <v>20</v>
      </c>
      <c r="G453" s="8" t="s">
        <v>21</v>
      </c>
      <c r="H453" s="9"/>
      <c r="I453" s="9"/>
      <c r="J453" s="10">
        <f t="shared" ref="J453:M453" si="267">ifs(OR($H453="R",$I453="N"),"N/A",OR(C453="A",C453="B",C453="C",C453="U"),3,TRUE,"FLAG")</f>
        <v>3</v>
      </c>
      <c r="K453" s="10">
        <f t="shared" si="267"/>
        <v>3</v>
      </c>
      <c r="L453" s="10">
        <f t="shared" si="267"/>
        <v>3</v>
      </c>
      <c r="M453" s="10" t="str">
        <f t="shared" si="267"/>
        <v>FLAG</v>
      </c>
      <c r="N453" s="10" t="str">
        <f t="shared" si="2"/>
        <v>32-1131(a)(1) - BUI; Alcohol concentration in blood or breath is .08 or more as shown by competent evidence including other competent evidence; 2nd or subs. offense</v>
      </c>
      <c r="O453" s="10" t="str">
        <f t="shared" si="3"/>
        <v>BUI</v>
      </c>
      <c r="Q453" s="10" t="str">
        <f>IFERROR(__xludf.DUMMYFUNCTION("""COMPUTED_VALUE"""),"Tampering with a Landmark")</f>
        <v>Tampering with a Landmark</v>
      </c>
    </row>
    <row r="454">
      <c r="A454" s="7" t="s">
        <v>866</v>
      </c>
      <c r="B454" s="8" t="s">
        <v>867</v>
      </c>
      <c r="C454" s="8" t="s">
        <v>18</v>
      </c>
      <c r="D454" s="8" t="s">
        <v>18</v>
      </c>
      <c r="E454" s="8" t="s">
        <v>19</v>
      </c>
      <c r="F454" s="8" t="s">
        <v>20</v>
      </c>
      <c r="G454" s="8" t="s">
        <v>21</v>
      </c>
      <c r="H454" s="9"/>
      <c r="I454" s="9"/>
      <c r="J454" s="10">
        <f t="shared" ref="J454:M454" si="268">ifs(OR($H454="R",$I454="N"),"N/A",OR(C454="A",C454="B",C454="C",C454="U"),3,TRUE,"FLAG")</f>
        <v>3</v>
      </c>
      <c r="K454" s="10">
        <f t="shared" si="268"/>
        <v>3</v>
      </c>
      <c r="L454" s="10">
        <f t="shared" si="268"/>
        <v>3</v>
      </c>
      <c r="M454" s="10" t="str">
        <f t="shared" si="268"/>
        <v>FLAG</v>
      </c>
      <c r="N454" s="10" t="str">
        <f t="shared" si="2"/>
        <v>32-1131(a)(2) - BUI; Alcohol concentration in blood or breath is .08 or more within 3 hours of vessel operation or attempted operation; 1st offense</v>
      </c>
      <c r="O454" s="10" t="str">
        <f t="shared" si="3"/>
        <v>BUI</v>
      </c>
      <c r="Q454" s="10" t="str">
        <f>IFERROR(__xludf.DUMMYFUNCTION("""COMPUTED_VALUE"""),"Tampering with a Pipeline")</f>
        <v>Tampering with a Pipeline</v>
      </c>
    </row>
    <row r="455">
      <c r="A455" s="7" t="s">
        <v>868</v>
      </c>
      <c r="B455" s="8" t="s">
        <v>867</v>
      </c>
      <c r="C455" s="8" t="s">
        <v>18</v>
      </c>
      <c r="D455" s="8" t="s">
        <v>18</v>
      </c>
      <c r="E455" s="8" t="s">
        <v>19</v>
      </c>
      <c r="F455" s="8" t="s">
        <v>20</v>
      </c>
      <c r="G455" s="8" t="s">
        <v>21</v>
      </c>
      <c r="H455" s="9"/>
      <c r="I455" s="9"/>
      <c r="J455" s="10">
        <f t="shared" ref="J455:M455" si="269">ifs(OR($H455="R",$I455="N"),"N/A",OR(C455="A",C455="B",C455="C",C455="U"),3,TRUE,"FLAG")</f>
        <v>3</v>
      </c>
      <c r="K455" s="10">
        <f t="shared" si="269"/>
        <v>3</v>
      </c>
      <c r="L455" s="10">
        <f t="shared" si="269"/>
        <v>3</v>
      </c>
      <c r="M455" s="10" t="str">
        <f t="shared" si="269"/>
        <v>FLAG</v>
      </c>
      <c r="N455" s="10" t="str">
        <f t="shared" si="2"/>
        <v>32-1131(a)(2) - BUI; Alcohol concentration in blood or breath is .08 or more within 3 hours of vessel operation or attempted operation; 2nd or subs. offense</v>
      </c>
      <c r="O455" s="10" t="str">
        <f t="shared" si="3"/>
        <v>BUI</v>
      </c>
      <c r="Q455" s="10" t="str">
        <f>IFERROR(__xludf.DUMMYFUNCTION("""COMPUTED_VALUE"""),"Tampering with a Public Notice")</f>
        <v>Tampering with a Public Notice</v>
      </c>
    </row>
    <row r="456">
      <c r="A456" s="7" t="s">
        <v>869</v>
      </c>
      <c r="B456" s="8" t="s">
        <v>870</v>
      </c>
      <c r="C456" s="8" t="s">
        <v>18</v>
      </c>
      <c r="D456" s="8" t="s">
        <v>18</v>
      </c>
      <c r="E456" s="8" t="s">
        <v>19</v>
      </c>
      <c r="F456" s="8" t="s">
        <v>20</v>
      </c>
      <c r="G456" s="8" t="s">
        <v>21</v>
      </c>
      <c r="H456" s="9"/>
      <c r="I456" s="9"/>
      <c r="J456" s="10">
        <f t="shared" ref="J456:M456" si="270">ifs(OR($H456="R",$I456="N"),"N/A",OR(C456="A",C456="B",C456="C",C456="U"),3,TRUE,"FLAG")</f>
        <v>3</v>
      </c>
      <c r="K456" s="10">
        <f t="shared" si="270"/>
        <v>3</v>
      </c>
      <c r="L456" s="10">
        <f t="shared" si="270"/>
        <v>3</v>
      </c>
      <c r="M456" s="10" t="str">
        <f t="shared" si="270"/>
        <v>FLAG</v>
      </c>
      <c r="N456" s="10" t="str">
        <f t="shared" si="2"/>
        <v>32-1131(a)(4) - BUI; Under the influence of alcohol to degree that renders the person incapable of safely operating a vessel; 1st offense</v>
      </c>
      <c r="O456" s="10" t="str">
        <f t="shared" si="3"/>
        <v>BUI</v>
      </c>
      <c r="Q456" s="10" t="str">
        <f>IFERROR(__xludf.DUMMYFUNCTION("""COMPUTED_VALUE"""),"Tampering with a Public Record")</f>
        <v>Tampering with a Public Record</v>
      </c>
    </row>
    <row r="457">
      <c r="A457" s="7" t="s">
        <v>871</v>
      </c>
      <c r="B457" s="8" t="s">
        <v>870</v>
      </c>
      <c r="C457" s="8" t="s">
        <v>18</v>
      </c>
      <c r="D457" s="8" t="s">
        <v>18</v>
      </c>
      <c r="E457" s="8" t="s">
        <v>19</v>
      </c>
      <c r="F457" s="8" t="s">
        <v>20</v>
      </c>
      <c r="G457" s="8" t="s">
        <v>21</v>
      </c>
      <c r="H457" s="9"/>
      <c r="I457" s="9"/>
      <c r="J457" s="10">
        <f t="shared" ref="J457:M457" si="271">ifs(OR($H457="R",$I457="N"),"N/A",OR(C457="A",C457="B",C457="C",C457="U"),3,TRUE,"FLAG")</f>
        <v>3</v>
      </c>
      <c r="K457" s="10">
        <f t="shared" si="271"/>
        <v>3</v>
      </c>
      <c r="L457" s="10">
        <f t="shared" si="271"/>
        <v>3</v>
      </c>
      <c r="M457" s="10" t="str">
        <f t="shared" si="271"/>
        <v>FLAG</v>
      </c>
      <c r="N457" s="10" t="str">
        <f t="shared" si="2"/>
        <v>32-1131(a)(4) - BUI; Under the influence of alcohol to degree that renders the person incapable of safely operating a vessel; 2nd or subs. offense</v>
      </c>
      <c r="O457" s="10" t="str">
        <f t="shared" si="3"/>
        <v>BUI</v>
      </c>
      <c r="Q457" s="10" t="str">
        <f>IFERROR(__xludf.DUMMYFUNCTION("""COMPUTED_VALUE"""),"Tampering with a Sports contest")</f>
        <v>Tampering with a Sports contest</v>
      </c>
    </row>
    <row r="458">
      <c r="A458" s="7" t="s">
        <v>872</v>
      </c>
      <c r="B458" s="8" t="s">
        <v>873</v>
      </c>
      <c r="C458" s="8" t="s">
        <v>18</v>
      </c>
      <c r="D458" s="8" t="s">
        <v>18</v>
      </c>
      <c r="E458" s="8" t="s">
        <v>19</v>
      </c>
      <c r="F458" s="8" t="s">
        <v>20</v>
      </c>
      <c r="G458" s="8" t="s">
        <v>21</v>
      </c>
      <c r="H458" s="9"/>
      <c r="I458" s="9"/>
      <c r="J458" s="10">
        <f t="shared" ref="J458:M458" si="272">ifs(OR($H458="R",$I458="N"),"N/A",OR(C458="A",C458="B",C458="C",C458="U"),3,TRUE,"FLAG")</f>
        <v>3</v>
      </c>
      <c r="K458" s="10">
        <f t="shared" si="272"/>
        <v>3</v>
      </c>
      <c r="L458" s="10">
        <f t="shared" si="272"/>
        <v>3</v>
      </c>
      <c r="M458" s="10" t="str">
        <f t="shared" si="272"/>
        <v>FLAG</v>
      </c>
      <c r="N458" s="10" t="str">
        <f t="shared" si="2"/>
        <v>32-1131(a)(5) - BUI; Under the influence of any drug or drugs that renders the person incapable of safely operating a vessel; 1st offense</v>
      </c>
      <c r="O458" s="10" t="str">
        <f t="shared" si="3"/>
        <v>BUI</v>
      </c>
      <c r="Q458" s="10" t="str">
        <f>IFERROR(__xludf.DUMMYFUNCTION("""COMPUTED_VALUE"""),"Tampering with a Traffic Signal")</f>
        <v>Tampering with a Traffic Signal</v>
      </c>
    </row>
    <row r="459">
      <c r="A459" s="7" t="s">
        <v>874</v>
      </c>
      <c r="B459" s="8" t="s">
        <v>873</v>
      </c>
      <c r="C459" s="8" t="s">
        <v>18</v>
      </c>
      <c r="D459" s="8" t="s">
        <v>18</v>
      </c>
      <c r="E459" s="8" t="s">
        <v>19</v>
      </c>
      <c r="F459" s="8" t="s">
        <v>20</v>
      </c>
      <c r="G459" s="8" t="s">
        <v>21</v>
      </c>
      <c r="H459" s="9"/>
      <c r="I459" s="9"/>
      <c r="J459" s="10">
        <f t="shared" ref="J459:M459" si="273">ifs(OR($H459="R",$I459="N"),"N/A",OR(C459="A",C459="B",C459="C",C459="U"),3,TRUE,"FLAG")</f>
        <v>3</v>
      </c>
      <c r="K459" s="10">
        <f t="shared" si="273"/>
        <v>3</v>
      </c>
      <c r="L459" s="10">
        <f t="shared" si="273"/>
        <v>3</v>
      </c>
      <c r="M459" s="10" t="str">
        <f t="shared" si="273"/>
        <v>FLAG</v>
      </c>
      <c r="N459" s="10" t="str">
        <f t="shared" si="2"/>
        <v>32-1131(a)(5) - BUI; Under the influence of any drug or drugs that renders the person incapable of safely operating a vessel; 2nd or subs. offense</v>
      </c>
      <c r="O459" s="10" t="str">
        <f t="shared" si="3"/>
        <v>BUI</v>
      </c>
      <c r="Q459" s="10" t="str">
        <f>IFERROR(__xludf.DUMMYFUNCTION("""COMPUTED_VALUE"""),"Tampering with Electronic Monitoring Equipment")</f>
        <v>Tampering with Electronic Monitoring Equipment</v>
      </c>
    </row>
    <row r="460">
      <c r="A460" s="7" t="s">
        <v>875</v>
      </c>
      <c r="B460" s="8" t="s">
        <v>876</v>
      </c>
      <c r="C460" s="8" t="s">
        <v>18</v>
      </c>
      <c r="D460" s="8" t="s">
        <v>18</v>
      </c>
      <c r="E460" s="8" t="s">
        <v>19</v>
      </c>
      <c r="F460" s="8" t="s">
        <v>20</v>
      </c>
      <c r="G460" s="8" t="s">
        <v>21</v>
      </c>
      <c r="H460" s="9"/>
      <c r="I460" s="9"/>
      <c r="J460" s="10">
        <f t="shared" ref="J460:M460" si="274">ifs(OR($H460="R",$I460="N"),"N/A",OR(C460="A",C460="B",C460="C",C460="U"),3,TRUE,"FLAG")</f>
        <v>3</v>
      </c>
      <c r="K460" s="10">
        <f t="shared" si="274"/>
        <v>3</v>
      </c>
      <c r="L460" s="10">
        <f t="shared" si="274"/>
        <v>3</v>
      </c>
      <c r="M460" s="10" t="str">
        <f t="shared" si="274"/>
        <v>FLAG</v>
      </c>
      <c r="N460" s="10" t="str">
        <f t="shared" si="2"/>
        <v>32-1131(a)(6) - BUI; Under the influence of combination of alcohol and drug that renders the person incapable of safely operating a vessel; 1st offense</v>
      </c>
      <c r="O460" s="10" t="str">
        <f t="shared" si="3"/>
        <v>BUI</v>
      </c>
      <c r="Q460" s="10" t="str">
        <f>IFERROR(__xludf.DUMMYFUNCTION("""COMPUTED_VALUE"""),"Tax")</f>
        <v>Tax</v>
      </c>
    </row>
    <row r="461">
      <c r="A461" s="7" t="s">
        <v>877</v>
      </c>
      <c r="B461" s="8" t="s">
        <v>876</v>
      </c>
      <c r="C461" s="8" t="s">
        <v>18</v>
      </c>
      <c r="D461" s="8" t="s">
        <v>18</v>
      </c>
      <c r="E461" s="8" t="s">
        <v>19</v>
      </c>
      <c r="F461" s="8" t="s">
        <v>20</v>
      </c>
      <c r="G461" s="8" t="s">
        <v>21</v>
      </c>
      <c r="H461" s="9"/>
      <c r="I461" s="9"/>
      <c r="J461" s="10">
        <f t="shared" ref="J461:M461" si="275">ifs(OR($H461="R",$I461="N"),"N/A",OR(C461="A",C461="B",C461="C",C461="U"),3,TRUE,"FLAG")</f>
        <v>3</v>
      </c>
      <c r="K461" s="10">
        <f t="shared" si="275"/>
        <v>3</v>
      </c>
      <c r="L461" s="10">
        <f t="shared" si="275"/>
        <v>3</v>
      </c>
      <c r="M461" s="10" t="str">
        <f t="shared" si="275"/>
        <v>FLAG</v>
      </c>
      <c r="N461" s="10" t="str">
        <f t="shared" si="2"/>
        <v>32-1131(a)(6) - BUI; Under the influence of combination of alcohol and drug that renders the person incapable of safely operating a vessel; 2nd or subs. offense</v>
      </c>
      <c r="O461" s="10" t="str">
        <f t="shared" si="3"/>
        <v>BUI</v>
      </c>
      <c r="Q461" s="10" t="str">
        <f>IFERROR(__xludf.DUMMYFUNCTION("""COMPUTED_VALUE"""),"Taxation")</f>
        <v>Taxation</v>
      </c>
    </row>
    <row r="462">
      <c r="A462" s="7" t="s">
        <v>878</v>
      </c>
      <c r="B462" s="8" t="s">
        <v>879</v>
      </c>
      <c r="C462" s="8">
        <v>5.0</v>
      </c>
      <c r="D462" s="8">
        <v>7.0</v>
      </c>
      <c r="E462" s="8">
        <v>7.0</v>
      </c>
      <c r="F462" s="8">
        <v>8.0</v>
      </c>
      <c r="G462" s="8" t="s">
        <v>24</v>
      </c>
      <c r="H462" s="9"/>
      <c r="I462" s="9"/>
      <c r="N462" s="10" t="str">
        <f t="shared" si="2"/>
        <v>21-5807(a)(2) - Burglary; Without authority, enter into or remain within a building or other structure not a dwelling, with intent to commit the theft of a firearm</v>
      </c>
      <c r="O462" s="10" t="str">
        <f t="shared" si="3"/>
        <v>Burglary</v>
      </c>
      <c r="Q462" s="10" t="str">
        <f>IFERROR(__xludf.DUMMYFUNCTION("""COMPUTED_VALUE"""),"Terrorism")</f>
        <v>Terrorism</v>
      </c>
    </row>
    <row r="463">
      <c r="A463" s="7" t="s">
        <v>880</v>
      </c>
      <c r="B463" s="8" t="s">
        <v>879</v>
      </c>
      <c r="C463" s="8">
        <v>7.0</v>
      </c>
      <c r="D463" s="8">
        <v>9.0</v>
      </c>
      <c r="E463" s="8">
        <v>9.0</v>
      </c>
      <c r="F463" s="8">
        <v>10.0</v>
      </c>
      <c r="G463" s="8" t="s">
        <v>21</v>
      </c>
      <c r="H463" s="9"/>
      <c r="I463" s="9"/>
      <c r="N463" s="10" t="str">
        <f t="shared" si="2"/>
        <v>21-5807(a)(2) - Burglary; Without authority, enter into or remain within a bulding or other structure not a dwelling, with intent to commit a felony, theft or sexually motivated crime therein</v>
      </c>
      <c r="O463" s="10" t="str">
        <f t="shared" si="3"/>
        <v>Burglary</v>
      </c>
      <c r="Q463" s="10" t="str">
        <f>IFERROR(__xludf.DUMMYFUNCTION("""COMPUTED_VALUE"""),"Theft Detection Shielding Device")</f>
        <v>Theft Detection Shielding Device</v>
      </c>
    </row>
    <row r="464">
      <c r="A464" s="7" t="s">
        <v>881</v>
      </c>
      <c r="B464" s="8" t="s">
        <v>882</v>
      </c>
      <c r="C464" s="8">
        <v>7.0</v>
      </c>
      <c r="D464" s="8">
        <v>9.0</v>
      </c>
      <c r="E464" s="8">
        <v>9.0</v>
      </c>
      <c r="F464" s="8">
        <v>10.0</v>
      </c>
      <c r="G464" s="8" t="s">
        <v>21</v>
      </c>
      <c r="H464" s="9"/>
      <c r="I464" s="9"/>
      <c r="N464" s="10" t="str">
        <f t="shared" si="2"/>
        <v>21-5807(a)(1) - Burglary; Without authority, enter into or remain within a dwelling with intent to commit a felony, theft or sexually motivated crime therein</v>
      </c>
      <c r="O464" s="10" t="str">
        <f t="shared" si="3"/>
        <v>Burglary</v>
      </c>
      <c r="Q464" s="10" t="str">
        <f>IFERROR(__xludf.DUMMYFUNCTION("""COMPUTED_VALUE"""),"Theft of Property Lost, Mislaid or Delivered by Mistake")</f>
        <v>Theft of Property Lost, Mislaid or Delivered by Mistake</v>
      </c>
    </row>
    <row r="465">
      <c r="A465" s="7" t="s">
        <v>883</v>
      </c>
      <c r="B465" s="8" t="s">
        <v>882</v>
      </c>
      <c r="C465" s="8">
        <v>5.0</v>
      </c>
      <c r="D465" s="8">
        <v>7.0</v>
      </c>
      <c r="E465" s="8">
        <v>7.0</v>
      </c>
      <c r="F465" s="8">
        <v>8.0</v>
      </c>
      <c r="G465" s="8" t="s">
        <v>24</v>
      </c>
      <c r="H465" s="9"/>
      <c r="I465" s="9"/>
      <c r="N465" s="10" t="str">
        <f t="shared" si="2"/>
        <v>21-5807(a)(1) - Burglary; Without authority, enter into or remain within a dwelling with intent to commit the theft of a firearm</v>
      </c>
      <c r="O465" s="10" t="str">
        <f t="shared" si="3"/>
        <v>Burglary</v>
      </c>
      <c r="Q465" s="10" t="str">
        <f>IFERROR(__xludf.DUMMYFUNCTION("""COMPUTED_VALUE"""),"Theft of Property or Services")</f>
        <v>Theft of Property or Services</v>
      </c>
    </row>
    <row r="466">
      <c r="A466" s="7" t="s">
        <v>884</v>
      </c>
      <c r="B466" s="8" t="s">
        <v>885</v>
      </c>
      <c r="C466" s="8">
        <v>9.0</v>
      </c>
      <c r="D466" s="8">
        <v>10.0</v>
      </c>
      <c r="E466" s="8">
        <v>10.0</v>
      </c>
      <c r="F466" s="8">
        <v>10.0</v>
      </c>
      <c r="G466" s="8" t="s">
        <v>21</v>
      </c>
      <c r="H466" s="9"/>
      <c r="I466" s="9"/>
      <c r="N466" s="10" t="str">
        <f t="shared" si="2"/>
        <v>21-5807(a)(3) - Burglary; Without authority, enter into or remain within any vehicle, aircraft, watercraft, railroad car or other means of conveyance of persons or property, with intent to commit a felony, theft or sexually motivated crime therein</v>
      </c>
      <c r="O466" s="10" t="str">
        <f t="shared" si="3"/>
        <v>Burglary</v>
      </c>
      <c r="Q466" s="10" t="str">
        <f>IFERROR(__xludf.DUMMYFUNCTION("""COMPUTED_VALUE"""),"Throwing or Casting Rocks")</f>
        <v>Throwing or Casting Rocks</v>
      </c>
    </row>
    <row r="467">
      <c r="A467" s="7" t="s">
        <v>886</v>
      </c>
      <c r="B467" s="8" t="s">
        <v>885</v>
      </c>
      <c r="C467" s="8">
        <v>5.0</v>
      </c>
      <c r="D467" s="8">
        <v>7.0</v>
      </c>
      <c r="E467" s="8">
        <v>7.0</v>
      </c>
      <c r="F467" s="8">
        <v>8.0</v>
      </c>
      <c r="G467" s="8" t="s">
        <v>24</v>
      </c>
      <c r="H467" s="9"/>
      <c r="I467" s="9"/>
      <c r="N467" s="10" t="str">
        <f t="shared" si="2"/>
        <v>21-5807(a)(3) - Burglary; Without authority, enter into or remain within any vehicle, aircraft, watercraft, railroad car or other means of conveyance of persons or property, with intent to commit the theft of a firearm</v>
      </c>
      <c r="O467" s="10" t="str">
        <f t="shared" si="3"/>
        <v>Burglary</v>
      </c>
      <c r="Q467" s="10" t="str">
        <f>IFERROR(__xludf.DUMMYFUNCTION("""COMPUTED_VALUE"""),"Townships &amp; Township Officers")</f>
        <v>Townships &amp; Township Officers</v>
      </c>
    </row>
    <row r="468">
      <c r="A468" s="7" t="s">
        <v>887</v>
      </c>
      <c r="B468" s="8" t="s">
        <v>888</v>
      </c>
      <c r="C468" s="8" t="s">
        <v>28</v>
      </c>
      <c r="D468" s="8" t="s">
        <v>19</v>
      </c>
      <c r="E468" s="8" t="s">
        <v>19</v>
      </c>
      <c r="F468" s="8" t="s">
        <v>20</v>
      </c>
      <c r="G468" s="8" t="s">
        <v>21</v>
      </c>
      <c r="H468" s="9"/>
      <c r="I468" s="9"/>
      <c r="J468" s="10">
        <f t="shared" ref="J468:M468" si="276">ifs(OR($H468="R",$I468="N"),"N/A",OR(C468="A",C468="B",C468="C",C468="U"),3,TRUE,"FLAG")</f>
        <v>3</v>
      </c>
      <c r="K468" s="10">
        <f t="shared" si="276"/>
        <v>3</v>
      </c>
      <c r="L468" s="10">
        <f t="shared" si="276"/>
        <v>3</v>
      </c>
      <c r="M468" s="10" t="str">
        <f t="shared" si="276"/>
        <v>FLAG</v>
      </c>
      <c r="N468" s="10" t="str">
        <f t="shared" si="2"/>
        <v>21-6502(a) - Business Crimes; Debt adjusting</v>
      </c>
      <c r="O468" s="10" t="str">
        <f t="shared" si="3"/>
        <v>Business Crimes</v>
      </c>
      <c r="Q468" s="10" t="str">
        <f>IFERROR(__xludf.DUMMYFUNCTION("""COMPUTED_VALUE"""),"Trading Stamps")</f>
        <v>Trading Stamps</v>
      </c>
    </row>
    <row r="469">
      <c r="A469" s="7" t="s">
        <v>889</v>
      </c>
      <c r="B469" s="8" t="s">
        <v>890</v>
      </c>
      <c r="C469" s="8" t="s">
        <v>28</v>
      </c>
      <c r="D469" s="8" t="s">
        <v>19</v>
      </c>
      <c r="E469" s="8" t="s">
        <v>19</v>
      </c>
      <c r="F469" s="8" t="s">
        <v>20</v>
      </c>
      <c r="G469" s="8" t="s">
        <v>21</v>
      </c>
      <c r="H469" s="9"/>
      <c r="I469" s="9"/>
      <c r="J469" s="10">
        <f t="shared" ref="J469:M469" si="277">ifs(OR($H469="R",$I469="N"),"N/A",OR(C469="A",C469="B",C469="C",C469="U"),3,TRUE,"FLAG")</f>
        <v>3</v>
      </c>
      <c r="K469" s="10">
        <f t="shared" si="277"/>
        <v>3</v>
      </c>
      <c r="L469" s="10">
        <f t="shared" si="277"/>
        <v>3</v>
      </c>
      <c r="M469" s="10" t="str">
        <f t="shared" si="277"/>
        <v>FLAG</v>
      </c>
      <c r="N469" s="10" t="str">
        <f t="shared" si="2"/>
        <v>21-6503(a) - Business Crimes; Deceptive commercial practices</v>
      </c>
      <c r="O469" s="10" t="str">
        <f t="shared" si="3"/>
        <v>Business Crimes</v>
      </c>
      <c r="Q469" s="10" t="str">
        <f>IFERROR(__xludf.DUMMYFUNCTION("""COMPUTED_VALUE"""),"Traffic Control Signal Preemption Device")</f>
        <v>Traffic Control Signal Preemption Device</v>
      </c>
    </row>
    <row r="470">
      <c r="A470" s="7" t="s">
        <v>891</v>
      </c>
      <c r="B470" s="8" t="s">
        <v>892</v>
      </c>
      <c r="C470" s="8" t="s">
        <v>27</v>
      </c>
      <c r="D470" s="8" t="s">
        <v>28</v>
      </c>
      <c r="E470" s="8" t="s">
        <v>19</v>
      </c>
      <c r="F470" s="8" t="s">
        <v>20</v>
      </c>
      <c r="G470" s="8" t="s">
        <v>21</v>
      </c>
      <c r="H470" s="9"/>
      <c r="I470" s="9"/>
      <c r="J470" s="10">
        <f t="shared" ref="J470:M470" si="278">ifs(OR($H470="R",$I470="N"),"N/A",OR(C470="A",C470="B",C470="C",C470="U"),3,TRUE,"FLAG")</f>
        <v>3</v>
      </c>
      <c r="K470" s="10">
        <f t="shared" si="278"/>
        <v>3</v>
      </c>
      <c r="L470" s="10">
        <f t="shared" si="278"/>
        <v>3</v>
      </c>
      <c r="M470" s="10" t="str">
        <f t="shared" si="278"/>
        <v>FLAG</v>
      </c>
      <c r="N470" s="10" t="str">
        <f t="shared" si="2"/>
        <v>21-6504(a)(3) - Business Crimes; Equity skimming; With intent to defraud, intentionally engaging in a pattern or practice of applying or authorizing the application of rents from such dwelling for such person's own use</v>
      </c>
      <c r="O470" s="10" t="str">
        <f t="shared" si="3"/>
        <v>Business Crimes</v>
      </c>
      <c r="Q470" s="10" t="str">
        <f>IFERROR(__xludf.DUMMYFUNCTION("""COMPUTED_VALUE"""),"Trafficking in Contraband in Correctional Institution or Care and Treatment Facility")</f>
        <v>Trafficking in Contraband in Correctional Institution or Care and Treatment Facility</v>
      </c>
    </row>
    <row r="471">
      <c r="A471" s="7" t="s">
        <v>893</v>
      </c>
      <c r="B471" s="8" t="s">
        <v>894</v>
      </c>
      <c r="C471" s="8" t="s">
        <v>27</v>
      </c>
      <c r="D471" s="8" t="s">
        <v>28</v>
      </c>
      <c r="E471" s="8" t="s">
        <v>19</v>
      </c>
      <c r="F471" s="8" t="s">
        <v>20</v>
      </c>
      <c r="G471" s="8" t="s">
        <v>21</v>
      </c>
      <c r="H471" s="9"/>
      <c r="I471" s="9"/>
      <c r="J471" s="10">
        <f t="shared" ref="J471:M471" si="279">ifs(OR($H471="R",$I471="N"),"N/A",OR(C471="A",C471="B",C471="C",C471="U"),3,TRUE,"FLAG")</f>
        <v>3</v>
      </c>
      <c r="K471" s="10">
        <f t="shared" si="279"/>
        <v>3</v>
      </c>
      <c r="L471" s="10">
        <f t="shared" si="279"/>
        <v>3</v>
      </c>
      <c r="M471" s="10" t="str">
        <f t="shared" si="279"/>
        <v>FLAG</v>
      </c>
      <c r="N471" s="10" t="str">
        <f t="shared" si="2"/>
        <v>21-6504(a)(2) - Business Crimes; Equity skimming; With intent to defraud, intentionally engaging in a pattern or practice of failing to deliver to holder of mortgage before a sheriff's sale or holder of the certificate of purchase during the period of redemption all rent proceeds received</v>
      </c>
      <c r="O471" s="10" t="str">
        <f t="shared" si="3"/>
        <v>Business Crimes</v>
      </c>
      <c r="Q471" s="10" t="str">
        <f>IFERROR(__xludf.DUMMYFUNCTION("""COMPUTED_VALUE"""),"Trafficking")</f>
        <v>Trafficking</v>
      </c>
    </row>
    <row r="472">
      <c r="A472" s="7" t="s">
        <v>895</v>
      </c>
      <c r="B472" s="8" t="s">
        <v>896</v>
      </c>
      <c r="C472" s="8" t="s">
        <v>27</v>
      </c>
      <c r="D472" s="8" t="s">
        <v>28</v>
      </c>
      <c r="E472" s="8" t="s">
        <v>19</v>
      </c>
      <c r="F472" s="8" t="s">
        <v>20</v>
      </c>
      <c r="G472" s="8" t="s">
        <v>21</v>
      </c>
      <c r="H472" s="9"/>
      <c r="I472" s="9"/>
      <c r="J472" s="10">
        <f t="shared" ref="J472:M472" si="280">ifs(OR($H472="R",$I472="N"),"N/A",OR(C472="A",C472="B",C472="C",C472="U"),3,TRUE,"FLAG")</f>
        <v>3</v>
      </c>
      <c r="K472" s="10">
        <f t="shared" si="280"/>
        <v>3</v>
      </c>
      <c r="L472" s="10">
        <f t="shared" si="280"/>
        <v>3</v>
      </c>
      <c r="M472" s="10" t="str">
        <f t="shared" si="280"/>
        <v>FLAG</v>
      </c>
      <c r="N472" s="10" t="str">
        <f t="shared" si="2"/>
        <v>21-6504(a)(1) - Business Crimes; Equity skimming; With intent to defraud, intentionally engaging in a pattern or practice of purchasing family dwellings, or acquiring any interest therein, which are subject to a loan in default or near default and secured by a mortgage</v>
      </c>
      <c r="O472" s="10" t="str">
        <f t="shared" si="3"/>
        <v>Business Crimes</v>
      </c>
      <c r="Q472" s="10" t="str">
        <f>IFERROR(__xludf.DUMMYFUNCTION("""COMPUTED_VALUE"""),"Treason")</f>
        <v>Treason</v>
      </c>
    </row>
    <row r="473">
      <c r="A473" s="7" t="s">
        <v>897</v>
      </c>
      <c r="B473" s="8" t="s">
        <v>898</v>
      </c>
      <c r="C473" s="8" t="s">
        <v>19</v>
      </c>
      <c r="D473" s="8" t="s">
        <v>19</v>
      </c>
      <c r="E473" s="8" t="s">
        <v>19</v>
      </c>
      <c r="F473" s="8" t="s">
        <v>20</v>
      </c>
      <c r="G473" s="8" t="s">
        <v>21</v>
      </c>
      <c r="H473" s="9"/>
      <c r="I473" s="9"/>
      <c r="J473" s="10">
        <f t="shared" ref="J473:M473" si="281">ifs(OR($H473="R",$I473="N"),"N/A",OR(C473="A",C473="B",C473="C",C473="U"),3,TRUE,"FLAG")</f>
        <v>3</v>
      </c>
      <c r="K473" s="10">
        <f t="shared" si="281"/>
        <v>3</v>
      </c>
      <c r="L473" s="10">
        <f t="shared" si="281"/>
        <v>3</v>
      </c>
      <c r="M473" s="10" t="str">
        <f t="shared" si="281"/>
        <v>FLAG</v>
      </c>
      <c r="N473" s="10" t="str">
        <f t="shared" si="2"/>
        <v>21-6509(a) - Business Crimes; Knowingly employing an illegal alien within the United States</v>
      </c>
      <c r="O473" s="10" t="str">
        <f t="shared" si="3"/>
        <v>Business Crimes</v>
      </c>
      <c r="Q473" s="10" t="str">
        <f>IFERROR(__xludf.DUMMYFUNCTION("""COMPUTED_VALUE"""),"Trespass on Railroad Property")</f>
        <v>Trespass on Railroad Property</v>
      </c>
    </row>
    <row r="474">
      <c r="A474" s="7" t="s">
        <v>899</v>
      </c>
      <c r="B474" s="8" t="s">
        <v>900</v>
      </c>
      <c r="C474" s="8" t="s">
        <v>28</v>
      </c>
      <c r="D474" s="8" t="s">
        <v>19</v>
      </c>
      <c r="E474" s="8" t="s">
        <v>19</v>
      </c>
      <c r="F474" s="8" t="s">
        <v>20</v>
      </c>
      <c r="G474" s="8" t="s">
        <v>21</v>
      </c>
      <c r="H474" s="9"/>
      <c r="I474" s="9"/>
      <c r="J474" s="10">
        <f t="shared" ref="J474:M474" si="282">ifs(OR($H474="R",$I474="N"),"N/A",OR(C474="A",C474="B",C474="C",C474="U"),3,TRUE,"FLAG")</f>
        <v>3</v>
      </c>
      <c r="K474" s="10">
        <f t="shared" si="282"/>
        <v>3</v>
      </c>
      <c r="L474" s="10">
        <f t="shared" si="282"/>
        <v>3</v>
      </c>
      <c r="M474" s="10" t="str">
        <f t="shared" si="282"/>
        <v>FLAG</v>
      </c>
      <c r="N474" s="10" t="str">
        <f t="shared" si="2"/>
        <v>21-6505(a) - Business Crimes; Tie-in magazine sale</v>
      </c>
      <c r="O474" s="10" t="str">
        <f t="shared" si="3"/>
        <v>Business Crimes</v>
      </c>
      <c r="Q474" s="10" t="str">
        <f>IFERROR(__xludf.DUMMYFUNCTION("""COMPUTED_VALUE"""),"Trespassing")</f>
        <v>Trespassing</v>
      </c>
    </row>
    <row r="475">
      <c r="A475" s="7" t="s">
        <v>901</v>
      </c>
      <c r="B475" s="8" t="s">
        <v>902</v>
      </c>
      <c r="C475" s="8" t="s">
        <v>27</v>
      </c>
      <c r="D475" s="8" t="s">
        <v>28</v>
      </c>
      <c r="E475" s="8" t="s">
        <v>19</v>
      </c>
      <c r="F475" s="8" t="s">
        <v>20</v>
      </c>
      <c r="G475" s="8" t="s">
        <v>24</v>
      </c>
      <c r="H475" s="8" t="s">
        <v>109</v>
      </c>
      <c r="I475" s="9"/>
      <c r="J475" s="10" t="str">
        <f t="shared" ref="J475:M475" si="283">ifs(OR($H475="R",$I475="N"),"N/A",OR(C475="A",C475="B",C475="C",C475="U"),3,TRUE,"FLAG")</f>
        <v>N/A</v>
      </c>
      <c r="K475" s="10" t="str">
        <f t="shared" si="283"/>
        <v>N/A</v>
      </c>
      <c r="L475" s="10" t="str">
        <f t="shared" si="283"/>
        <v>N/A</v>
      </c>
      <c r="M475" s="10" t="str">
        <f t="shared" si="283"/>
        <v>N/A</v>
      </c>
      <c r="N475" s="10" t="str">
        <f t="shared" si="2"/>
        <v>21-6421(a)(1) - Buying Sexual Relations; Entering or remaining in a place where sexual relations are sold with the intent to engage in sexual acts with a person 18 or older offender has no prior convictions under this section</v>
      </c>
      <c r="O475" s="10" t="str">
        <f t="shared" si="3"/>
        <v>Buying Sexual Relations</v>
      </c>
      <c r="Q475" s="10" t="str">
        <f>IFERROR(__xludf.DUMMYFUNCTION("""COMPUTED_VALUE"""),"Tribal Gaming Oversight")</f>
        <v>Tribal Gaming Oversight</v>
      </c>
    </row>
    <row r="476">
      <c r="A476" s="7" t="s">
        <v>903</v>
      </c>
      <c r="B476" s="8" t="s">
        <v>902</v>
      </c>
      <c r="C476" s="8">
        <v>9.0</v>
      </c>
      <c r="D476" s="8">
        <v>10.0</v>
      </c>
      <c r="E476" s="8">
        <v>10.0</v>
      </c>
      <c r="F476" s="8">
        <v>10.0</v>
      </c>
      <c r="G476" s="8" t="s">
        <v>24</v>
      </c>
      <c r="H476" s="8" t="s">
        <v>109</v>
      </c>
      <c r="I476" s="9"/>
      <c r="N476" s="10" t="str">
        <f t="shared" si="2"/>
        <v>21-6421(a)(1) - Buying Sexual Relations; Entering or remaining in a place where sexual relations are sold with the intent to engage in sexual acts with a person 18 or older offender has prior conviction under this section</v>
      </c>
      <c r="O476" s="10" t="str">
        <f t="shared" si="3"/>
        <v>Buying Sexual Relations</v>
      </c>
      <c r="Q476" s="10" t="str">
        <f>IFERROR(__xludf.DUMMYFUNCTION("""COMPUTED_VALUE"""),"Tribal Gaming")</f>
        <v>Tribal Gaming</v>
      </c>
    </row>
    <row r="477">
      <c r="A477" s="7" t="s">
        <v>904</v>
      </c>
      <c r="B477" s="8" t="s">
        <v>905</v>
      </c>
      <c r="C477" s="8" t="s">
        <v>27</v>
      </c>
      <c r="D477" s="8" t="s">
        <v>28</v>
      </c>
      <c r="E477" s="8" t="s">
        <v>19</v>
      </c>
      <c r="F477" s="8" t="s">
        <v>20</v>
      </c>
      <c r="G477" s="8" t="s">
        <v>24</v>
      </c>
      <c r="H477" s="8" t="s">
        <v>109</v>
      </c>
      <c r="I477" s="9"/>
      <c r="J477" s="10" t="str">
        <f t="shared" ref="J477:M477" si="284">ifs(OR($H477="R",$I477="N"),"N/A",OR(C477="A",C477="B",C477="C",C477="U"),3,TRUE,"FLAG")</f>
        <v>N/A</v>
      </c>
      <c r="K477" s="10" t="str">
        <f t="shared" si="284"/>
        <v>N/A</v>
      </c>
      <c r="L477" s="10" t="str">
        <f t="shared" si="284"/>
        <v>N/A</v>
      </c>
      <c r="M477" s="10" t="str">
        <f t="shared" si="284"/>
        <v>N/A</v>
      </c>
      <c r="N477" s="10" t="str">
        <f t="shared" si="2"/>
        <v>21-6421(a)(2) - Buying Sexual Relations; Knowingly hiring a person 18 or older to engage in sexual acts offender has no prior convictions under this section</v>
      </c>
      <c r="O477" s="10" t="str">
        <f t="shared" si="3"/>
        <v>Buying Sexual Relations</v>
      </c>
      <c r="Q477" s="10" t="str">
        <f>IFERROR(__xludf.DUMMYFUNCTION("""COMPUTED_VALUE"""),"Unauthorized Delivery of Stored Goods")</f>
        <v>Unauthorized Delivery of Stored Goods</v>
      </c>
    </row>
    <row r="478">
      <c r="A478" s="7" t="s">
        <v>906</v>
      </c>
      <c r="B478" s="8" t="s">
        <v>905</v>
      </c>
      <c r="C478" s="8">
        <v>9.0</v>
      </c>
      <c r="D478" s="8">
        <v>10.0</v>
      </c>
      <c r="E478" s="8">
        <v>10.0</v>
      </c>
      <c r="F478" s="8">
        <v>10.0</v>
      </c>
      <c r="G478" s="8" t="s">
        <v>24</v>
      </c>
      <c r="H478" s="8" t="s">
        <v>109</v>
      </c>
      <c r="I478" s="9"/>
      <c r="N478" s="10" t="str">
        <f t="shared" si="2"/>
        <v>21-6421(a)(2) - Buying Sexual Relations; Knowingly hiring a person 18 or older to engage in sexual acts offender has prior conviction under this section</v>
      </c>
      <c r="O478" s="10" t="str">
        <f t="shared" si="3"/>
        <v>Buying Sexual Relations</v>
      </c>
      <c r="Q478" s="10" t="str">
        <f>IFERROR(__xludf.DUMMYFUNCTION("""COMPUTED_VALUE"""),"Unfair Trade &amp; Consumer Protection")</f>
        <v>Unfair Trade &amp; Consumer Protection</v>
      </c>
    </row>
    <row r="479">
      <c r="A479" s="7" t="s">
        <v>907</v>
      </c>
      <c r="B479" s="8" t="s">
        <v>908</v>
      </c>
      <c r="C479" s="8" t="s">
        <v>178</v>
      </c>
      <c r="D479" s="8">
        <v>1.0</v>
      </c>
      <c r="E479" s="8">
        <v>2.0</v>
      </c>
      <c r="F479" s="8">
        <v>3.0</v>
      </c>
      <c r="G479" s="8" t="s">
        <v>24</v>
      </c>
      <c r="H479" s="8" t="s">
        <v>109</v>
      </c>
      <c r="I479" s="8" t="s">
        <v>54</v>
      </c>
      <c r="N479" s="10" t="str">
        <f t="shared" si="2"/>
        <v>21-5401(a)(3) - Capital Murder; Intentional and premeditated killing by an inmate or prisoner while confined or in custody</v>
      </c>
      <c r="O479" s="10" t="str">
        <f t="shared" si="3"/>
        <v>Capital Murder</v>
      </c>
      <c r="Q479" s="10" t="str">
        <f>IFERROR(__xludf.DUMMYFUNCTION("""COMPUTED_VALUE"""),"Uniform Act Regulating Traffic")</f>
        <v>Uniform Act Regulating Traffic</v>
      </c>
    </row>
    <row r="480">
      <c r="A480" s="7" t="s">
        <v>909</v>
      </c>
      <c r="B480" s="8" t="s">
        <v>910</v>
      </c>
      <c r="C480" s="8" t="s">
        <v>178</v>
      </c>
      <c r="D480" s="8">
        <v>1.0</v>
      </c>
      <c r="E480" s="8">
        <v>2.0</v>
      </c>
      <c r="F480" s="8">
        <v>3.0</v>
      </c>
      <c r="G480" s="8" t="s">
        <v>24</v>
      </c>
      <c r="H480" s="8" t="s">
        <v>109</v>
      </c>
      <c r="I480" s="8" t="s">
        <v>54</v>
      </c>
      <c r="N480" s="10" t="str">
        <f t="shared" si="2"/>
        <v>21-5401(a)(2) - Capital Murder; Intentional and premeditated killing by contract or agreement</v>
      </c>
      <c r="O480" s="10" t="str">
        <f t="shared" si="3"/>
        <v>Capital Murder</v>
      </c>
      <c r="Q480" s="10" t="str">
        <f>IFERROR(__xludf.DUMMYFUNCTION("""COMPUTED_VALUE"""),"Uniform Anatomical Gift Act")</f>
        <v>Uniform Anatomical Gift Act</v>
      </c>
    </row>
    <row r="481">
      <c r="A481" s="7" t="s">
        <v>911</v>
      </c>
      <c r="B481" s="8" t="s">
        <v>912</v>
      </c>
      <c r="C481" s="8" t="s">
        <v>178</v>
      </c>
      <c r="D481" s="8">
        <v>1.0</v>
      </c>
      <c r="E481" s="8">
        <v>2.0</v>
      </c>
      <c r="F481" s="8">
        <v>3.0</v>
      </c>
      <c r="G481" s="8" t="s">
        <v>24</v>
      </c>
      <c r="H481" s="8" t="s">
        <v>109</v>
      </c>
      <c r="I481" s="8" t="s">
        <v>54</v>
      </c>
      <c r="N481" s="10" t="str">
        <f t="shared" si="2"/>
        <v>21-5401(a)(1) - Capital Murder; Intentional and premeditated killing in the commission of a kidnapping, or aggravated kidnapping, for ransom</v>
      </c>
      <c r="O481" s="10" t="str">
        <f t="shared" si="3"/>
        <v>Capital Murder</v>
      </c>
      <c r="Q481" s="10" t="str">
        <f>IFERROR(__xludf.DUMMYFUNCTION("""COMPUTED_VALUE"""),"Uniform Commercial Drivers' License Act")</f>
        <v>Uniform Commercial Drivers' License Act</v>
      </c>
    </row>
    <row r="482">
      <c r="A482" s="7" t="s">
        <v>913</v>
      </c>
      <c r="B482" s="8" t="s">
        <v>914</v>
      </c>
      <c r="C482" s="8" t="s">
        <v>178</v>
      </c>
      <c r="D482" s="8">
        <v>1.0</v>
      </c>
      <c r="E482" s="8">
        <v>2.0</v>
      </c>
      <c r="F482" s="8">
        <v>3.0</v>
      </c>
      <c r="G482" s="8" t="s">
        <v>24</v>
      </c>
      <c r="H482" s="8" t="s">
        <v>109</v>
      </c>
      <c r="I482" s="8" t="s">
        <v>54</v>
      </c>
      <c r="N482" s="10" t="str">
        <f t="shared" si="2"/>
        <v>21-5401(a)(4) - Capital Murder; Intentional and premeditated killing in the commission of or subs. to rape, criminal sodomy, aggravated criminal sodomy, or any attempt of such</v>
      </c>
      <c r="O482" s="10" t="str">
        <f t="shared" si="3"/>
        <v>Capital Murder</v>
      </c>
      <c r="Q482" s="10" t="str">
        <f>IFERROR(__xludf.DUMMYFUNCTION("""COMPUTED_VALUE"""),"Uniform Land Sales Practices Act")</f>
        <v>Uniform Land Sales Practices Act</v>
      </c>
    </row>
    <row r="483">
      <c r="A483" s="7" t="s">
        <v>915</v>
      </c>
      <c r="B483" s="8" t="s">
        <v>916</v>
      </c>
      <c r="C483" s="8" t="s">
        <v>178</v>
      </c>
      <c r="D483" s="8">
        <v>1.0</v>
      </c>
      <c r="E483" s="8">
        <v>2.0</v>
      </c>
      <c r="F483" s="8">
        <v>3.0</v>
      </c>
      <c r="G483" s="8" t="s">
        <v>24</v>
      </c>
      <c r="H483" s="8" t="s">
        <v>109</v>
      </c>
      <c r="I483" s="8" t="s">
        <v>54</v>
      </c>
      <c r="N483" s="10" t="str">
        <f t="shared" si="2"/>
        <v>21-5401(a)(5) - Capital Murder; Intentional and premeditated killing of a law enforcement officer</v>
      </c>
      <c r="O483" s="10" t="str">
        <f t="shared" si="3"/>
        <v>Capital Murder</v>
      </c>
      <c r="Q483" s="10" t="str">
        <f>IFERROR(__xludf.DUMMYFUNCTION("""COMPUTED_VALUE"""),"Uniform Vital Statistics Act")</f>
        <v>Uniform Vital Statistics Act</v>
      </c>
    </row>
    <row r="484">
      <c r="A484" s="7" t="s">
        <v>917</v>
      </c>
      <c r="B484" s="8" t="s">
        <v>918</v>
      </c>
      <c r="C484" s="8" t="s">
        <v>178</v>
      </c>
      <c r="D484" s="8">
        <v>1.0</v>
      </c>
      <c r="E484" s="8">
        <v>2.0</v>
      </c>
      <c r="F484" s="8">
        <v>3.0</v>
      </c>
      <c r="G484" s="8" t="s">
        <v>24</v>
      </c>
      <c r="H484" s="8" t="s">
        <v>109</v>
      </c>
      <c r="I484" s="8" t="s">
        <v>54</v>
      </c>
      <c r="N484" s="10" t="str">
        <f t="shared" si="2"/>
        <v>21-5401(a)(7) - Capital Murder; Intentional and premeditated killing of child under 14 in commission of kidnapping, or aggravated kidnapping, with intent to commit sex offense</v>
      </c>
      <c r="O484" s="10" t="str">
        <f t="shared" si="3"/>
        <v>Capital Murder</v>
      </c>
      <c r="Q484" s="10" t="str">
        <f>IFERROR(__xludf.DUMMYFUNCTION("""COMPUTED_VALUE"""),"Unjustifiably Exposing a Convicted or Charged Person")</f>
        <v>Unjustifiably Exposing a Convicted or Charged Person</v>
      </c>
    </row>
    <row r="485">
      <c r="A485" s="7" t="s">
        <v>919</v>
      </c>
      <c r="B485" s="8" t="s">
        <v>920</v>
      </c>
      <c r="C485" s="8" t="s">
        <v>178</v>
      </c>
      <c r="D485" s="8">
        <v>1.0</v>
      </c>
      <c r="E485" s="8">
        <v>2.0</v>
      </c>
      <c r="F485" s="8">
        <v>3.0</v>
      </c>
      <c r="G485" s="8" t="s">
        <v>24</v>
      </c>
      <c r="H485" s="8" t="s">
        <v>109</v>
      </c>
      <c r="I485" s="8" t="s">
        <v>54</v>
      </c>
      <c r="N485" s="10" t="str">
        <f t="shared" si="2"/>
        <v>21-5401(a)(6) - Capital Murder; Intentional and premeditated killing of more than one person as a part of the same act or transaction or in two or more acts that constitute a common scheme or course of conduct</v>
      </c>
      <c r="O485" s="10" t="str">
        <f t="shared" si="3"/>
        <v>Capital Murder</v>
      </c>
      <c r="Q485" s="10" t="str">
        <f>IFERROR(__xludf.DUMMYFUNCTION("""COMPUTED_VALUE"""),"Unlawful Acts Concerning Certificates of Title")</f>
        <v>Unlawful Acts Concerning Certificates of Title</v>
      </c>
    </row>
    <row r="486">
      <c r="A486" s="7" t="s">
        <v>921</v>
      </c>
      <c r="B486" s="8" t="s">
        <v>922</v>
      </c>
      <c r="C486" s="8" t="s">
        <v>27</v>
      </c>
      <c r="D486" s="8" t="s">
        <v>28</v>
      </c>
      <c r="E486" s="8" t="s">
        <v>19</v>
      </c>
      <c r="F486" s="8" t="s">
        <v>20</v>
      </c>
      <c r="G486" s="8" t="s">
        <v>21</v>
      </c>
      <c r="H486" s="9"/>
      <c r="I486" s="9"/>
      <c r="J486" s="10">
        <f t="shared" ref="J486:M486" si="285">ifs(OR($H486="R",$I486="N"),"N/A",OR(C486="A",C486="B",C486="C",C486="U"),3,TRUE,"FLAG")</f>
        <v>3</v>
      </c>
      <c r="K486" s="10">
        <f t="shared" si="285"/>
        <v>3</v>
      </c>
      <c r="L486" s="10">
        <f t="shared" si="285"/>
        <v>3</v>
      </c>
      <c r="M486" s="10" t="str">
        <f t="shared" si="285"/>
        <v>FLAG</v>
      </c>
      <c r="N486" s="10" t="str">
        <f t="shared" si="2"/>
        <v>59-2980 - Care &amp; Treatment; Mentally Ill Persons; make any false petition, report or order provided for in this act for a corrupt consideration or advantage, or through malice</v>
      </c>
      <c r="O486" s="10" t="str">
        <f t="shared" si="3"/>
        <v>Care &amp; Treatment</v>
      </c>
      <c r="Q486" s="10" t="str">
        <f>IFERROR(__xludf.DUMMYFUNCTION("""COMPUTED_VALUE"""),"Unlawful Administration of a Substance")</f>
        <v>Unlawful Administration of a Substance</v>
      </c>
    </row>
    <row r="487">
      <c r="A487" s="7" t="s">
        <v>923</v>
      </c>
      <c r="B487" s="8" t="s">
        <v>924</v>
      </c>
      <c r="C487" s="8" t="s">
        <v>19</v>
      </c>
      <c r="D487" s="8" t="s">
        <v>19</v>
      </c>
      <c r="E487" s="8" t="s">
        <v>19</v>
      </c>
      <c r="F487" s="8" t="s">
        <v>20</v>
      </c>
      <c r="G487" s="8" t="s">
        <v>21</v>
      </c>
      <c r="H487" s="9"/>
      <c r="I487" s="9"/>
      <c r="J487" s="10">
        <f t="shared" ref="J487:M487" si="286">ifs(OR($H487="R",$I487="N"),"N/A",OR(C487="A",C487="B",C487="C",C487="U"),3,TRUE,"FLAG")</f>
        <v>3</v>
      </c>
      <c r="K487" s="10">
        <f t="shared" si="286"/>
        <v>3</v>
      </c>
      <c r="L487" s="10">
        <f t="shared" si="286"/>
        <v>3</v>
      </c>
      <c r="M487" s="10" t="str">
        <f t="shared" si="286"/>
        <v>FLAG</v>
      </c>
      <c r="N487" s="10" t="str">
        <f t="shared" si="2"/>
        <v>59-2979(a) - Care &amp; Treatment; Mentally Ill Persons; unauthorized and willful disclosure of privileged records</v>
      </c>
      <c r="O487" s="10" t="str">
        <f t="shared" si="3"/>
        <v>Care &amp; Treatment</v>
      </c>
      <c r="Q487" s="10" t="str">
        <f>IFERROR(__xludf.DUMMYFUNCTION("""COMPUTED_VALUE"""),"Unlawful Assembly")</f>
        <v>Unlawful Assembly</v>
      </c>
    </row>
    <row r="488">
      <c r="A488" s="7" t="s">
        <v>925</v>
      </c>
      <c r="B488" s="8" t="s">
        <v>926</v>
      </c>
      <c r="C488" s="8" t="s">
        <v>19</v>
      </c>
      <c r="D488" s="8" t="s">
        <v>19</v>
      </c>
      <c r="E488" s="8" t="s">
        <v>19</v>
      </c>
      <c r="F488" s="8" t="s">
        <v>20</v>
      </c>
      <c r="G488" s="8" t="s">
        <v>21</v>
      </c>
      <c r="H488" s="9"/>
      <c r="I488" s="9"/>
      <c r="J488" s="10">
        <f t="shared" ref="J488:M488" si="287">ifs(OR($H488="R",$I488="N"),"N/A",OR(C488="A",C488="B",C488="C",C488="U"),3,TRUE,"FLAG")</f>
        <v>3</v>
      </c>
      <c r="K488" s="10">
        <f t="shared" si="287"/>
        <v>3</v>
      </c>
      <c r="L488" s="10">
        <f t="shared" si="287"/>
        <v>3</v>
      </c>
      <c r="M488" s="10" t="str">
        <f t="shared" si="287"/>
        <v>FLAG</v>
      </c>
      <c r="N488" s="10" t="str">
        <f t="shared" si="2"/>
        <v>59-2978(a) - Care &amp; Treatment; Mentally Ill Persons; willful, unauthorized deprivation of any patient's rights</v>
      </c>
      <c r="O488" s="10" t="str">
        <f t="shared" si="3"/>
        <v>Care &amp; Treatment</v>
      </c>
      <c r="Q488" s="10" t="str">
        <f>IFERROR(__xludf.DUMMYFUNCTION("""COMPUTED_VALUE"""),"Unlawful Discharge of a Firearm")</f>
        <v>Unlawful Discharge of a Firearm</v>
      </c>
    </row>
    <row r="489">
      <c r="A489" s="7" t="s">
        <v>927</v>
      </c>
      <c r="B489" s="8" t="s">
        <v>928</v>
      </c>
      <c r="C489" s="8" t="s">
        <v>27</v>
      </c>
      <c r="D489" s="8" t="s">
        <v>28</v>
      </c>
      <c r="E489" s="8" t="s">
        <v>19</v>
      </c>
      <c r="F489" s="8" t="s">
        <v>20</v>
      </c>
      <c r="G489" s="8" t="s">
        <v>21</v>
      </c>
      <c r="H489" s="9"/>
      <c r="I489" s="9"/>
      <c r="J489" s="10">
        <f t="shared" ref="J489:M489" si="288">ifs(OR($H489="R",$I489="N"),"N/A",OR(C489="A",C489="B",C489="C",C489="U"),3,TRUE,"FLAG")</f>
        <v>3</v>
      </c>
      <c r="K489" s="10">
        <f t="shared" si="288"/>
        <v>3</v>
      </c>
      <c r="L489" s="10">
        <f t="shared" si="288"/>
        <v>3</v>
      </c>
      <c r="M489" s="10" t="str">
        <f t="shared" si="288"/>
        <v>FLAG</v>
      </c>
      <c r="N489" s="10" t="str">
        <f t="shared" si="2"/>
        <v>59-29b80 - Care &amp; Treatment; Persons with Addiction Problems; make any false petition, report or order provided for in this act for a corrupt consideration or advantage, or through malice</v>
      </c>
      <c r="O489" s="10" t="str">
        <f t="shared" si="3"/>
        <v>Care &amp; Treatment</v>
      </c>
      <c r="Q489" s="10" t="str">
        <f>IFERROR(__xludf.DUMMYFUNCTION("""COMPUTED_VALUE"""),"Unlawful Disclosure of Authorized Interception of Wire")</f>
        <v>Unlawful Disclosure of Authorized Interception of Wire</v>
      </c>
    </row>
    <row r="490">
      <c r="A490" s="7" t="s">
        <v>929</v>
      </c>
      <c r="B490" s="8" t="s">
        <v>930</v>
      </c>
      <c r="C490" s="8" t="s">
        <v>19</v>
      </c>
      <c r="D490" s="8" t="s">
        <v>19</v>
      </c>
      <c r="E490" s="8" t="s">
        <v>19</v>
      </c>
      <c r="F490" s="8" t="s">
        <v>20</v>
      </c>
      <c r="G490" s="8" t="s">
        <v>21</v>
      </c>
      <c r="H490" s="9"/>
      <c r="I490" s="9"/>
      <c r="J490" s="10">
        <f t="shared" ref="J490:M490" si="289">ifs(OR($H490="R",$I490="N"),"N/A",OR(C490="A",C490="B",C490="C",C490="U"),3,TRUE,"FLAG")</f>
        <v>3</v>
      </c>
      <c r="K490" s="10">
        <f t="shared" si="289"/>
        <v>3</v>
      </c>
      <c r="L490" s="10">
        <f t="shared" si="289"/>
        <v>3</v>
      </c>
      <c r="M490" s="10" t="str">
        <f t="shared" si="289"/>
        <v>FLAG</v>
      </c>
      <c r="N490" s="10" t="str">
        <f t="shared" si="2"/>
        <v>59-29b79(a) - Care &amp; Treatment; Persons with Addiction Problems; unauthorized and willful disclosure of privileged records</v>
      </c>
      <c r="O490" s="10" t="str">
        <f t="shared" si="3"/>
        <v>Care &amp; Treatment</v>
      </c>
      <c r="Q490" s="10" t="str">
        <f>IFERROR(__xludf.DUMMYFUNCTION("""COMPUTED_VALUE"""),"Unlawful Disposition of Animals")</f>
        <v>Unlawful Disposition of Animals</v>
      </c>
    </row>
    <row r="491">
      <c r="A491" s="7" t="s">
        <v>931</v>
      </c>
      <c r="B491" s="8" t="s">
        <v>932</v>
      </c>
      <c r="C491" s="8" t="s">
        <v>19</v>
      </c>
      <c r="D491" s="8" t="s">
        <v>19</v>
      </c>
      <c r="E491" s="8" t="s">
        <v>19</v>
      </c>
      <c r="F491" s="8" t="s">
        <v>20</v>
      </c>
      <c r="G491" s="8" t="s">
        <v>21</v>
      </c>
      <c r="H491" s="9"/>
      <c r="I491" s="9"/>
      <c r="J491" s="10">
        <f t="shared" ref="J491:M491" si="290">ifs(OR($H491="R",$I491="N"),"N/A",OR(C491="A",C491="B",C491="C",C491="U"),3,TRUE,"FLAG")</f>
        <v>3</v>
      </c>
      <c r="K491" s="10">
        <f t="shared" si="290"/>
        <v>3</v>
      </c>
      <c r="L491" s="10">
        <f t="shared" si="290"/>
        <v>3</v>
      </c>
      <c r="M491" s="10" t="str">
        <f t="shared" si="290"/>
        <v>FLAG</v>
      </c>
      <c r="N491" s="10" t="str">
        <f t="shared" si="2"/>
        <v>59-29b78(a) - Care &amp; Treatment; Persons with Addiction Problems; willful, unauthorized deprivation of any patient's rights</v>
      </c>
      <c r="O491" s="10" t="str">
        <f t="shared" si="3"/>
        <v>Care &amp; Treatment</v>
      </c>
      <c r="Q491" s="10" t="str">
        <f>IFERROR(__xludf.DUMMYFUNCTION("""COMPUTED_VALUE"""),"Unlawful Endangerment")</f>
        <v>Unlawful Endangerment</v>
      </c>
    </row>
    <row r="492">
      <c r="A492" s="7" t="s">
        <v>933</v>
      </c>
      <c r="B492" s="8" t="s">
        <v>934</v>
      </c>
      <c r="C492" s="8" t="s">
        <v>27</v>
      </c>
      <c r="D492" s="8" t="s">
        <v>28</v>
      </c>
      <c r="E492" s="8" t="s">
        <v>19</v>
      </c>
      <c r="F492" s="8" t="s">
        <v>20</v>
      </c>
      <c r="G492" s="8" t="s">
        <v>24</v>
      </c>
      <c r="H492" s="9"/>
      <c r="I492" s="9"/>
      <c r="J492" s="10">
        <f t="shared" ref="J492:M492" si="291">ifs(OR($H492="R",$I492="N"),"N/A",OR(C492="A",C492="B",C492="C",C492="U"),3,TRUE,"FLAG")</f>
        <v>3</v>
      </c>
      <c r="K492" s="10">
        <f t="shared" si="291"/>
        <v>3</v>
      </c>
      <c r="L492" s="10">
        <f t="shared" si="291"/>
        <v>3</v>
      </c>
      <c r="M492" s="10" t="str">
        <f t="shared" si="291"/>
        <v>FLAG</v>
      </c>
      <c r="N492" s="10" t="str">
        <f t="shared" si="2"/>
        <v>21-6312(c) - Carrying Concealed Explosives or Detonating Substance</v>
      </c>
      <c r="O492" s="10" t="str">
        <f t="shared" si="3"/>
        <v>Carrying Concealed Explosives or Detonating Substance</v>
      </c>
      <c r="Q492" s="10" t="str">
        <f>IFERROR(__xludf.DUMMYFUNCTION("""COMPUTED_VALUE"""),"Unlawful Hosting")</f>
        <v>Unlawful Hosting</v>
      </c>
    </row>
    <row r="493">
      <c r="A493" s="7" t="s">
        <v>935</v>
      </c>
      <c r="B493" s="8" t="s">
        <v>936</v>
      </c>
      <c r="C493" s="8" t="s">
        <v>27</v>
      </c>
      <c r="D493" s="8" t="s">
        <v>28</v>
      </c>
      <c r="E493" s="8" t="s">
        <v>19</v>
      </c>
      <c r="F493" s="8" t="s">
        <v>20</v>
      </c>
      <c r="G493" s="8" t="s">
        <v>21</v>
      </c>
      <c r="H493" s="9"/>
      <c r="I493" s="9"/>
      <c r="J493" s="10">
        <f t="shared" ref="J493:M493" si="292">ifs(OR($H493="R",$I493="N"),"N/A",OR(C493="A",C493="B",C493="C",C493="U"),3,TRUE,"FLAG")</f>
        <v>3</v>
      </c>
      <c r="K493" s="10">
        <f t="shared" si="292"/>
        <v>3</v>
      </c>
      <c r="L493" s="10">
        <f t="shared" si="292"/>
        <v>3</v>
      </c>
      <c r="M493" s="10" t="str">
        <f t="shared" si="292"/>
        <v>FLAG</v>
      </c>
      <c r="N493" s="10" t="str">
        <f t="shared" si="2"/>
        <v>21-5822(a) - Causing Unlawful Prosecution for Worthless Check</v>
      </c>
      <c r="O493" s="10" t="str">
        <f t="shared" si="3"/>
        <v>Causing Unlawful Prosecution for Worthless Check</v>
      </c>
      <c r="Q493" s="10" t="str">
        <f>IFERROR(__xludf.DUMMYFUNCTION("""COMPUTED_VALUE"""),"Unlawful Interference with a Firefighter")</f>
        <v>Unlawful Interference with a Firefighter</v>
      </c>
    </row>
    <row r="494">
      <c r="A494" s="7" t="s">
        <v>937</v>
      </c>
      <c r="B494" s="8" t="s">
        <v>938</v>
      </c>
      <c r="C494" s="8">
        <v>7.0</v>
      </c>
      <c r="D494" s="8">
        <v>9.0</v>
      </c>
      <c r="E494" s="8">
        <v>9.0</v>
      </c>
      <c r="F494" s="8">
        <v>10.0</v>
      </c>
      <c r="G494" s="8" t="s">
        <v>21</v>
      </c>
      <c r="H494" s="9"/>
      <c r="I494" s="9"/>
      <c r="N494" s="10" t="str">
        <f t="shared" si="2"/>
        <v>16-323 - Cemetery Corporations; Misuse of the Cemetery Merchandise Trust Fund</v>
      </c>
      <c r="O494" s="10" t="str">
        <f t="shared" si="3"/>
        <v>Cemetery Corporations</v>
      </c>
      <c r="Q494" s="10" t="str">
        <f>IFERROR(__xludf.DUMMYFUNCTION("""COMPUTED_VALUE"""),"Unlawful Interference with EMS Attendant")</f>
        <v>Unlawful Interference with EMS Attendant</v>
      </c>
    </row>
    <row r="495">
      <c r="A495" s="7" t="s">
        <v>939</v>
      </c>
      <c r="B495" s="8" t="s">
        <v>940</v>
      </c>
      <c r="C495" s="8">
        <v>7.0</v>
      </c>
      <c r="D495" s="8">
        <v>9.0</v>
      </c>
      <c r="E495" s="8">
        <v>9.0</v>
      </c>
      <c r="F495" s="8">
        <v>10.0</v>
      </c>
      <c r="G495" s="8" t="s">
        <v>21</v>
      </c>
      <c r="H495" s="9"/>
      <c r="I495" s="9"/>
      <c r="N495" s="10" t="str">
        <f t="shared" si="2"/>
        <v>17-1311a(a) - Cemetery Corporations; Misuse of the permanent maintenance fund</v>
      </c>
      <c r="O495" s="10" t="str">
        <f t="shared" si="3"/>
        <v>Cemetery Corporations</v>
      </c>
      <c r="Q495" s="10" t="str">
        <f>IFERROR(__xludf.DUMMYFUNCTION("""COMPUTED_VALUE"""),"Unlawful Manufacture or Disposal of False Tokens")</f>
        <v>Unlawful Manufacture or Disposal of False Tokens</v>
      </c>
    </row>
    <row r="496">
      <c r="A496" s="7" t="s">
        <v>941</v>
      </c>
      <c r="B496" s="8" t="s">
        <v>942</v>
      </c>
      <c r="C496" s="8" t="s">
        <v>27</v>
      </c>
      <c r="D496" s="8" t="s">
        <v>28</v>
      </c>
      <c r="E496" s="8" t="s">
        <v>19</v>
      </c>
      <c r="F496" s="8" t="s">
        <v>20</v>
      </c>
      <c r="G496" s="8" t="s">
        <v>21</v>
      </c>
      <c r="H496" s="9"/>
      <c r="I496" s="9"/>
      <c r="J496" s="10">
        <f t="shared" ref="J496:M496" si="293">ifs(OR($H496="R",$I496="N"),"N/A",OR(C496="A",C496="B",C496="C",C496="U"),3,TRUE,"FLAG")</f>
        <v>3</v>
      </c>
      <c r="K496" s="10">
        <f t="shared" si="293"/>
        <v>3</v>
      </c>
      <c r="L496" s="10">
        <f t="shared" si="293"/>
        <v>3</v>
      </c>
      <c r="M496" s="10" t="str">
        <f t="shared" si="293"/>
        <v>FLAG</v>
      </c>
      <c r="N496" s="10" t="str">
        <f t="shared" si="2"/>
        <v>11-307 - Census; Any interference with one carrying out the provisions of this act</v>
      </c>
      <c r="O496" s="10" t="str">
        <f t="shared" si="3"/>
        <v>Census</v>
      </c>
      <c r="Q496" s="10" t="str">
        <f>IFERROR(__xludf.DUMMYFUNCTION("""COMPUTED_VALUE"""),"Unlawful Possession of a Traffic Control Preemption Device")</f>
        <v>Unlawful Possession of a Traffic Control Preemption Device</v>
      </c>
    </row>
    <row r="497">
      <c r="A497" s="7" t="s">
        <v>943</v>
      </c>
      <c r="B497" s="8" t="s">
        <v>944</v>
      </c>
      <c r="C497" s="8" t="s">
        <v>27</v>
      </c>
      <c r="D497" s="8" t="s">
        <v>28</v>
      </c>
      <c r="E497" s="8" t="s">
        <v>19</v>
      </c>
      <c r="F497" s="8" t="s">
        <v>20</v>
      </c>
      <c r="G497" s="8" t="s">
        <v>21</v>
      </c>
      <c r="H497" s="9"/>
      <c r="I497" s="9"/>
      <c r="J497" s="10">
        <f t="shared" ref="J497:M497" si="294">ifs(OR($H497="R",$I497="N"),"N/A",OR(C497="A",C497="B",C497="C",C497="U"),3,TRUE,"FLAG")</f>
        <v>3</v>
      </c>
      <c r="K497" s="10">
        <f t="shared" si="294"/>
        <v>3</v>
      </c>
      <c r="L497" s="10">
        <f t="shared" si="294"/>
        <v>3</v>
      </c>
      <c r="M497" s="10" t="str">
        <f t="shared" si="294"/>
        <v>FLAG</v>
      </c>
      <c r="N497" s="10" t="str">
        <f t="shared" si="2"/>
        <v>11-208(a) - Census; Employee knowingly failing to perform the duties or submitting false report</v>
      </c>
      <c r="O497" s="10" t="str">
        <f t="shared" si="3"/>
        <v>Census</v>
      </c>
      <c r="Q497" s="10" t="str">
        <f>IFERROR(__xludf.DUMMYFUNCTION("""COMPUTED_VALUE"""),"Unlawful possession of a visual depiction of a child")</f>
        <v>Unlawful possession of a visual depiction of a child</v>
      </c>
    </row>
    <row r="498">
      <c r="A498" s="7" t="s">
        <v>945</v>
      </c>
      <c r="B498" s="8" t="s">
        <v>946</v>
      </c>
      <c r="C498" s="8" t="s">
        <v>18</v>
      </c>
      <c r="D498" s="8" t="s">
        <v>18</v>
      </c>
      <c r="E498" s="8" t="s">
        <v>19</v>
      </c>
      <c r="F498" s="8" t="s">
        <v>20</v>
      </c>
      <c r="G498" s="8" t="s">
        <v>21</v>
      </c>
      <c r="H498" s="9"/>
      <c r="I498" s="9"/>
      <c r="J498" s="10">
        <f t="shared" ref="J498:M498" si="295">ifs(OR($H498="R",$I498="N"),"N/A",OR(C498="A",C498="B",C498="C",C498="U"),3,TRUE,"FLAG")</f>
        <v>3</v>
      </c>
      <c r="K498" s="10">
        <f t="shared" si="295"/>
        <v>3</v>
      </c>
      <c r="L498" s="10">
        <f t="shared" si="295"/>
        <v>3</v>
      </c>
      <c r="M498" s="10" t="str">
        <f t="shared" si="295"/>
        <v>FLAG</v>
      </c>
      <c r="N498" s="10" t="str">
        <f t="shared" si="2"/>
        <v>41-2705(a)(1) - Cereal Malt Beverages; Accept, receive or borrow money or anything else of value, or accept or receive credit, from any manufacturer or distributor</v>
      </c>
      <c r="O498" s="10" t="str">
        <f t="shared" si="3"/>
        <v>Cereal Malt Beverages</v>
      </c>
      <c r="Q498" s="10" t="str">
        <f>IFERROR(__xludf.DUMMYFUNCTION("""COMPUTED_VALUE"""),"Unlawful Possession/Use of Reencoder")</f>
        <v>Unlawful Possession/Use of Reencoder</v>
      </c>
    </row>
    <row r="499">
      <c r="A499" s="7" t="s">
        <v>947</v>
      </c>
      <c r="B499" s="8" t="s">
        <v>948</v>
      </c>
      <c r="C499" s="8" t="s">
        <v>18</v>
      </c>
      <c r="D499" s="8" t="s">
        <v>18</v>
      </c>
      <c r="E499" s="8" t="s">
        <v>19</v>
      </c>
      <c r="F499" s="8" t="s">
        <v>20</v>
      </c>
      <c r="G499" s="8" t="s">
        <v>21</v>
      </c>
      <c r="H499" s="9"/>
      <c r="I499" s="9"/>
      <c r="J499" s="10">
        <f t="shared" ref="J499:M499" si="296">ifs(OR($H499="R",$I499="N"),"N/A",OR(C499="A",C499="B",C499="C",C499="U"),3,TRUE,"FLAG")</f>
        <v>3</v>
      </c>
      <c r="K499" s="10">
        <f t="shared" si="296"/>
        <v>3</v>
      </c>
      <c r="L499" s="10">
        <f t="shared" si="296"/>
        <v>3</v>
      </c>
      <c r="M499" s="10" t="str">
        <f t="shared" si="296"/>
        <v>FLAG</v>
      </c>
      <c r="N499" s="10" t="str">
        <f t="shared" si="2"/>
        <v>41-2705(a)(4) - Cereal Malt Beverages; Accept, receive or borrow money or anything else of value, or accept or receive credit, from any officer, manager, agent or representative of a manufacturer or distributor</v>
      </c>
      <c r="O499" s="10" t="str">
        <f t="shared" si="3"/>
        <v>Cereal Malt Beverages</v>
      </c>
      <c r="Q499" s="10" t="str">
        <f>IFERROR(__xludf.DUMMYFUNCTION("""COMPUTED_VALUE"""),"Unlawful Possession/Use of Scanning Device")</f>
        <v>Unlawful Possession/Use of Scanning Device</v>
      </c>
    </row>
    <row r="500">
      <c r="A500" s="7" t="s">
        <v>949</v>
      </c>
      <c r="B500" s="8" t="s">
        <v>950</v>
      </c>
      <c r="C500" s="8" t="s">
        <v>18</v>
      </c>
      <c r="D500" s="8" t="s">
        <v>18</v>
      </c>
      <c r="E500" s="8" t="s">
        <v>19</v>
      </c>
      <c r="F500" s="8" t="s">
        <v>20</v>
      </c>
      <c r="G500" s="8" t="s">
        <v>21</v>
      </c>
      <c r="H500" s="9"/>
      <c r="I500" s="9"/>
      <c r="J500" s="10">
        <f t="shared" ref="J500:M500" si="297">ifs(OR($H500="R",$I500="N"),"N/A",OR(C500="A",C500="B",C500="C",C500="U"),3,TRUE,"FLAG")</f>
        <v>3</v>
      </c>
      <c r="K500" s="10">
        <f t="shared" si="297"/>
        <v>3</v>
      </c>
      <c r="L500" s="10">
        <f t="shared" si="297"/>
        <v>3</v>
      </c>
      <c r="M500" s="10" t="str">
        <f t="shared" si="297"/>
        <v>FLAG</v>
      </c>
      <c r="N500" s="10" t="str">
        <f t="shared" si="2"/>
        <v>41-2705(a)(2) - Cereal Malt Beverages; Accept, receive or borrow money or anything else of value, or accept or receive credit, from any person connected with, in any way representing or a member of the family of a manufacturer or distributor</v>
      </c>
      <c r="O500" s="10" t="str">
        <f t="shared" si="3"/>
        <v>Cereal Malt Beverages</v>
      </c>
      <c r="Q500" s="10" t="str">
        <f>IFERROR(__xludf.DUMMYFUNCTION("""COMPUTED_VALUE"""),"Unlawful Posting of Political Pictures and Political Advertisements")</f>
        <v>Unlawful Posting of Political Pictures and Political Advertisements</v>
      </c>
    </row>
    <row r="501">
      <c r="A501" s="7" t="s">
        <v>951</v>
      </c>
      <c r="B501" s="8" t="s">
        <v>952</v>
      </c>
      <c r="C501" s="8" t="s">
        <v>18</v>
      </c>
      <c r="D501" s="8" t="s">
        <v>18</v>
      </c>
      <c r="E501" s="8" t="s">
        <v>19</v>
      </c>
      <c r="F501" s="8" t="s">
        <v>20</v>
      </c>
      <c r="G501" s="8" t="s">
        <v>21</v>
      </c>
      <c r="H501" s="9"/>
      <c r="I501" s="9"/>
      <c r="J501" s="10">
        <f t="shared" ref="J501:M501" si="298">ifs(OR($H501="R",$I501="N"),"N/A",OR(C501="A",C501="B",C501="C",C501="U"),3,TRUE,"FLAG")</f>
        <v>3</v>
      </c>
      <c r="K501" s="10">
        <f t="shared" si="298"/>
        <v>3</v>
      </c>
      <c r="L501" s="10">
        <f t="shared" si="298"/>
        <v>3</v>
      </c>
      <c r="M501" s="10" t="str">
        <f t="shared" si="298"/>
        <v>FLAG</v>
      </c>
      <c r="N501" s="10" t="str">
        <f t="shared" si="2"/>
        <v>41-2705(a)(3) - Cereal Malt Beverages; Accept, receive or borrow money or anything else of value, or accept or receive credit, from any stockholders in a manufacturer or distributor</v>
      </c>
      <c r="O501" s="10" t="str">
        <f t="shared" si="3"/>
        <v>Cereal Malt Beverages</v>
      </c>
      <c r="Q501" s="10" t="str">
        <f>IFERROR(__xludf.DUMMYFUNCTION("""COMPUTED_VALUE"""),"Unlawful Public Demonstration at a Funeral")</f>
        <v>Unlawful Public Demonstration at a Funeral</v>
      </c>
    </row>
    <row r="502">
      <c r="A502" s="7" t="s">
        <v>953</v>
      </c>
      <c r="B502" s="8" t="s">
        <v>954</v>
      </c>
      <c r="C502" s="8" t="s">
        <v>18</v>
      </c>
      <c r="D502" s="8" t="s">
        <v>18</v>
      </c>
      <c r="E502" s="8" t="s">
        <v>19</v>
      </c>
      <c r="F502" s="8" t="s">
        <v>20</v>
      </c>
      <c r="G502" s="8" t="s">
        <v>21</v>
      </c>
      <c r="H502" s="9"/>
      <c r="I502" s="9"/>
      <c r="J502" s="10">
        <f t="shared" ref="J502:M502" si="299">ifs(OR($H502="R",$I502="N"),"N/A",OR(C502="A",C502="B",C502="C",C502="U"),3,TRUE,"FLAG")</f>
        <v>3</v>
      </c>
      <c r="K502" s="10">
        <f t="shared" si="299"/>
        <v>3</v>
      </c>
      <c r="L502" s="10">
        <f t="shared" si="299"/>
        <v>3</v>
      </c>
      <c r="M502" s="10" t="str">
        <f t="shared" si="299"/>
        <v>FLAG</v>
      </c>
      <c r="N502" s="10" t="str">
        <f t="shared" si="2"/>
        <v>41-2725(a) - Cereal Malt Beverages; Cereal malt beverage prohibited at state capitol</v>
      </c>
      <c r="O502" s="10" t="str">
        <f t="shared" si="3"/>
        <v>Cereal Malt Beverages</v>
      </c>
      <c r="Q502" s="10" t="str">
        <f>IFERROR(__xludf.DUMMYFUNCTION("""COMPUTED_VALUE"""),"Unlawful Sexual Relations")</f>
        <v>Unlawful Sexual Relations</v>
      </c>
    </row>
    <row r="503">
      <c r="A503" s="7" t="s">
        <v>955</v>
      </c>
      <c r="B503" s="8" t="s">
        <v>956</v>
      </c>
      <c r="C503" s="8" t="s">
        <v>18</v>
      </c>
      <c r="D503" s="8" t="s">
        <v>18</v>
      </c>
      <c r="E503" s="8" t="s">
        <v>19</v>
      </c>
      <c r="F503" s="8" t="s">
        <v>20</v>
      </c>
      <c r="G503" s="8" t="s">
        <v>21</v>
      </c>
      <c r="H503" s="9"/>
      <c r="I503" s="9"/>
      <c r="J503" s="10">
        <f t="shared" ref="J503:M503" si="300">ifs(OR($H503="R",$I503="N"),"N/A",OR(C503="A",C503="B",C503="C",C503="U"),3,TRUE,"FLAG")</f>
        <v>3</v>
      </c>
      <c r="K503" s="10">
        <f t="shared" si="300"/>
        <v>3</v>
      </c>
      <c r="L503" s="10">
        <f t="shared" si="300"/>
        <v>3</v>
      </c>
      <c r="M503" s="10" t="str">
        <f t="shared" si="300"/>
        <v>FLAG</v>
      </c>
      <c r="N503" s="10" t="str">
        <f t="shared" si="2"/>
        <v>41-2706(a) - Cereal Malt Beverages; Certain sales on credit or in trade prohibited</v>
      </c>
      <c r="O503" s="10" t="str">
        <f t="shared" si="3"/>
        <v>Cereal Malt Beverages</v>
      </c>
      <c r="Q503" s="10" t="str">
        <f>IFERROR(__xludf.DUMMYFUNCTION("""COMPUTED_VALUE"""),"Unlawful transmission of a visual depiction of a child")</f>
        <v>Unlawful transmission of a visual depiction of a child</v>
      </c>
    </row>
    <row r="504">
      <c r="A504" s="7" t="s">
        <v>957</v>
      </c>
      <c r="B504" s="8" t="s">
        <v>958</v>
      </c>
      <c r="C504" s="8" t="s">
        <v>18</v>
      </c>
      <c r="D504" s="8" t="s">
        <v>18</v>
      </c>
      <c r="E504" s="8" t="s">
        <v>19</v>
      </c>
      <c r="F504" s="8" t="s">
        <v>20</v>
      </c>
      <c r="G504" s="8" t="s">
        <v>21</v>
      </c>
      <c r="H504" s="9"/>
      <c r="I504" s="9"/>
      <c r="J504" s="10">
        <f t="shared" ref="J504:M504" si="301">ifs(OR($H504="R",$I504="N"),"N/A",OR(C504="A",C504="B",C504="C",C504="U"),3,TRUE,"FLAG")</f>
        <v>3</v>
      </c>
      <c r="K504" s="10">
        <f t="shared" si="301"/>
        <v>3</v>
      </c>
      <c r="L504" s="10">
        <f t="shared" si="301"/>
        <v>3</v>
      </c>
      <c r="M504" s="10" t="str">
        <f t="shared" si="301"/>
        <v>FLAG</v>
      </c>
      <c r="N504" s="10" t="str">
        <f t="shared" si="2"/>
        <v>41-2722(a)(5) - Cereal Malt Beverages; Certain sales practices prohibited; Advertise or promote any prohibited practices in K.S.A. 41-2722(a)(1) through (4)</v>
      </c>
      <c r="O504" s="10" t="str">
        <f t="shared" si="3"/>
        <v>Cereal Malt Beverages</v>
      </c>
      <c r="Q504" s="10" t="str">
        <f>IFERROR(__xludf.DUMMYFUNCTION("""COMPUTED_VALUE"""),"Unlawful Use of Recordings")</f>
        <v>Unlawful Use of Recordings</v>
      </c>
    </row>
    <row r="505">
      <c r="A505" s="7" t="s">
        <v>959</v>
      </c>
      <c r="B505" s="8" t="s">
        <v>960</v>
      </c>
      <c r="C505" s="8" t="s">
        <v>18</v>
      </c>
      <c r="D505" s="8" t="s">
        <v>18</v>
      </c>
      <c r="E505" s="8" t="s">
        <v>19</v>
      </c>
      <c r="F505" s="8" t="s">
        <v>20</v>
      </c>
      <c r="G505" s="8" t="s">
        <v>21</v>
      </c>
      <c r="H505" s="9"/>
      <c r="I505" s="9"/>
      <c r="J505" s="10">
        <f t="shared" ref="J505:M505" si="302">ifs(OR($H505="R",$I505="N"),"N/A",OR(C505="A",C505="B",C505="C",C505="U"),3,TRUE,"FLAG")</f>
        <v>3</v>
      </c>
      <c r="K505" s="10">
        <f t="shared" si="302"/>
        <v>3</v>
      </c>
      <c r="L505" s="10">
        <f t="shared" si="302"/>
        <v>3</v>
      </c>
      <c r="M505" s="10" t="str">
        <f t="shared" si="302"/>
        <v>FLAG</v>
      </c>
      <c r="N505" s="10" t="str">
        <f t="shared" si="2"/>
        <v>41-2722(a)(4) - Cereal Malt Beverages; Certain sales practices prohibited; Encourage or permit games or contests involving cereal malt beverages or awarding drinks as prizes</v>
      </c>
      <c r="O505" s="10" t="str">
        <f t="shared" si="3"/>
        <v>Cereal Malt Beverages</v>
      </c>
      <c r="Q505" s="10" t="str">
        <f>IFERROR(__xludf.DUMMYFUNCTION("""COMPUTED_VALUE"""),"Unlawful Use of State Postage")</f>
        <v>Unlawful Use of State Postage</v>
      </c>
    </row>
    <row r="506">
      <c r="A506" s="7" t="s">
        <v>961</v>
      </c>
      <c r="B506" s="8" t="s">
        <v>962</v>
      </c>
      <c r="C506" s="8" t="s">
        <v>18</v>
      </c>
      <c r="D506" s="8" t="s">
        <v>18</v>
      </c>
      <c r="E506" s="8" t="s">
        <v>19</v>
      </c>
      <c r="F506" s="8" t="s">
        <v>20</v>
      </c>
      <c r="G506" s="8" t="s">
        <v>21</v>
      </c>
      <c r="H506" s="9"/>
      <c r="I506" s="9"/>
      <c r="J506" s="10">
        <f t="shared" ref="J506:M506" si="303">ifs(OR($H506="R",$I506="N"),"N/A",OR(C506="A",C506="B",C506="C",C506="U"),3,TRUE,"FLAG")</f>
        <v>3</v>
      </c>
      <c r="K506" s="10">
        <f t="shared" si="303"/>
        <v>3</v>
      </c>
      <c r="L506" s="10">
        <f t="shared" si="303"/>
        <v>3</v>
      </c>
      <c r="M506" s="10" t="str">
        <f t="shared" si="303"/>
        <v>FLAG</v>
      </c>
      <c r="N506" s="10" t="str">
        <f t="shared" si="2"/>
        <v>41-2722(a)(2) - Cereal Malt Beverages; Certain sales practices prohibited; Offer or serve a drink at a price less than licensee's acquisition cost</v>
      </c>
      <c r="O506" s="10" t="str">
        <f t="shared" si="3"/>
        <v>Cereal Malt Beverages</v>
      </c>
      <c r="Q506" s="10" t="str">
        <f>IFERROR(__xludf.DUMMYFUNCTION("""COMPUTED_VALUE"""),"Unlawful Voluntary Sexual Relations")</f>
        <v>Unlawful Voluntary Sexual Relations</v>
      </c>
    </row>
    <row r="507">
      <c r="A507" s="7" t="s">
        <v>963</v>
      </c>
      <c r="B507" s="8" t="s">
        <v>964</v>
      </c>
      <c r="C507" s="8" t="s">
        <v>18</v>
      </c>
      <c r="D507" s="8" t="s">
        <v>18</v>
      </c>
      <c r="E507" s="8" t="s">
        <v>19</v>
      </c>
      <c r="F507" s="8" t="s">
        <v>20</v>
      </c>
      <c r="G507" s="8" t="s">
        <v>21</v>
      </c>
      <c r="H507" s="9"/>
      <c r="I507" s="9"/>
      <c r="J507" s="10">
        <f t="shared" ref="J507:M507" si="304">ifs(OR($H507="R",$I507="N"),"N/A",OR(C507="A",C507="B",C507="C",C507="U"),3,TRUE,"FLAG")</f>
        <v>3</v>
      </c>
      <c r="K507" s="10">
        <f t="shared" si="304"/>
        <v>3</v>
      </c>
      <c r="L507" s="10">
        <f t="shared" si="304"/>
        <v>3</v>
      </c>
      <c r="M507" s="10" t="str">
        <f t="shared" si="304"/>
        <v>FLAG</v>
      </c>
      <c r="N507" s="10" t="str">
        <f t="shared" si="2"/>
        <v>41-2722(a)(3) - Cereal Malt Beverages; Certain sales practices prohibited; Offer or serve an unlimited number of drinks during a set period of time for a fixed price, except at private functions</v>
      </c>
      <c r="O507" s="10" t="str">
        <f t="shared" si="3"/>
        <v>Cereal Malt Beverages</v>
      </c>
      <c r="Q507" s="10" t="str">
        <f>IFERROR(__xludf.DUMMYFUNCTION("""COMPUTED_VALUE"""),"Vehicular Homicide")</f>
        <v>Vehicular Homicide</v>
      </c>
    </row>
    <row r="508">
      <c r="A508" s="7" t="s">
        <v>965</v>
      </c>
      <c r="B508" s="8" t="s">
        <v>966</v>
      </c>
      <c r="C508" s="8" t="s">
        <v>18</v>
      </c>
      <c r="D508" s="8" t="s">
        <v>18</v>
      </c>
      <c r="E508" s="8" t="s">
        <v>19</v>
      </c>
      <c r="F508" s="8" t="s">
        <v>20</v>
      </c>
      <c r="G508" s="8" t="s">
        <v>21</v>
      </c>
      <c r="H508" s="9"/>
      <c r="I508" s="9"/>
      <c r="J508" s="10">
        <f t="shared" ref="J508:M508" si="305">ifs(OR($H508="R",$I508="N"),"N/A",OR(C508="A",C508="B",C508="C",C508="U"),3,TRUE,"FLAG")</f>
        <v>3</v>
      </c>
      <c r="K508" s="10">
        <f t="shared" si="305"/>
        <v>3</v>
      </c>
      <c r="L508" s="10">
        <f t="shared" si="305"/>
        <v>3</v>
      </c>
      <c r="M508" s="10" t="str">
        <f t="shared" si="305"/>
        <v>FLAG</v>
      </c>
      <c r="N508" s="10" t="str">
        <f t="shared" si="2"/>
        <v>41-2722(a)(1) - Cereal Malt Beverages; Certain sales practices prohibited; Offer or serve free cereal malt beverages to any person</v>
      </c>
      <c r="O508" s="10" t="str">
        <f t="shared" si="3"/>
        <v>Cereal Malt Beverages</v>
      </c>
      <c r="Q508" s="10" t="str">
        <f>IFERROR(__xludf.DUMMYFUNCTION("""COMPUTED_VALUE"""),"Veterinary Practice Act")</f>
        <v>Veterinary Practice Act</v>
      </c>
    </row>
    <row r="509">
      <c r="A509" s="7" t="s">
        <v>967</v>
      </c>
      <c r="B509" s="8" t="s">
        <v>968</v>
      </c>
      <c r="C509" s="8" t="s">
        <v>18</v>
      </c>
      <c r="D509" s="8" t="s">
        <v>18</v>
      </c>
      <c r="E509" s="8" t="s">
        <v>19</v>
      </c>
      <c r="F509" s="8" t="s">
        <v>20</v>
      </c>
      <c r="G509" s="8" t="s">
        <v>21</v>
      </c>
      <c r="H509" s="9"/>
      <c r="I509" s="9"/>
      <c r="J509" s="10">
        <f t="shared" ref="J509:M509" si="306">ifs(OR($H509="R",$I509="N"),"N/A",OR(C509="A",C509="B",C509="C",C509="U"),3,TRUE,"FLAG")</f>
        <v>3</v>
      </c>
      <c r="K509" s="10">
        <f t="shared" si="306"/>
        <v>3</v>
      </c>
      <c r="L509" s="10">
        <f t="shared" si="306"/>
        <v>3</v>
      </c>
      <c r="M509" s="10" t="str">
        <f t="shared" si="306"/>
        <v>FLAG</v>
      </c>
      <c r="N509" s="10" t="str">
        <f t="shared" si="2"/>
        <v>41-2726(a) - Cereal Malt Beverages; CMB;  Sales below cost prohibited; punished per 41-2711</v>
      </c>
      <c r="O509" s="10" t="str">
        <f t="shared" si="3"/>
        <v>Cereal Malt Beverages</v>
      </c>
      <c r="Q509" s="10" t="str">
        <f>IFERROR(__xludf.DUMMYFUNCTION("""COMPUTED_VALUE"""),"Viatical Settlements Act")</f>
        <v>Viatical Settlements Act</v>
      </c>
    </row>
    <row r="510">
      <c r="A510" s="7" t="s">
        <v>969</v>
      </c>
      <c r="B510" s="8" t="s">
        <v>970</v>
      </c>
      <c r="C510" s="8" t="s">
        <v>18</v>
      </c>
      <c r="D510" s="8" t="s">
        <v>18</v>
      </c>
      <c r="E510" s="8" t="s">
        <v>19</v>
      </c>
      <c r="F510" s="8" t="s">
        <v>20</v>
      </c>
      <c r="G510" s="8" t="s">
        <v>21</v>
      </c>
      <c r="H510" s="9"/>
      <c r="I510" s="9"/>
      <c r="J510" s="10">
        <f t="shared" ref="J510:M510" si="307">ifs(OR($H510="R",$I510="N"),"N/A",OR(C510="A",C510="B",C510="C",C510="U"),3,TRUE,"FLAG")</f>
        <v>3</v>
      </c>
      <c r="K510" s="10">
        <f t="shared" si="307"/>
        <v>3</v>
      </c>
      <c r="L510" s="10">
        <f t="shared" si="307"/>
        <v>3</v>
      </c>
      <c r="M510" s="10" t="str">
        <f t="shared" si="307"/>
        <v>FLAG</v>
      </c>
      <c r="N510" s="10" t="str">
        <f t="shared" si="2"/>
        <v>41-2705(b) - Cereal Malt Beverages; Licensee permitting or assenting, or being a party to any violation or infringement of the provisions of this section or of K.S.A. 41-702 or 41-703</v>
      </c>
      <c r="O510" s="10" t="str">
        <f t="shared" si="3"/>
        <v>Cereal Malt Beverages</v>
      </c>
      <c r="Q510" s="10" t="str">
        <f>IFERROR(__xludf.DUMMYFUNCTION("""COMPUTED_VALUE"""),"Vital Records")</f>
        <v>Vital Records</v>
      </c>
    </row>
    <row r="511">
      <c r="A511" s="7" t="s">
        <v>971</v>
      </c>
      <c r="B511" s="8" t="s">
        <v>972</v>
      </c>
      <c r="C511" s="8" t="s">
        <v>18</v>
      </c>
      <c r="D511" s="8" t="s">
        <v>18</v>
      </c>
      <c r="E511" s="8" t="s">
        <v>19</v>
      </c>
      <c r="F511" s="8" t="s">
        <v>20</v>
      </c>
      <c r="G511" s="8" t="s">
        <v>21</v>
      </c>
      <c r="H511" s="9"/>
      <c r="I511" s="9"/>
      <c r="J511" s="10">
        <f t="shared" ref="J511:M511" si="308">ifs(OR($H511="R",$I511="N"),"N/A",OR(C511="A",C511="B",C511="C",C511="U"),3,TRUE,"FLAG")</f>
        <v>3</v>
      </c>
      <c r="K511" s="10">
        <f t="shared" si="308"/>
        <v>3</v>
      </c>
      <c r="L511" s="10">
        <f t="shared" si="308"/>
        <v>3</v>
      </c>
      <c r="M511" s="10" t="str">
        <f t="shared" si="308"/>
        <v>FLAG</v>
      </c>
      <c r="N511" s="10" t="str">
        <f t="shared" si="2"/>
        <v>41-2702 - Cereal Malt Beverages; Retailer's license required for sale of CMB</v>
      </c>
      <c r="O511" s="10" t="str">
        <f t="shared" si="3"/>
        <v>Cereal Malt Beverages</v>
      </c>
      <c r="Q511" s="10" t="str">
        <f>IFERROR(__xludf.DUMMYFUNCTION("""COMPUTED_VALUE"""),"Voluntary Manslaughter")</f>
        <v>Voluntary Manslaughter</v>
      </c>
    </row>
    <row r="512">
      <c r="A512" s="7" t="s">
        <v>973</v>
      </c>
      <c r="B512" s="8" t="s">
        <v>974</v>
      </c>
      <c r="C512" s="8" t="s">
        <v>18</v>
      </c>
      <c r="D512" s="8" t="s">
        <v>18</v>
      </c>
      <c r="E512" s="8" t="s">
        <v>19</v>
      </c>
      <c r="F512" s="8" t="s">
        <v>20</v>
      </c>
      <c r="G512" s="8" t="s">
        <v>21</v>
      </c>
      <c r="H512" s="9"/>
      <c r="I512" s="9"/>
      <c r="J512" s="10">
        <f t="shared" ref="J512:M512" si="309">ifs(OR($H512="R",$I512="N"),"N/A",OR(C512="A",C512="B",C512="C",C512="U"),3,TRUE,"FLAG")</f>
        <v>3</v>
      </c>
      <c r="K512" s="10">
        <f t="shared" si="309"/>
        <v>3</v>
      </c>
      <c r="L512" s="10">
        <f t="shared" si="309"/>
        <v>3</v>
      </c>
      <c r="M512" s="10" t="str">
        <f t="shared" si="309"/>
        <v>FLAG</v>
      </c>
      <c r="N512" s="10" t="str">
        <f t="shared" si="2"/>
        <v>41-2707 - Cereal Malt Beverages; Sale by distributor to retailer on credit unlawful</v>
      </c>
      <c r="O512" s="10" t="str">
        <f t="shared" si="3"/>
        <v>Cereal Malt Beverages</v>
      </c>
      <c r="Q512" s="10" t="str">
        <f>IFERROR(__xludf.DUMMYFUNCTION("""COMPUTED_VALUE"""),"Warehouse Receipt Fraud")</f>
        <v>Warehouse Receipt Fraud</v>
      </c>
    </row>
    <row r="513">
      <c r="A513" s="7" t="s">
        <v>975</v>
      </c>
      <c r="B513" s="8" t="s">
        <v>976</v>
      </c>
      <c r="C513" s="8" t="s">
        <v>18</v>
      </c>
      <c r="D513" s="8" t="s">
        <v>18</v>
      </c>
      <c r="E513" s="8" t="s">
        <v>19</v>
      </c>
      <c r="F513" s="8" t="s">
        <v>20</v>
      </c>
      <c r="G513" s="8" t="s">
        <v>21</v>
      </c>
      <c r="H513" s="9"/>
      <c r="I513" s="9"/>
      <c r="J513" s="10">
        <f t="shared" ref="J513:M513" si="310">ifs(OR($H513="R",$I513="N"),"N/A",OR(C513="A",C513="B",C513="C",C513="U"),3,TRUE,"FLAG")</f>
        <v>3</v>
      </c>
      <c r="K513" s="10">
        <f t="shared" si="310"/>
        <v>3</v>
      </c>
      <c r="L513" s="10">
        <f t="shared" si="310"/>
        <v>3</v>
      </c>
      <c r="M513" s="10" t="str">
        <f t="shared" si="310"/>
        <v>FLAG</v>
      </c>
      <c r="N513" s="10" t="str">
        <f t="shared" si="2"/>
        <v>41-2722(b)(3) - Cereal Malt Beverages; Sell or serve cereal malt beverage in a pitcher capable of containing not more than 64 fluid ounces.</v>
      </c>
      <c r="O513" s="10" t="str">
        <f t="shared" si="3"/>
        <v>Cereal Malt Beverages</v>
      </c>
      <c r="Q513" s="10" t="str">
        <f>IFERROR(__xludf.DUMMYFUNCTION("""COMPUTED_VALUE"""),"Warehouses")</f>
        <v>Warehouses</v>
      </c>
    </row>
    <row r="514">
      <c r="A514" s="7" t="s">
        <v>977</v>
      </c>
      <c r="B514" s="8" t="s">
        <v>978</v>
      </c>
      <c r="C514" s="8" t="s">
        <v>18</v>
      </c>
      <c r="D514" s="8" t="s">
        <v>18</v>
      </c>
      <c r="E514" s="8" t="s">
        <v>19</v>
      </c>
      <c r="F514" s="8" t="s">
        <v>20</v>
      </c>
      <c r="G514" s="8" t="s">
        <v>21</v>
      </c>
      <c r="H514" s="9"/>
      <c r="I514" s="9"/>
      <c r="J514" s="10">
        <f t="shared" ref="J514:M514" si="311">ifs(OR($H514="R",$I514="N"),"N/A",OR(C514="A",C514="B",C514="C",C514="U"),3,TRUE,"FLAG")</f>
        <v>3</v>
      </c>
      <c r="K514" s="10">
        <f t="shared" si="311"/>
        <v>3</v>
      </c>
      <c r="L514" s="10">
        <f t="shared" si="311"/>
        <v>3</v>
      </c>
      <c r="M514" s="10" t="str">
        <f t="shared" si="311"/>
        <v>FLAG</v>
      </c>
      <c r="N514" s="10" t="str">
        <f t="shared" si="2"/>
        <v>65-4516 - Certification of Operators of Water Supply Systems &amp; Wastewater Treatment Facilities; Fail to supply supervision by a certified operator</v>
      </c>
      <c r="O514" s="10" t="str">
        <f t="shared" si="3"/>
        <v>Certification of Operators of Water Supply Systems &amp; Wastewater Treatment Facilities</v>
      </c>
      <c r="Q514" s="10" t="str">
        <f>IFERROR(__xludf.DUMMYFUNCTION("""COMPUTED_VALUE"""),"Water Conditioning Contractors Act")</f>
        <v>Water Conditioning Contractors Act</v>
      </c>
    </row>
    <row r="515">
      <c r="A515" s="7" t="s">
        <v>979</v>
      </c>
      <c r="B515" s="8" t="s">
        <v>980</v>
      </c>
      <c r="C515" s="8" t="s">
        <v>18</v>
      </c>
      <c r="D515" s="8" t="s">
        <v>18</v>
      </c>
      <c r="E515" s="8" t="s">
        <v>19</v>
      </c>
      <c r="F515" s="8" t="s">
        <v>20</v>
      </c>
      <c r="G515" s="8" t="s">
        <v>21</v>
      </c>
      <c r="H515" s="9"/>
      <c r="I515" s="9"/>
      <c r="J515" s="10">
        <f t="shared" ref="J515:M515" si="312">ifs(OR($H515="R",$I515="N"),"N/A",OR(C515="A",C515="B",C515="C",C515="U"),3,TRUE,"FLAG")</f>
        <v>3</v>
      </c>
      <c r="K515" s="10">
        <f t="shared" si="312"/>
        <v>3</v>
      </c>
      <c r="L515" s="10">
        <f t="shared" si="312"/>
        <v>3</v>
      </c>
      <c r="M515" s="10" t="str">
        <f t="shared" si="312"/>
        <v>FLAG</v>
      </c>
      <c r="N515" s="10" t="str">
        <f t="shared" si="2"/>
        <v>2-3308(a)(2) - Chemigation Safety Law; Engage in chemigation on a suspended or revoked permit</v>
      </c>
      <c r="O515" s="10" t="str">
        <f t="shared" si="3"/>
        <v>Chemigation Safety Law</v>
      </c>
      <c r="Q515" s="10" t="str">
        <f>IFERROR(__xludf.DUMMYFUNCTION("""COMPUTED_VALUE"""),"Water Supply and Distribution Districts")</f>
        <v>Water Supply and Distribution Districts</v>
      </c>
    </row>
    <row r="516">
      <c r="A516" s="7" t="s">
        <v>981</v>
      </c>
      <c r="B516" s="8" t="s">
        <v>982</v>
      </c>
      <c r="C516" s="8" t="s">
        <v>18</v>
      </c>
      <c r="D516" s="8" t="s">
        <v>18</v>
      </c>
      <c r="E516" s="8" t="s">
        <v>19</v>
      </c>
      <c r="F516" s="8" t="s">
        <v>20</v>
      </c>
      <c r="G516" s="8" t="s">
        <v>21</v>
      </c>
      <c r="H516" s="9"/>
      <c r="I516" s="9"/>
      <c r="J516" s="10">
        <f t="shared" ref="J516:M516" si="313">ifs(OR($H516="R",$I516="N"),"N/A",OR(C516="A",C516="B",C516="C",C516="U"),3,TRUE,"FLAG")</f>
        <v>3</v>
      </c>
      <c r="K516" s="10">
        <f t="shared" si="313"/>
        <v>3</v>
      </c>
      <c r="L516" s="10">
        <f t="shared" si="313"/>
        <v>3</v>
      </c>
      <c r="M516" s="10" t="str">
        <f t="shared" si="313"/>
        <v>FLAG</v>
      </c>
      <c r="N516" s="10" t="str">
        <f t="shared" si="2"/>
        <v>2-3308(a)(1) - Chemigation Safety Law; Engage in chemigation without a permit</v>
      </c>
      <c r="O516" s="10" t="str">
        <f t="shared" si="3"/>
        <v>Chemigation Safety Law</v>
      </c>
      <c r="Q516" s="10" t="str">
        <f>IFERROR(__xludf.DUMMYFUNCTION("""COMPUTED_VALUE"""),"Waters &amp; Watercourses")</f>
        <v>Waters &amp; Watercourses</v>
      </c>
    </row>
    <row r="517">
      <c r="A517" s="7" t="s">
        <v>983</v>
      </c>
      <c r="B517" s="8" t="s">
        <v>984</v>
      </c>
      <c r="C517" s="8" t="s">
        <v>18</v>
      </c>
      <c r="D517" s="8" t="s">
        <v>18</v>
      </c>
      <c r="E517" s="8" t="s">
        <v>19</v>
      </c>
      <c r="F517" s="8" t="s">
        <v>20</v>
      </c>
      <c r="G517" s="8" t="s">
        <v>21</v>
      </c>
      <c r="H517" s="9"/>
      <c r="I517" s="9"/>
      <c r="J517" s="10">
        <f t="shared" ref="J517:M517" si="314">ifs(OR($H517="R",$I517="N"),"N/A",OR(C517="A",C517="B",C517="C",C517="U"),3,TRUE,"FLAG")</f>
        <v>3</v>
      </c>
      <c r="K517" s="10">
        <f t="shared" si="314"/>
        <v>3</v>
      </c>
      <c r="L517" s="10">
        <f t="shared" si="314"/>
        <v>3</v>
      </c>
      <c r="M517" s="10" t="str">
        <f t="shared" si="314"/>
        <v>FLAG</v>
      </c>
      <c r="N517" s="10" t="str">
        <f t="shared" si="2"/>
        <v>2-3308(a)(4) - Chemigation Safety Law; Failure of permit holder to immediately notify the secretary of any actual or suspected accident resulting from the use of chemigation</v>
      </c>
      <c r="O517" s="10" t="str">
        <f t="shared" si="3"/>
        <v>Chemigation Safety Law</v>
      </c>
      <c r="Q517" s="10" t="str">
        <f>IFERROR(__xludf.DUMMYFUNCTION("""COMPUTED_VALUE"""),"Weeds")</f>
        <v>Weeds</v>
      </c>
    </row>
    <row r="518">
      <c r="A518" s="7" t="s">
        <v>985</v>
      </c>
      <c r="B518" s="8" t="s">
        <v>986</v>
      </c>
      <c r="C518" s="8" t="s">
        <v>18</v>
      </c>
      <c r="D518" s="8" t="s">
        <v>18</v>
      </c>
      <c r="E518" s="8" t="s">
        <v>19</v>
      </c>
      <c r="F518" s="8" t="s">
        <v>20</v>
      </c>
      <c r="G518" s="8" t="s">
        <v>21</v>
      </c>
      <c r="H518" s="9"/>
      <c r="I518" s="9"/>
      <c r="J518" s="10">
        <f t="shared" ref="J518:M518" si="315">ifs(OR($H518="R",$I518="N"),"N/A",OR(C518="A",C518="B",C518="C",C518="U"),3,TRUE,"FLAG")</f>
        <v>3</v>
      </c>
      <c r="K518" s="10">
        <f t="shared" si="315"/>
        <v>3</v>
      </c>
      <c r="L518" s="10">
        <f t="shared" si="315"/>
        <v>3</v>
      </c>
      <c r="M518" s="10" t="str">
        <f t="shared" si="315"/>
        <v>FLAG</v>
      </c>
      <c r="N518" s="10" t="str">
        <f t="shared" si="2"/>
        <v>2-3313(g) - Chemigation Safety Law; Person registered or holding permit; aid, abet or conspire with any person to evade any of the provisions of this act; allow use of a registration or permit by a person not named on the registration or permit</v>
      </c>
      <c r="O518" s="10" t="str">
        <f t="shared" si="3"/>
        <v>Chemigation Safety Law</v>
      </c>
      <c r="Q518" s="10" t="str">
        <f>IFERROR(__xludf.DUMMYFUNCTION("""COMPUTED_VALUE"""),"Weights &amp; Measures")</f>
        <v>Weights &amp; Measures</v>
      </c>
    </row>
    <row r="519">
      <c r="A519" s="7" t="s">
        <v>987</v>
      </c>
      <c r="B519" s="8" t="s">
        <v>988</v>
      </c>
      <c r="C519" s="8" t="s">
        <v>18</v>
      </c>
      <c r="D519" s="8" t="s">
        <v>18</v>
      </c>
      <c r="E519" s="8" t="s">
        <v>19</v>
      </c>
      <c r="F519" s="8" t="s">
        <v>20</v>
      </c>
      <c r="G519" s="8" t="s">
        <v>21</v>
      </c>
      <c r="H519" s="9"/>
      <c r="I519" s="9"/>
      <c r="J519" s="10">
        <f t="shared" ref="J519:M519" si="316">ifs(OR($H519="R",$I519="N"),"N/A",OR(C519="A",C519="B",C519="C",C519="U"),3,TRUE,"FLAG")</f>
        <v>3</v>
      </c>
      <c r="K519" s="10">
        <f t="shared" si="316"/>
        <v>3</v>
      </c>
      <c r="L519" s="10">
        <f t="shared" si="316"/>
        <v>3</v>
      </c>
      <c r="M519" s="10" t="str">
        <f t="shared" si="316"/>
        <v>FLAG</v>
      </c>
      <c r="N519" s="10" t="str">
        <f t="shared" si="2"/>
        <v>2-3313(h) - Chemigation Safety Law; Person registered or holding permit; impersonate any state, county or city inspector or official, as acting in their official capacity</v>
      </c>
      <c r="O519" s="10" t="str">
        <f t="shared" si="3"/>
        <v>Chemigation Safety Law</v>
      </c>
      <c r="Q519" s="10" t="str">
        <f>IFERROR(__xludf.DUMMYFUNCTION("""COMPUTED_VALUE"""),"Wildlife Parks &amp; Tourism")</f>
        <v>Wildlife Parks &amp; Tourism</v>
      </c>
    </row>
    <row r="520">
      <c r="A520" s="7" t="s">
        <v>989</v>
      </c>
      <c r="B520" s="8" t="s">
        <v>990</v>
      </c>
      <c r="C520" s="8" t="s">
        <v>18</v>
      </c>
      <c r="D520" s="8" t="s">
        <v>18</v>
      </c>
      <c r="E520" s="8" t="s">
        <v>19</v>
      </c>
      <c r="F520" s="8" t="s">
        <v>20</v>
      </c>
      <c r="G520" s="8" t="s">
        <v>21</v>
      </c>
      <c r="H520" s="9"/>
      <c r="I520" s="9"/>
      <c r="J520" s="10">
        <f t="shared" ref="J520:M520" si="317">ifs(OR($H520="R",$I520="N"),"N/A",OR(C520="A",C520="B",C520="C",C520="U"),3,TRUE,"FLAG")</f>
        <v>3</v>
      </c>
      <c r="K520" s="10">
        <f t="shared" si="317"/>
        <v>3</v>
      </c>
      <c r="L520" s="10">
        <f t="shared" si="317"/>
        <v>3</v>
      </c>
      <c r="M520" s="10" t="str">
        <f t="shared" si="317"/>
        <v>FLAG</v>
      </c>
      <c r="N520" s="10" t="str">
        <f t="shared" si="2"/>
        <v>2-3313(b) - Chemigation Safety Law; Person registered or holding permit; knowingly use ineffective or improper equipment or materials</v>
      </c>
      <c r="O520" s="10" t="str">
        <f t="shared" si="3"/>
        <v>Chemigation Safety Law</v>
      </c>
      <c r="Q520" s="10" t="str">
        <f>IFERROR(__xludf.DUMMYFUNCTION("""COMPUTED_VALUE"""),"Wildlife Violator Compact")</f>
        <v>Wildlife Violator Compact</v>
      </c>
    </row>
    <row r="521">
      <c r="A521" s="7" t="s">
        <v>991</v>
      </c>
      <c r="B521" s="8" t="s">
        <v>992</v>
      </c>
      <c r="C521" s="8" t="s">
        <v>18</v>
      </c>
      <c r="D521" s="8" t="s">
        <v>18</v>
      </c>
      <c r="E521" s="8" t="s">
        <v>19</v>
      </c>
      <c r="F521" s="8" t="s">
        <v>20</v>
      </c>
      <c r="G521" s="8" t="s">
        <v>21</v>
      </c>
      <c r="H521" s="9"/>
      <c r="I521" s="9"/>
      <c r="J521" s="10">
        <f t="shared" ref="J521:M521" si="318">ifs(OR($H521="R",$I521="N"),"N/A",OR(C521="A",C521="B",C521="C",C521="U"),3,TRUE,"FLAG")</f>
        <v>3</v>
      </c>
      <c r="K521" s="10">
        <f t="shared" si="318"/>
        <v>3</v>
      </c>
      <c r="L521" s="10">
        <f t="shared" si="318"/>
        <v>3</v>
      </c>
      <c r="M521" s="10" t="str">
        <f t="shared" si="318"/>
        <v>FLAG</v>
      </c>
      <c r="N521" s="10" t="str">
        <f t="shared" si="2"/>
        <v>2-3313(a) - Chemigation Safety Law; Person registered or holding permit; make a pesticide use or application not in accordance with the label directions</v>
      </c>
      <c r="O521" s="10" t="str">
        <f t="shared" si="3"/>
        <v>Chemigation Safety Law</v>
      </c>
      <c r="Q521" s="10" t="str">
        <f>IFERROR(__xludf.DUMMYFUNCTION("""COMPUTED_VALUE"""),"Witnesses")</f>
        <v>Witnesses</v>
      </c>
    </row>
    <row r="522">
      <c r="A522" s="7" t="s">
        <v>993</v>
      </c>
      <c r="B522" s="8" t="s">
        <v>994</v>
      </c>
      <c r="C522" s="8" t="s">
        <v>18</v>
      </c>
      <c r="D522" s="8" t="s">
        <v>18</v>
      </c>
      <c r="E522" s="8" t="s">
        <v>19</v>
      </c>
      <c r="F522" s="8" t="s">
        <v>20</v>
      </c>
      <c r="G522" s="8" t="s">
        <v>21</v>
      </c>
      <c r="H522" s="9"/>
      <c r="I522" s="9"/>
      <c r="J522" s="10">
        <f t="shared" ref="J522:M522" si="319">ifs(OR($H522="R",$I522="N"),"N/A",OR(C522="A",C522="B",C522="C",C522="U"),3,TRUE,"FLAG")</f>
        <v>3</v>
      </c>
      <c r="K522" s="10">
        <f t="shared" si="319"/>
        <v>3</v>
      </c>
      <c r="L522" s="10">
        <f t="shared" si="319"/>
        <v>3</v>
      </c>
      <c r="M522" s="10" t="str">
        <f t="shared" si="319"/>
        <v>FLAG</v>
      </c>
      <c r="N522" s="10" t="str">
        <f t="shared" si="2"/>
        <v>2-3313(d) - Chemigation Safety Law; Person registered or holding permit; make false or fraudulent records or reports</v>
      </c>
      <c r="O522" s="10" t="str">
        <f t="shared" si="3"/>
        <v>Chemigation Safety Law</v>
      </c>
      <c r="Q522" s="10" t="str">
        <f>IFERROR(__xludf.DUMMYFUNCTION("""COMPUTED_VALUE"""),"Worker's Comp. Fraud")</f>
        <v>Worker's Comp. Fraud</v>
      </c>
    </row>
    <row r="523">
      <c r="A523" s="7" t="s">
        <v>995</v>
      </c>
      <c r="B523" s="8" t="s">
        <v>996</v>
      </c>
      <c r="C523" s="8" t="s">
        <v>18</v>
      </c>
      <c r="D523" s="8" t="s">
        <v>18</v>
      </c>
      <c r="E523" s="8" t="s">
        <v>19</v>
      </c>
      <c r="F523" s="8" t="s">
        <v>20</v>
      </c>
      <c r="G523" s="8" t="s">
        <v>21</v>
      </c>
      <c r="H523" s="9"/>
      <c r="I523" s="9"/>
      <c r="J523" s="10">
        <f t="shared" ref="J523:M523" si="320">ifs(OR($H523="R",$I523="N"),"N/A",OR(C523="A",C523="B",C523="C",C523="U"),3,TRUE,"FLAG")</f>
        <v>3</v>
      </c>
      <c r="K523" s="10">
        <f t="shared" si="320"/>
        <v>3</v>
      </c>
      <c r="L523" s="10">
        <f t="shared" si="320"/>
        <v>3</v>
      </c>
      <c r="M523" s="10" t="str">
        <f t="shared" si="320"/>
        <v>FLAG</v>
      </c>
      <c r="N523" s="10" t="str">
        <f t="shared" si="2"/>
        <v>2-3313(f) - Chemigation Safety Law; Person registered or holding permit; refuse or neglect to comply with any limitations or restrictions on or in a duly issued registration or permit</v>
      </c>
      <c r="O523" s="10" t="str">
        <f t="shared" si="3"/>
        <v>Chemigation Safety Law</v>
      </c>
      <c r="Q523" s="10" t="str">
        <f>IFERROR(__xludf.DUMMYFUNCTION("""COMPUTED_VALUE"""),"Worker's Compensation")</f>
        <v>Worker's Compensation</v>
      </c>
    </row>
    <row r="524">
      <c r="A524" s="7" t="s">
        <v>997</v>
      </c>
      <c r="B524" s="8" t="s">
        <v>998</v>
      </c>
      <c r="C524" s="8" t="s">
        <v>18</v>
      </c>
      <c r="D524" s="8" t="s">
        <v>18</v>
      </c>
      <c r="E524" s="8" t="s">
        <v>19</v>
      </c>
      <c r="F524" s="8" t="s">
        <v>20</v>
      </c>
      <c r="G524" s="8" t="s">
        <v>21</v>
      </c>
      <c r="H524" s="9"/>
      <c r="I524" s="9"/>
      <c r="J524" s="10">
        <f t="shared" ref="J524:M524" si="321">ifs(OR($H524="R",$I524="N"),"N/A",OR(C524="A",C524="B",C524="C",C524="U"),3,TRUE,"FLAG")</f>
        <v>3</v>
      </c>
      <c r="K524" s="10">
        <f t="shared" si="321"/>
        <v>3</v>
      </c>
      <c r="L524" s="10">
        <f t="shared" si="321"/>
        <v>3</v>
      </c>
      <c r="M524" s="10" t="str">
        <f t="shared" si="321"/>
        <v>FLAG</v>
      </c>
      <c r="N524" s="10" t="str">
        <f t="shared" si="2"/>
        <v>2-3313(c) - Chemigation Safety Law; Person registered or holding permit; refuse or neglect to keep and maintain records as required; refuse or neglect to make records available as required by this act</v>
      </c>
      <c r="O524" s="10" t="str">
        <f t="shared" si="3"/>
        <v>Chemigation Safety Law</v>
      </c>
    </row>
    <row r="525">
      <c r="A525" s="7" t="s">
        <v>999</v>
      </c>
      <c r="B525" s="8" t="s">
        <v>1000</v>
      </c>
      <c r="C525" s="8" t="s">
        <v>18</v>
      </c>
      <c r="D525" s="8" t="s">
        <v>18</v>
      </c>
      <c r="E525" s="8" t="s">
        <v>19</v>
      </c>
      <c r="F525" s="8" t="s">
        <v>20</v>
      </c>
      <c r="G525" s="8" t="s">
        <v>21</v>
      </c>
      <c r="H525" s="9"/>
      <c r="I525" s="9"/>
      <c r="J525" s="10">
        <f t="shared" ref="J525:M525" si="322">ifs(OR($H525="R",$I525="N"),"N/A",OR(C525="A",C525="B",C525="C",C525="U"),3,TRUE,"FLAG")</f>
        <v>3</v>
      </c>
      <c r="K525" s="10">
        <f t="shared" si="322"/>
        <v>3</v>
      </c>
      <c r="L525" s="10">
        <f t="shared" si="322"/>
        <v>3</v>
      </c>
      <c r="M525" s="10" t="str">
        <f t="shared" si="322"/>
        <v>FLAG</v>
      </c>
      <c r="N525" s="10" t="str">
        <f t="shared" si="2"/>
        <v>2-3313(i) - Chemigation Safety Law; Person registered or holding permit; use any chemigation method or pesticide, fertilizer or other chemical material without regard to public health, safety or welfare</v>
      </c>
      <c r="O525" s="10" t="str">
        <f t="shared" si="3"/>
        <v>Chemigation Safety Law</v>
      </c>
    </row>
    <row r="526">
      <c r="A526" s="7" t="s">
        <v>1001</v>
      </c>
      <c r="B526" s="8" t="s">
        <v>1002</v>
      </c>
      <c r="C526" s="8" t="s">
        <v>18</v>
      </c>
      <c r="D526" s="8" t="s">
        <v>18</v>
      </c>
      <c r="E526" s="8" t="s">
        <v>19</v>
      </c>
      <c r="F526" s="8" t="s">
        <v>20</v>
      </c>
      <c r="G526" s="8" t="s">
        <v>21</v>
      </c>
      <c r="H526" s="9"/>
      <c r="I526" s="9"/>
      <c r="J526" s="10">
        <f t="shared" ref="J526:M526" si="323">ifs(OR($H526="R",$I526="N"),"N/A",OR(C526="A",C526="B",C526="C",C526="U"),3,TRUE,"FLAG")</f>
        <v>3</v>
      </c>
      <c r="K526" s="10">
        <f t="shared" si="323"/>
        <v>3</v>
      </c>
      <c r="L526" s="10">
        <f t="shared" si="323"/>
        <v>3</v>
      </c>
      <c r="M526" s="10" t="str">
        <f t="shared" si="323"/>
        <v>FLAG</v>
      </c>
      <c r="N526" s="10" t="str">
        <f t="shared" si="2"/>
        <v>2-3313(e) - Chemigation Safety Law; Person registered or holding permit; use fraud or misrepresentation in making an application for or renewal of a registration or permit</v>
      </c>
      <c r="O526" s="10" t="str">
        <f t="shared" si="3"/>
        <v>Chemigation Safety Law</v>
      </c>
    </row>
    <row r="527">
      <c r="A527" s="7" t="s">
        <v>1003</v>
      </c>
      <c r="B527" s="8" t="s">
        <v>1004</v>
      </c>
      <c r="C527" s="8" t="s">
        <v>18</v>
      </c>
      <c r="D527" s="8" t="s">
        <v>18</v>
      </c>
      <c r="E527" s="8" t="s">
        <v>19</v>
      </c>
      <c r="F527" s="8" t="s">
        <v>20</v>
      </c>
      <c r="G527" s="8" t="s">
        <v>21</v>
      </c>
      <c r="H527" s="9"/>
      <c r="I527" s="9"/>
      <c r="J527" s="10">
        <f t="shared" ref="J527:M527" si="324">ifs(OR($H527="R",$I527="N"),"N/A",OR(C527="A",C527="B",C527="C",C527="U"),3,TRUE,"FLAG")</f>
        <v>3</v>
      </c>
      <c r="K527" s="10">
        <f t="shared" si="324"/>
        <v>3</v>
      </c>
      <c r="L527" s="10">
        <f t="shared" si="324"/>
        <v>3</v>
      </c>
      <c r="M527" s="10" t="str">
        <f t="shared" si="324"/>
        <v>FLAG</v>
      </c>
      <c r="N527" s="10" t="str">
        <f t="shared" si="2"/>
        <v>2-3313(j) - Chemigation Safety Law; Person registered or holding permit; use the chemigation process without proper registration or permit issued under the provisions of this act</v>
      </c>
      <c r="O527" s="10" t="str">
        <f t="shared" si="3"/>
        <v>Chemigation Safety Law</v>
      </c>
    </row>
    <row r="528">
      <c r="A528" s="7" t="s">
        <v>1005</v>
      </c>
      <c r="B528" s="8" t="s">
        <v>1006</v>
      </c>
      <c r="C528" s="8" t="s">
        <v>18</v>
      </c>
      <c r="D528" s="8" t="s">
        <v>18</v>
      </c>
      <c r="E528" s="8" t="s">
        <v>19</v>
      </c>
      <c r="F528" s="8" t="s">
        <v>20</v>
      </c>
      <c r="G528" s="8" t="s">
        <v>21</v>
      </c>
      <c r="H528" s="9"/>
      <c r="I528" s="9"/>
      <c r="J528" s="10">
        <f t="shared" ref="J528:M528" si="325">ifs(OR($H528="R",$I528="N"),"N/A",OR(C528="A",C528="B",C528="C",C528="U"),3,TRUE,"FLAG")</f>
        <v>3</v>
      </c>
      <c r="K528" s="10">
        <f t="shared" si="325"/>
        <v>3</v>
      </c>
      <c r="L528" s="10">
        <f t="shared" si="325"/>
        <v>3</v>
      </c>
      <c r="M528" s="10" t="str">
        <f t="shared" si="325"/>
        <v>FLAG</v>
      </c>
      <c r="N528" s="10" t="str">
        <f t="shared" si="2"/>
        <v>2-3308(a)(3) - Chemigation Safety Law; Tamper with, or damage equipment specified in this act</v>
      </c>
      <c r="O528" s="10" t="str">
        <f t="shared" si="3"/>
        <v>Chemigation Safety Law</v>
      </c>
    </row>
    <row r="529">
      <c r="A529" s="7" t="s">
        <v>1007</v>
      </c>
      <c r="B529" s="8" t="s">
        <v>1008</v>
      </c>
      <c r="C529" s="8" t="s">
        <v>18</v>
      </c>
      <c r="D529" s="8" t="s">
        <v>18</v>
      </c>
      <c r="E529" s="8" t="s">
        <v>19</v>
      </c>
      <c r="F529" s="8" t="s">
        <v>20</v>
      </c>
      <c r="G529" s="8" t="s">
        <v>21</v>
      </c>
      <c r="H529" s="9"/>
      <c r="I529" s="9"/>
      <c r="J529" s="10">
        <f t="shared" ref="J529:M529" si="326">ifs(OR($H529="R",$I529="N"),"N/A",OR(C529="A",C529="B",C529="C",C529="U"),3,TRUE,"FLAG")</f>
        <v>3</v>
      </c>
      <c r="K529" s="10">
        <f t="shared" si="326"/>
        <v>3</v>
      </c>
      <c r="L529" s="10">
        <f t="shared" si="326"/>
        <v>3</v>
      </c>
      <c r="M529" s="10" t="str">
        <f t="shared" si="326"/>
        <v>FLAG</v>
      </c>
      <c r="N529" s="10" t="str">
        <f t="shared" si="2"/>
        <v>38-601 - Child Labor; Employment of children under 14</v>
      </c>
      <c r="O529" s="10" t="str">
        <f t="shared" si="3"/>
        <v>Child Labor</v>
      </c>
    </row>
    <row r="530">
      <c r="A530" s="7" t="s">
        <v>1009</v>
      </c>
      <c r="B530" s="8" t="s">
        <v>1010</v>
      </c>
      <c r="C530" s="8" t="s">
        <v>18</v>
      </c>
      <c r="D530" s="8" t="s">
        <v>18</v>
      </c>
      <c r="E530" s="8" t="s">
        <v>19</v>
      </c>
      <c r="F530" s="8" t="s">
        <v>20</v>
      </c>
      <c r="G530" s="8" t="s">
        <v>21</v>
      </c>
      <c r="H530" s="9"/>
      <c r="I530" s="9"/>
      <c r="J530" s="10">
        <f t="shared" ref="J530:M530" si="327">ifs(OR($H530="R",$I530="N"),"N/A",OR(C530="A",C530="B",C530="C",C530="U"),3,TRUE,"FLAG")</f>
        <v>3</v>
      </c>
      <c r="K530" s="10">
        <f t="shared" si="327"/>
        <v>3</v>
      </c>
      <c r="L530" s="10">
        <f t="shared" si="327"/>
        <v>3</v>
      </c>
      <c r="M530" s="10" t="str">
        <f t="shared" si="327"/>
        <v>FLAG</v>
      </c>
      <c r="N530" s="10" t="str">
        <f t="shared" si="2"/>
        <v>38-603(a) - Child Labor; Employment of children under 16</v>
      </c>
      <c r="O530" s="10" t="str">
        <f t="shared" si="3"/>
        <v>Child Labor</v>
      </c>
    </row>
    <row r="531">
      <c r="A531" s="7" t="s">
        <v>1011</v>
      </c>
      <c r="B531" s="8" t="s">
        <v>1012</v>
      </c>
      <c r="C531" s="8" t="s">
        <v>18</v>
      </c>
      <c r="D531" s="8" t="s">
        <v>18</v>
      </c>
      <c r="E531" s="8" t="s">
        <v>19</v>
      </c>
      <c r="F531" s="8" t="s">
        <v>20</v>
      </c>
      <c r="G531" s="8" t="s">
        <v>21</v>
      </c>
      <c r="H531" s="9"/>
      <c r="I531" s="9"/>
      <c r="J531" s="10">
        <f t="shared" ref="J531:M531" si="328">ifs(OR($H531="R",$I531="N"),"N/A",OR(C531="A",C531="B",C531="C",C531="U"),3,TRUE,"FLAG")</f>
        <v>3</v>
      </c>
      <c r="K531" s="10">
        <f t="shared" si="328"/>
        <v>3</v>
      </c>
      <c r="L531" s="10">
        <f t="shared" si="328"/>
        <v>3</v>
      </c>
      <c r="M531" s="10" t="str">
        <f t="shared" si="328"/>
        <v>FLAG</v>
      </c>
      <c r="N531" s="10" t="str">
        <f t="shared" si="2"/>
        <v>38-602 - Child Labor; Employment of children under 18</v>
      </c>
      <c r="O531" s="10" t="str">
        <f t="shared" si="3"/>
        <v>Child Labor</v>
      </c>
    </row>
    <row r="532">
      <c r="A532" s="7" t="s">
        <v>1013</v>
      </c>
      <c r="B532" s="8" t="s">
        <v>1014</v>
      </c>
      <c r="C532" s="8" t="s">
        <v>28</v>
      </c>
      <c r="D532" s="8" t="s">
        <v>19</v>
      </c>
      <c r="E532" s="8" t="s">
        <v>19</v>
      </c>
      <c r="F532" s="8" t="s">
        <v>20</v>
      </c>
      <c r="G532" s="8" t="s">
        <v>21</v>
      </c>
      <c r="H532" s="9"/>
      <c r="I532" s="9"/>
      <c r="J532" s="10">
        <f t="shared" ref="J532:M532" si="329">ifs(OR($H532="R",$I532="N"),"N/A",OR(C532="A",C532="B",C532="C",C532="U"),3,TRUE,"FLAG")</f>
        <v>3</v>
      </c>
      <c r="K532" s="10">
        <f t="shared" si="329"/>
        <v>3</v>
      </c>
      <c r="L532" s="10">
        <f t="shared" si="329"/>
        <v>3</v>
      </c>
      <c r="M532" s="10" t="str">
        <f t="shared" si="329"/>
        <v>FLAG</v>
      </c>
      <c r="N532" s="10" t="str">
        <f t="shared" si="2"/>
        <v>38-616(a) - Child Labor; Employment of infant under 1 month on motion picture set or location without written appropriate certification by licensed physician and surgeon board-certified in pediatrics</v>
      </c>
      <c r="O532" s="10" t="str">
        <f t="shared" si="3"/>
        <v>Child Labor</v>
      </c>
    </row>
    <row r="533">
      <c r="A533" s="7" t="s">
        <v>1015</v>
      </c>
      <c r="B533" s="8" t="s">
        <v>1016</v>
      </c>
      <c r="C533" s="8" t="s">
        <v>27</v>
      </c>
      <c r="D533" s="8" t="s">
        <v>28</v>
      </c>
      <c r="E533" s="8" t="s">
        <v>19</v>
      </c>
      <c r="F533" s="8" t="s">
        <v>20</v>
      </c>
      <c r="G533" s="8" t="s">
        <v>21</v>
      </c>
      <c r="H533" s="9"/>
      <c r="I533" s="9"/>
      <c r="J533" s="10">
        <f t="shared" ref="J533:M533" si="330">ifs(OR($H533="R",$I533="N"),"N/A",OR(C533="A",C533="B",C533="C",C533="U"),3,TRUE,"FLAG")</f>
        <v>3</v>
      </c>
      <c r="K533" s="10">
        <f t="shared" si="330"/>
        <v>3</v>
      </c>
      <c r="L533" s="10">
        <f t="shared" si="330"/>
        <v>3</v>
      </c>
      <c r="M533" s="10" t="str">
        <f t="shared" si="330"/>
        <v>FLAG</v>
      </c>
      <c r="N533" s="10" t="str">
        <f t="shared" si="2"/>
        <v>65-67a09(c) - Child Rape Protection Act; 1st conviction</v>
      </c>
      <c r="O533" s="10" t="str">
        <f t="shared" si="3"/>
        <v>Child Rape Protection Act</v>
      </c>
    </row>
    <row r="534">
      <c r="A534" s="7" t="s">
        <v>1017</v>
      </c>
      <c r="B534" s="8" t="s">
        <v>1016</v>
      </c>
      <c r="C534" s="8">
        <v>10.0</v>
      </c>
      <c r="D534" s="8">
        <v>10.0</v>
      </c>
      <c r="E534" s="8">
        <v>10.0</v>
      </c>
      <c r="F534" s="8">
        <v>10.0</v>
      </c>
      <c r="G534" s="8" t="s">
        <v>21</v>
      </c>
      <c r="H534" s="9"/>
      <c r="I534" s="9"/>
      <c r="N534" s="10" t="str">
        <f t="shared" si="2"/>
        <v>65-67a09(c) - Child Rape Protection Act; Failure of a physician to comply with any provision of this section or any rule or regulation adopted hereunder; 2nd or subs. conviction</v>
      </c>
      <c r="O534" s="10" t="str">
        <f t="shared" si="3"/>
        <v>Child Rape Protection Act</v>
      </c>
    </row>
    <row r="535">
      <c r="A535" s="7" t="s">
        <v>1018</v>
      </c>
      <c r="B535" s="8" t="s">
        <v>1019</v>
      </c>
      <c r="C535" s="8" t="s">
        <v>18</v>
      </c>
      <c r="D535" s="8" t="s">
        <v>18</v>
      </c>
      <c r="E535" s="8" t="s">
        <v>19</v>
      </c>
      <c r="F535" s="8" t="s">
        <v>20</v>
      </c>
      <c r="G535" s="8" t="s">
        <v>21</v>
      </c>
      <c r="H535" s="9"/>
      <c r="I535" s="9"/>
      <c r="J535" s="10">
        <f t="shared" ref="J535:M535" si="331">ifs(OR($H535="R",$I535="N"),"N/A",OR(C535="A",C535="B",C535="C",C535="U"),3,TRUE,"FLAG")</f>
        <v>3</v>
      </c>
      <c r="K535" s="10">
        <f t="shared" si="331"/>
        <v>3</v>
      </c>
      <c r="L535" s="10">
        <f t="shared" si="331"/>
        <v>3</v>
      </c>
      <c r="M535" s="10" t="str">
        <f t="shared" si="331"/>
        <v>FLAG</v>
      </c>
      <c r="N535" s="10" t="str">
        <f t="shared" si="2"/>
        <v>79-3321(x) - Cigarettes &amp; Tobacco Products; Affix a stamp required pursuant to K.S.A. 79-3311 to the package of any cigarettes described in subsection (v) or altered in violation of subsection (w)</v>
      </c>
      <c r="O535" s="10" t="str">
        <f t="shared" si="3"/>
        <v>Cigarettes &amp; Tobacco Products</v>
      </c>
    </row>
    <row r="536">
      <c r="A536" s="7" t="s">
        <v>1020</v>
      </c>
      <c r="B536" s="8" t="s">
        <v>1021</v>
      </c>
      <c r="C536" s="8" t="s">
        <v>18</v>
      </c>
      <c r="D536" s="8" t="s">
        <v>18</v>
      </c>
      <c r="E536" s="8" t="s">
        <v>19</v>
      </c>
      <c r="F536" s="8" t="s">
        <v>20</v>
      </c>
      <c r="G536" s="8" t="s">
        <v>21</v>
      </c>
      <c r="H536" s="9"/>
      <c r="I536" s="9"/>
      <c r="J536" s="10">
        <f t="shared" ref="J536:M536" si="332">ifs(OR($H536="R",$I536="N"),"N/A",OR(C536="A",C536="B",C536="C",C536="U"),3,TRUE,"FLAG")</f>
        <v>3</v>
      </c>
      <c r="K536" s="10">
        <f t="shared" si="332"/>
        <v>3</v>
      </c>
      <c r="L536" s="10">
        <f t="shared" si="332"/>
        <v>3</v>
      </c>
      <c r="M536" s="10" t="str">
        <f t="shared" si="332"/>
        <v>FLAG</v>
      </c>
      <c r="N536" s="10" t="str">
        <f t="shared" si="2"/>
        <v>79-3321(w) - Cigarettes &amp; Tobacco Products; Alter the package of any cigarettes, prior to sale or distribution to the ultimate consumer, to remove, conceal or obscure certain labels or health warnings</v>
      </c>
      <c r="O536" s="10" t="str">
        <f t="shared" si="3"/>
        <v>Cigarettes &amp; Tobacco Products</v>
      </c>
    </row>
    <row r="537">
      <c r="A537" s="7" t="s">
        <v>1022</v>
      </c>
      <c r="B537" s="8" t="s">
        <v>1023</v>
      </c>
      <c r="C537" s="8" t="s">
        <v>28</v>
      </c>
      <c r="D537" s="8" t="s">
        <v>19</v>
      </c>
      <c r="E537" s="8" t="s">
        <v>19</v>
      </c>
      <c r="F537" s="8" t="s">
        <v>20</v>
      </c>
      <c r="G537" s="8" t="s">
        <v>21</v>
      </c>
      <c r="H537" s="9"/>
      <c r="I537" s="9"/>
      <c r="J537" s="10">
        <f t="shared" ref="J537:M537" si="333">ifs(OR($H537="R",$I537="N"),"N/A",OR(C537="A",C537="B",C537="C",C537="U"),3,TRUE,"FLAG")</f>
        <v>3</v>
      </c>
      <c r="K537" s="10">
        <f t="shared" si="333"/>
        <v>3</v>
      </c>
      <c r="L537" s="10">
        <f t="shared" si="333"/>
        <v>3</v>
      </c>
      <c r="M537" s="10" t="str">
        <f t="shared" si="333"/>
        <v>FLAG</v>
      </c>
      <c r="N537" s="10" t="str">
        <f t="shared" si="2"/>
        <v>79-3322(b)(1)(B) - Cigarettes &amp; Tobacco Products; Buy cigarettes or tobacco for a person under 18 yrs of age</v>
      </c>
      <c r="O537" s="10" t="str">
        <f t="shared" si="3"/>
        <v>Cigarettes &amp; Tobacco Products</v>
      </c>
    </row>
    <row r="538">
      <c r="A538" s="7" t="s">
        <v>1024</v>
      </c>
      <c r="B538" s="8" t="s">
        <v>1025</v>
      </c>
      <c r="C538" s="8" t="s">
        <v>18</v>
      </c>
      <c r="D538" s="8" t="s">
        <v>18</v>
      </c>
      <c r="E538" s="8" t="s">
        <v>19</v>
      </c>
      <c r="F538" s="8" t="s">
        <v>20</v>
      </c>
      <c r="G538" s="8" t="s">
        <v>21</v>
      </c>
      <c r="H538" s="9"/>
      <c r="I538" s="9"/>
      <c r="J538" s="10">
        <f t="shared" ref="J538:M538" si="334">ifs(OR($H538="R",$I538="N"),"N/A",OR(C538="A",C538="B",C538="C",C538="U"),3,TRUE,"FLAG")</f>
        <v>3</v>
      </c>
      <c r="K538" s="10">
        <f t="shared" si="334"/>
        <v>3</v>
      </c>
      <c r="L538" s="10">
        <f t="shared" si="334"/>
        <v>3</v>
      </c>
      <c r="M538" s="10" t="str">
        <f t="shared" si="334"/>
        <v>FLAG</v>
      </c>
      <c r="N538" s="10" t="str">
        <f t="shared" si="2"/>
        <v>79-3321(g) - Cigarettes &amp; Tobacco Products; Dealer; fail or refuse to keep and preserve all records as required</v>
      </c>
      <c r="O538" s="10" t="str">
        <f t="shared" si="3"/>
        <v>Cigarettes &amp; Tobacco Products</v>
      </c>
    </row>
    <row r="539">
      <c r="A539" s="7" t="s">
        <v>1026</v>
      </c>
      <c r="B539" s="8" t="s">
        <v>1027</v>
      </c>
      <c r="C539" s="8" t="s">
        <v>18</v>
      </c>
      <c r="D539" s="8" t="s">
        <v>18</v>
      </c>
      <c r="E539" s="8" t="s">
        <v>19</v>
      </c>
      <c r="F539" s="8" t="s">
        <v>20</v>
      </c>
      <c r="G539" s="8" t="s">
        <v>21</v>
      </c>
      <c r="H539" s="9"/>
      <c r="I539" s="9"/>
      <c r="J539" s="10">
        <f t="shared" ref="J539:M539" si="335">ifs(OR($H539="R",$I539="N"),"N/A",OR(C539="A",C539="B",C539="C",C539="U"),3,TRUE,"FLAG")</f>
        <v>3</v>
      </c>
      <c r="K539" s="10">
        <f t="shared" si="335"/>
        <v>3</v>
      </c>
      <c r="L539" s="10">
        <f t="shared" si="335"/>
        <v>3</v>
      </c>
      <c r="M539" s="10" t="str">
        <f t="shared" si="335"/>
        <v>FLAG</v>
      </c>
      <c r="N539" s="10" t="str">
        <f t="shared" si="2"/>
        <v>79-3321(e) - Cigarettes &amp; Tobacco Products; Dealer; Fail to produce records or invoices required to be kept</v>
      </c>
      <c r="O539" s="10" t="str">
        <f t="shared" si="3"/>
        <v>Cigarettes &amp; Tobacco Products</v>
      </c>
    </row>
    <row r="540">
      <c r="A540" s="7" t="s">
        <v>54</v>
      </c>
      <c r="B540" s="8" t="s">
        <v>1028</v>
      </c>
      <c r="C540" s="8" t="s">
        <v>18</v>
      </c>
      <c r="D540" s="8" t="s">
        <v>18</v>
      </c>
      <c r="E540" s="8" t="s">
        <v>19</v>
      </c>
      <c r="F540" s="8" t="s">
        <v>20</v>
      </c>
      <c r="G540" s="8" t="s">
        <v>21</v>
      </c>
      <c r="H540" s="9"/>
      <c r="I540" s="9"/>
      <c r="J540" s="10">
        <f t="shared" ref="J540:M540" si="336">ifs(OR($H540="R",$I540="N"),"N/A",OR(C540="A",C540="B",C540="C",C540="U"),3,TRUE,"FLAG")</f>
        <v>3</v>
      </c>
      <c r="K540" s="10">
        <f t="shared" si="336"/>
        <v>3</v>
      </c>
      <c r="L540" s="10">
        <f t="shared" si="336"/>
        <v>3</v>
      </c>
      <c r="M540" s="10" t="str">
        <f t="shared" si="336"/>
        <v>FLAG</v>
      </c>
      <c r="N540" s="10" t="str">
        <f t="shared" si="2"/>
        <v>79-3333(c) - N</v>
      </c>
      <c r="O540" s="10" t="str">
        <f t="shared" si="3"/>
        <v>N</v>
      </c>
    </row>
    <row r="541">
      <c r="A541" s="7" t="s">
        <v>1029</v>
      </c>
      <c r="B541" s="8" t="s">
        <v>1030</v>
      </c>
      <c r="C541" s="8" t="s">
        <v>18</v>
      </c>
      <c r="D541" s="8" t="s">
        <v>18</v>
      </c>
      <c r="E541" s="8" t="s">
        <v>19</v>
      </c>
      <c r="F541" s="8" t="s">
        <v>20</v>
      </c>
      <c r="G541" s="8" t="s">
        <v>21</v>
      </c>
      <c r="H541" s="9"/>
      <c r="I541" s="9"/>
      <c r="J541" s="10">
        <f t="shared" ref="J541:M541" si="337">ifs(OR($H541="R",$I541="N"),"N/A",OR(C541="A",C541="B",C541="C",C541="U"),3,TRUE,"FLAG")</f>
        <v>3</v>
      </c>
      <c r="K541" s="10">
        <f t="shared" si="337"/>
        <v>3</v>
      </c>
      <c r="L541" s="10">
        <f t="shared" si="337"/>
        <v>3</v>
      </c>
      <c r="M541" s="10" t="str">
        <f t="shared" si="337"/>
        <v>FLAG</v>
      </c>
      <c r="N541" s="10" t="str">
        <f t="shared" si="2"/>
        <v>79-3321(j) - Cigarettes &amp; Tobacco Products; Fail or refuse to permit inspection of a carrier transporting cigarettes</v>
      </c>
      <c r="O541" s="10" t="str">
        <f t="shared" si="3"/>
        <v>Cigarettes &amp; Tobacco Products</v>
      </c>
    </row>
    <row r="542">
      <c r="A542" s="7" t="s">
        <v>1031</v>
      </c>
      <c r="B542" s="8" t="s">
        <v>1032</v>
      </c>
      <c r="C542" s="8" t="s">
        <v>18</v>
      </c>
      <c r="D542" s="8" t="s">
        <v>18</v>
      </c>
      <c r="E542" s="8" t="s">
        <v>19</v>
      </c>
      <c r="F542" s="8" t="s">
        <v>20</v>
      </c>
      <c r="G542" s="8" t="s">
        <v>21</v>
      </c>
      <c r="H542" s="9"/>
      <c r="I542" s="9"/>
      <c r="J542" s="10">
        <f t="shared" ref="J542:M542" si="338">ifs(OR($H542="R",$I542="N"),"N/A",OR(C542="A",C542="B",C542="C",C542="U"),3,TRUE,"FLAG")</f>
        <v>3</v>
      </c>
      <c r="K542" s="10">
        <f t="shared" si="338"/>
        <v>3</v>
      </c>
      <c r="L542" s="10">
        <f t="shared" si="338"/>
        <v>3</v>
      </c>
      <c r="M542" s="10" t="str">
        <f t="shared" si="338"/>
        <v>FLAG</v>
      </c>
      <c r="N542" s="10" t="str">
        <f t="shared" si="2"/>
        <v>79-3333(f) - Cigarettes &amp; Tobacco Products; Fail to comply with documentation requirements involving the sale of cigarettes through the internet or other mail order transaction</v>
      </c>
      <c r="O542" s="10" t="str">
        <f t="shared" si="3"/>
        <v>Cigarettes &amp; Tobacco Products</v>
      </c>
    </row>
    <row r="543">
      <c r="A543" s="7" t="s">
        <v>1033</v>
      </c>
      <c r="B543" s="8" t="s">
        <v>1034</v>
      </c>
      <c r="C543" s="8" t="s">
        <v>18</v>
      </c>
      <c r="D543" s="8" t="s">
        <v>18</v>
      </c>
      <c r="E543" s="8" t="s">
        <v>19</v>
      </c>
      <c r="F543" s="8" t="s">
        <v>20</v>
      </c>
      <c r="G543" s="8" t="s">
        <v>21</v>
      </c>
      <c r="H543" s="9"/>
      <c r="I543" s="9"/>
      <c r="J543" s="10">
        <f t="shared" ref="J543:M543" si="339">ifs(OR($H543="R",$I543="N"),"N/A",OR(C543="A",C543="B",C543="C",C543="U"),3,TRUE,"FLAG")</f>
        <v>3</v>
      </c>
      <c r="K543" s="10">
        <f t="shared" si="339"/>
        <v>3</v>
      </c>
      <c r="L543" s="10">
        <f t="shared" si="339"/>
        <v>3</v>
      </c>
      <c r="M543" s="10" t="str">
        <f t="shared" si="339"/>
        <v>FLAG</v>
      </c>
      <c r="N543" s="10" t="str">
        <f t="shared" si="2"/>
        <v>79-3333(g) - Cigarettes &amp; Tobacco Products; Fail to comply with packaging requirements when shipping</v>
      </c>
      <c r="O543" s="10" t="str">
        <f t="shared" si="3"/>
        <v>Cigarettes &amp; Tobacco Products</v>
      </c>
    </row>
    <row r="544">
      <c r="A544" s="7" t="s">
        <v>1035</v>
      </c>
      <c r="B544" s="8" t="s">
        <v>1036</v>
      </c>
      <c r="C544" s="8" t="s">
        <v>27</v>
      </c>
      <c r="D544" s="8" t="s">
        <v>28</v>
      </c>
      <c r="E544" s="8" t="s">
        <v>19</v>
      </c>
      <c r="F544" s="8" t="s">
        <v>20</v>
      </c>
      <c r="G544" s="8" t="s">
        <v>21</v>
      </c>
      <c r="H544" s="9"/>
      <c r="I544" s="9"/>
      <c r="J544" s="10">
        <f t="shared" ref="J544:M544" si="340">ifs(OR($H544="R",$I544="N"),"N/A",OR(C544="A",C544="B",C544="C",C544="U"),3,TRUE,"FLAG")</f>
        <v>3</v>
      </c>
      <c r="K544" s="10">
        <f t="shared" si="340"/>
        <v>3</v>
      </c>
      <c r="L544" s="10">
        <f t="shared" si="340"/>
        <v>3</v>
      </c>
      <c r="M544" s="10" t="str">
        <f t="shared" si="340"/>
        <v>FLAG</v>
      </c>
      <c r="N544" s="10" t="str">
        <f t="shared" si="2"/>
        <v>50-6a16(b) - Cigarettes &amp; Tobacco Products; False representation to any person directly or indirectly by non-participating manufacturer: any information about a brand family listed on the directory; that it is a participating manufacturer; that it has made all required escrow payments; or that it has satisfied any other requirements imposed pursuant to the act</v>
      </c>
      <c r="O544" s="10" t="str">
        <f t="shared" si="3"/>
        <v>Cigarettes &amp; Tobacco Products</v>
      </c>
    </row>
    <row r="545">
      <c r="A545" s="7" t="s">
        <v>1037</v>
      </c>
      <c r="B545" s="8" t="s">
        <v>1038</v>
      </c>
      <c r="C545" s="8" t="s">
        <v>18</v>
      </c>
      <c r="D545" s="8" t="s">
        <v>18</v>
      </c>
      <c r="E545" s="8" t="s">
        <v>19</v>
      </c>
      <c r="F545" s="8" t="s">
        <v>20</v>
      </c>
      <c r="G545" s="8" t="s">
        <v>21</v>
      </c>
      <c r="H545" s="9"/>
      <c r="I545" s="9"/>
      <c r="J545" s="10">
        <f t="shared" ref="J545:M545" si="341">ifs(OR($H545="R",$I545="N"),"N/A",OR(C545="A",C545="B",C545="C",C545="U"),3,TRUE,"FLAG")</f>
        <v>3</v>
      </c>
      <c r="K545" s="10">
        <f t="shared" si="341"/>
        <v>3</v>
      </c>
      <c r="L545" s="10">
        <f t="shared" si="341"/>
        <v>3</v>
      </c>
      <c r="M545" s="10" t="str">
        <f t="shared" si="341"/>
        <v>FLAG</v>
      </c>
      <c r="N545" s="10" t="str">
        <f t="shared" si="2"/>
        <v>79-3321(f) - Cigarettes &amp; Tobacco Products; Knowingly make, use, or present any falsified invoice or falsely state the nature or quantity of the goods therein invoiced</v>
      </c>
      <c r="O545" s="10" t="str">
        <f t="shared" si="3"/>
        <v>Cigarettes &amp; Tobacco Products</v>
      </c>
    </row>
    <row r="546">
      <c r="A546" s="7" t="s">
        <v>1039</v>
      </c>
      <c r="B546" s="8" t="s">
        <v>1040</v>
      </c>
      <c r="C546" s="8" t="s">
        <v>18</v>
      </c>
      <c r="D546" s="8" t="s">
        <v>18</v>
      </c>
      <c r="E546" s="8" t="s">
        <v>19</v>
      </c>
      <c r="F546" s="8" t="s">
        <v>20</v>
      </c>
      <c r="G546" s="8" t="s">
        <v>21</v>
      </c>
      <c r="H546" s="9"/>
      <c r="I546" s="9"/>
      <c r="J546" s="10">
        <f t="shared" ref="J546:M546" si="342">ifs(OR($H546="R",$I546="N"),"N/A",OR(C546="A",C546="B",C546="C",C546="U"),3,TRUE,"FLAG")</f>
        <v>3</v>
      </c>
      <c r="K546" s="10">
        <f t="shared" si="342"/>
        <v>3</v>
      </c>
      <c r="L546" s="10">
        <f t="shared" si="342"/>
        <v>3</v>
      </c>
      <c r="M546" s="10" t="str">
        <f t="shared" si="342"/>
        <v>FLAG</v>
      </c>
      <c r="N546" s="10" t="str">
        <f t="shared" si="2"/>
        <v>79-3321(b) - Cigarettes &amp; Tobacco Products; Mutilate or attach a mutilated or previously used stamp to any package of cigarettes; possession of any mutilated stamps</v>
      </c>
      <c r="O546" s="10" t="str">
        <f t="shared" si="3"/>
        <v>Cigarettes &amp; Tobacco Products</v>
      </c>
    </row>
    <row r="547">
      <c r="A547" s="7" t="s">
        <v>1041</v>
      </c>
      <c r="B547" s="8" t="s">
        <v>1042</v>
      </c>
      <c r="C547" s="8" t="s">
        <v>18</v>
      </c>
      <c r="D547" s="8" t="s">
        <v>18</v>
      </c>
      <c r="E547" s="8" t="s">
        <v>19</v>
      </c>
      <c r="F547" s="8" t="s">
        <v>20</v>
      </c>
      <c r="G547" s="8" t="s">
        <v>21</v>
      </c>
      <c r="H547" s="9"/>
      <c r="I547" s="9"/>
      <c r="J547" s="10">
        <f t="shared" ref="J547:M547" si="343">ifs(OR($H547="R",$I547="N"),"N/A",OR(C547="A",C547="B",C547="C",C547="U"),3,TRUE,"FLAG")</f>
        <v>3</v>
      </c>
      <c r="K547" s="10">
        <f t="shared" si="343"/>
        <v>3</v>
      </c>
      <c r="L547" s="10">
        <f t="shared" si="343"/>
        <v>3</v>
      </c>
      <c r="M547" s="10" t="str">
        <f t="shared" si="343"/>
        <v>FLAG</v>
      </c>
      <c r="N547" s="10" t="str">
        <f t="shared" si="2"/>
        <v>79-3321(i) - Cigarettes &amp; Tobacco Products; Possess evidence of tax indicia not purchased from the director</v>
      </c>
      <c r="O547" s="10" t="str">
        <f t="shared" si="3"/>
        <v>Cigarettes &amp; Tobacco Products</v>
      </c>
    </row>
    <row r="548">
      <c r="A548" s="7" t="s">
        <v>1043</v>
      </c>
      <c r="B548" s="8" t="s">
        <v>1044</v>
      </c>
      <c r="C548" s="8" t="s">
        <v>18</v>
      </c>
      <c r="D548" s="8" t="s">
        <v>18</v>
      </c>
      <c r="E548" s="8" t="s">
        <v>19</v>
      </c>
      <c r="F548" s="8" t="s">
        <v>20</v>
      </c>
      <c r="G548" s="8" t="s">
        <v>21</v>
      </c>
      <c r="H548" s="9"/>
      <c r="I548" s="9"/>
      <c r="J548" s="10">
        <f t="shared" ref="J548:M548" si="344">ifs(OR($H548="R",$I548="N"),"N/A",OR(C548="A",C548="B",C548="C",C548="U"),3,TRUE,"FLAG")</f>
        <v>3</v>
      </c>
      <c r="K548" s="10">
        <f t="shared" si="344"/>
        <v>3</v>
      </c>
      <c r="L548" s="10">
        <f t="shared" si="344"/>
        <v>3</v>
      </c>
      <c r="M548" s="10" t="str">
        <f t="shared" si="344"/>
        <v>FLAG</v>
      </c>
      <c r="N548" s="10" t="str">
        <f t="shared" si="2"/>
        <v>79-3321(n) - Cigarettes &amp; Tobacco Products; Possession or attempted possession of cigarettes, electronic cigarettes or tobacco by a person under 18 yrs of age</v>
      </c>
      <c r="O548" s="10" t="str">
        <f t="shared" si="3"/>
        <v>Cigarettes &amp; Tobacco Products</v>
      </c>
    </row>
    <row r="549">
      <c r="A549" s="7" t="s">
        <v>1045</v>
      </c>
      <c r="B549" s="8" t="s">
        <v>1046</v>
      </c>
      <c r="C549" s="8" t="s">
        <v>18</v>
      </c>
      <c r="D549" s="8" t="s">
        <v>18</v>
      </c>
      <c r="E549" s="8" t="s">
        <v>19</v>
      </c>
      <c r="F549" s="8" t="s">
        <v>20</v>
      </c>
      <c r="G549" s="8" t="s">
        <v>21</v>
      </c>
      <c r="H549" s="9"/>
      <c r="I549" s="9"/>
      <c r="J549" s="10">
        <f t="shared" ref="J549:M549" si="345">ifs(OR($H549="R",$I549="N"),"N/A",OR(C549="A",C549="B",C549="C",C549="U"),3,TRUE,"FLAG")</f>
        <v>3</v>
      </c>
      <c r="K549" s="10">
        <f t="shared" si="345"/>
        <v>3</v>
      </c>
      <c r="L549" s="10">
        <f t="shared" si="345"/>
        <v>3</v>
      </c>
      <c r="M549" s="10" t="str">
        <f t="shared" si="345"/>
        <v>FLAG</v>
      </c>
      <c r="N549" s="10" t="str">
        <f t="shared" si="2"/>
        <v>79-3321(c) - Cigarettes &amp; Tobacco Products; Prevent a full inspection as authorized by this act</v>
      </c>
      <c r="O549" s="10" t="str">
        <f t="shared" si="3"/>
        <v>Cigarettes &amp; Tobacco Products</v>
      </c>
    </row>
    <row r="550">
      <c r="A550" s="7" t="s">
        <v>1047</v>
      </c>
      <c r="B550" s="8" t="s">
        <v>1048</v>
      </c>
      <c r="C550" s="8" t="s">
        <v>18</v>
      </c>
      <c r="D550" s="8" t="s">
        <v>18</v>
      </c>
      <c r="E550" s="8" t="s">
        <v>19</v>
      </c>
      <c r="F550" s="8" t="s">
        <v>20</v>
      </c>
      <c r="G550" s="8" t="s">
        <v>21</v>
      </c>
      <c r="H550" s="9"/>
      <c r="I550" s="9"/>
      <c r="J550" s="10">
        <f t="shared" ref="J550:M550" si="346">ifs(OR($H550="R",$I550="N"),"N/A",OR(C550="A",C550="B",C550="C",C550="U"),3,TRUE,"FLAG")</f>
        <v>3</v>
      </c>
      <c r="K550" s="10">
        <f t="shared" si="346"/>
        <v>3</v>
      </c>
      <c r="L550" s="10">
        <f t="shared" si="346"/>
        <v>3</v>
      </c>
      <c r="M550" s="10" t="str">
        <f t="shared" si="346"/>
        <v>FLAG</v>
      </c>
      <c r="N550" s="10" t="str">
        <f t="shared" si="2"/>
        <v>79-3321(m) - Cigarettes &amp; Tobacco Products; Purchase or attempted purchase of cigarettes, electronic cigarettes or tobacco by a person under 18 yrs of age</v>
      </c>
      <c r="O550" s="10" t="str">
        <f t="shared" si="3"/>
        <v>Cigarettes &amp; Tobacco Products</v>
      </c>
    </row>
    <row r="551">
      <c r="A551" s="7" t="s">
        <v>1049</v>
      </c>
      <c r="B551" s="8" t="s">
        <v>1050</v>
      </c>
      <c r="C551" s="8" t="s">
        <v>18</v>
      </c>
      <c r="D551" s="8" t="s">
        <v>18</v>
      </c>
      <c r="E551" s="8" t="s">
        <v>19</v>
      </c>
      <c r="F551" s="8" t="s">
        <v>20</v>
      </c>
      <c r="G551" s="8" t="s">
        <v>21</v>
      </c>
      <c r="H551" s="9"/>
      <c r="I551" s="9"/>
      <c r="J551" s="10">
        <f t="shared" ref="J551:M551" si="347">ifs(OR($H551="R",$I551="N"),"N/A",OR(C551="A",C551="B",C551="C",C551="U"),3,TRUE,"FLAG")</f>
        <v>3</v>
      </c>
      <c r="K551" s="10">
        <f t="shared" si="347"/>
        <v>3</v>
      </c>
      <c r="L551" s="10">
        <f t="shared" si="347"/>
        <v>3</v>
      </c>
      <c r="M551" s="10" t="str">
        <f t="shared" si="347"/>
        <v>FLAG</v>
      </c>
      <c r="N551" s="10" t="str">
        <f t="shared" si="2"/>
        <v>79-3321(r) - Cigarettes &amp; Tobacco Products; Retail dealer; fail to post and maintain notice as required</v>
      </c>
      <c r="O551" s="10" t="str">
        <f t="shared" si="3"/>
        <v>Cigarettes &amp; Tobacco Products</v>
      </c>
    </row>
    <row r="552">
      <c r="A552" s="7" t="s">
        <v>1051</v>
      </c>
      <c r="B552" s="8" t="s">
        <v>1052</v>
      </c>
      <c r="C552" s="8">
        <v>8.0</v>
      </c>
      <c r="D552" s="8">
        <v>10.0</v>
      </c>
      <c r="E552" s="8">
        <v>10.0</v>
      </c>
      <c r="F552" s="8">
        <v>10.0</v>
      </c>
      <c r="G552" s="8" t="s">
        <v>21</v>
      </c>
      <c r="H552" s="9"/>
      <c r="I552" s="9"/>
      <c r="N552" s="10" t="str">
        <f t="shared" si="2"/>
        <v>79-3333(e) - Cigarettes &amp; Tobacco Products; Retailer; failure to verify date of birth or age of the purchaser</v>
      </c>
      <c r="O552" s="10" t="str">
        <f t="shared" si="3"/>
        <v>Cigarettes &amp; Tobacco Products</v>
      </c>
    </row>
    <row r="553">
      <c r="A553" s="7" t="s">
        <v>1053</v>
      </c>
      <c r="B553" s="8" t="s">
        <v>1054</v>
      </c>
      <c r="C553" s="8">
        <v>8.0</v>
      </c>
      <c r="D553" s="8">
        <v>10.0</v>
      </c>
      <c r="E553" s="8">
        <v>10.0</v>
      </c>
      <c r="F553" s="8">
        <v>10.0</v>
      </c>
      <c r="G553" s="8" t="s">
        <v>21</v>
      </c>
      <c r="H553" s="9"/>
      <c r="I553" s="9"/>
      <c r="N553" s="10" t="str">
        <f t="shared" si="2"/>
        <v>79-3333(d) - Cigarettes &amp; Tobacco Products; Retailer; sale of cigarettes via internet, telephone or mail without proper certification</v>
      </c>
      <c r="O553" s="10" t="str">
        <f t="shared" si="3"/>
        <v>Cigarettes &amp; Tobacco Products</v>
      </c>
    </row>
    <row r="554">
      <c r="A554" s="7" t="s">
        <v>1055</v>
      </c>
      <c r="B554" s="8" t="s">
        <v>1056</v>
      </c>
      <c r="C554" s="8">
        <v>8.0</v>
      </c>
      <c r="D554" s="8">
        <v>10.0</v>
      </c>
      <c r="E554" s="8">
        <v>10.0</v>
      </c>
      <c r="F554" s="8">
        <v>10.0</v>
      </c>
      <c r="G554" s="8" t="s">
        <v>21</v>
      </c>
      <c r="H554" s="9"/>
      <c r="I554" s="9"/>
      <c r="N554" s="10" t="str">
        <f t="shared" si="2"/>
        <v>79-3333(a) - Cigarettes &amp; Tobacco Products; Retailer; unlicensed sale of cigarette and tobacco products act</v>
      </c>
      <c r="O554" s="10" t="str">
        <f t="shared" si="3"/>
        <v>Cigarettes &amp; Tobacco Products</v>
      </c>
    </row>
    <row r="555">
      <c r="A555" s="7" t="s">
        <v>1057</v>
      </c>
      <c r="B555" s="8" t="s">
        <v>1058</v>
      </c>
      <c r="C555" s="8" t="s">
        <v>18</v>
      </c>
      <c r="D555" s="8" t="s">
        <v>18</v>
      </c>
      <c r="E555" s="8" t="s">
        <v>19</v>
      </c>
      <c r="F555" s="8" t="s">
        <v>20</v>
      </c>
      <c r="G555" s="8" t="s">
        <v>21</v>
      </c>
      <c r="H555" s="9"/>
      <c r="I555" s="9"/>
      <c r="J555" s="10">
        <f t="shared" ref="J555:M555" si="348">ifs(OR($H555="R",$I555="N"),"N/A",OR(C555="A",C555="B",C555="C",C555="U"),3,TRUE,"FLAG")</f>
        <v>3</v>
      </c>
      <c r="K555" s="10">
        <f t="shared" si="348"/>
        <v>3</v>
      </c>
      <c r="L555" s="10">
        <f t="shared" si="348"/>
        <v>3</v>
      </c>
      <c r="M555" s="10" t="str">
        <f t="shared" si="348"/>
        <v>FLAG</v>
      </c>
      <c r="N555" s="10" t="str">
        <f t="shared" si="2"/>
        <v>79-3333(b) - Cigarettes &amp; Tobacco Products; Sale of cigarettes without Kansas cigarette tax stamp affixed to package</v>
      </c>
      <c r="O555" s="10" t="str">
        <f t="shared" si="3"/>
        <v>Cigarettes &amp; Tobacco Products</v>
      </c>
    </row>
    <row r="556">
      <c r="A556" s="7" t="s">
        <v>1059</v>
      </c>
      <c r="B556" s="8" t="s">
        <v>1060</v>
      </c>
      <c r="C556" s="8" t="s">
        <v>18</v>
      </c>
      <c r="D556" s="8" t="s">
        <v>18</v>
      </c>
      <c r="E556" s="8" t="s">
        <v>19</v>
      </c>
      <c r="F556" s="8" t="s">
        <v>20</v>
      </c>
      <c r="G556" s="8" t="s">
        <v>21</v>
      </c>
      <c r="H556" s="9"/>
      <c r="I556" s="9"/>
      <c r="J556" s="10">
        <f t="shared" ref="J556:M556" si="349">ifs(OR($H556="R",$I556="N"),"N/A",OR(C556="A",C556="B",C556="C",C556="U"),3,TRUE,"FLAG")</f>
        <v>3</v>
      </c>
      <c r="K556" s="10">
        <f t="shared" si="349"/>
        <v>3</v>
      </c>
      <c r="L556" s="10">
        <f t="shared" si="349"/>
        <v>3</v>
      </c>
      <c r="M556" s="10" t="str">
        <f t="shared" si="349"/>
        <v>FLAG</v>
      </c>
      <c r="N556" s="10" t="str">
        <f t="shared" si="2"/>
        <v>79-3321(q) - Cigarettes &amp; Tobacco Products; Sell a vending machine without a vending machine distributor's license</v>
      </c>
      <c r="O556" s="10" t="str">
        <f t="shared" si="3"/>
        <v>Cigarettes &amp; Tobacco Products</v>
      </c>
    </row>
    <row r="557">
      <c r="A557" s="7" t="s">
        <v>1061</v>
      </c>
      <c r="B557" s="8" t="s">
        <v>1062</v>
      </c>
      <c r="C557" s="8" t="s">
        <v>18</v>
      </c>
      <c r="D557" s="8" t="s">
        <v>18</v>
      </c>
      <c r="E557" s="8" t="s">
        <v>19</v>
      </c>
      <c r="F557" s="8" t="s">
        <v>20</v>
      </c>
      <c r="G557" s="8" t="s">
        <v>21</v>
      </c>
      <c r="H557" s="9"/>
      <c r="I557" s="9"/>
      <c r="J557" s="10">
        <f t="shared" ref="J557:M557" si="350">ifs(OR($H557="R",$I557="N"),"N/A",OR(C557="A",C557="B",C557="C",C557="U"),3,TRUE,"FLAG")</f>
        <v>3</v>
      </c>
      <c r="K557" s="10">
        <f t="shared" si="350"/>
        <v>3</v>
      </c>
      <c r="L557" s="10">
        <f t="shared" si="350"/>
        <v>3</v>
      </c>
      <c r="M557" s="10" t="str">
        <f t="shared" si="350"/>
        <v>FLAG</v>
      </c>
      <c r="N557" s="10" t="str">
        <f t="shared" si="2"/>
        <v>79-3321(p) - Cigarettes &amp; Tobacco Products; Sell cigarettes without having a license</v>
      </c>
      <c r="O557" s="10" t="str">
        <f t="shared" si="3"/>
        <v>Cigarettes &amp; Tobacco Products</v>
      </c>
    </row>
    <row r="558">
      <c r="A558" s="7" t="s">
        <v>1063</v>
      </c>
      <c r="B558" s="8" t="s">
        <v>1064</v>
      </c>
      <c r="C558" s="8" t="s">
        <v>18</v>
      </c>
      <c r="D558" s="8" t="s">
        <v>18</v>
      </c>
      <c r="E558" s="8" t="s">
        <v>19</v>
      </c>
      <c r="F558" s="8" t="s">
        <v>20</v>
      </c>
      <c r="G558" s="8" t="s">
        <v>21</v>
      </c>
      <c r="H558" s="9"/>
      <c r="I558" s="9"/>
      <c r="J558" s="10">
        <f t="shared" ref="J558:M558" si="351">ifs(OR($H558="R",$I558="N"),"N/A",OR(C558="A",C558="B",C558="C",C558="U"),3,TRUE,"FLAG")</f>
        <v>3</v>
      </c>
      <c r="K558" s="10">
        <f t="shared" si="351"/>
        <v>3</v>
      </c>
      <c r="L558" s="10">
        <f t="shared" si="351"/>
        <v>3</v>
      </c>
      <c r="M558" s="10" t="str">
        <f t="shared" si="351"/>
        <v>FLAG</v>
      </c>
      <c r="N558" s="10" t="str">
        <f t="shared" si="2"/>
        <v>79-3321(o) - Cigarettes &amp; Tobacco Products; Sell cigarettes without Kansas tax indicia or without paying Kansas cigarette tax, to a retailer or at retail</v>
      </c>
      <c r="O558" s="10" t="str">
        <f t="shared" si="3"/>
        <v>Cigarettes &amp; Tobacco Products</v>
      </c>
    </row>
    <row r="559">
      <c r="A559" s="7" t="s">
        <v>1065</v>
      </c>
      <c r="B559" s="8" t="s">
        <v>1066</v>
      </c>
      <c r="C559" s="8" t="s">
        <v>27</v>
      </c>
      <c r="D559" s="8" t="s">
        <v>28</v>
      </c>
      <c r="E559" s="8" t="s">
        <v>19</v>
      </c>
      <c r="F559" s="8" t="s">
        <v>20</v>
      </c>
      <c r="G559" s="8" t="s">
        <v>21</v>
      </c>
      <c r="H559" s="9"/>
      <c r="I559" s="9"/>
      <c r="J559" s="10">
        <f t="shared" ref="J559:M559" si="352">ifs(OR($H559="R",$I559="N"),"N/A",OR(C559="A",C559="B",C559="C",C559="U"),3,TRUE,"FLAG")</f>
        <v>3</v>
      </c>
      <c r="K559" s="10">
        <f t="shared" si="352"/>
        <v>3</v>
      </c>
      <c r="L559" s="10">
        <f t="shared" si="352"/>
        <v>3</v>
      </c>
      <c r="M559" s="10" t="str">
        <f t="shared" si="352"/>
        <v>FLAG</v>
      </c>
      <c r="N559" s="10" t="str">
        <f t="shared" si="2"/>
        <v>50-6a16(a) - Cigarettes &amp; Tobacco Products; Sell, distribute cigarettes; acquire, hold, own, possess, transport, import or cause to be imported cigarettes that the person knows or should know are intended for distribution or sale in this state in violation of K.S.A. 50-6a04(a) or K.S.A. 50-6a13(a); 1st conviction</v>
      </c>
      <c r="O559" s="10" t="str">
        <f t="shared" si="3"/>
        <v>Cigarettes &amp; Tobacco Products</v>
      </c>
    </row>
    <row r="560">
      <c r="A560" s="7" t="s">
        <v>1067</v>
      </c>
      <c r="B560" s="8" t="s">
        <v>1066</v>
      </c>
      <c r="C560" s="8">
        <v>9.0</v>
      </c>
      <c r="D560" s="8">
        <v>10.0</v>
      </c>
      <c r="E560" s="8">
        <v>10.0</v>
      </c>
      <c r="F560" s="8">
        <v>10.0</v>
      </c>
      <c r="G560" s="8" t="s">
        <v>21</v>
      </c>
      <c r="H560" s="9"/>
      <c r="I560" s="9"/>
      <c r="N560" s="10" t="str">
        <f t="shared" si="2"/>
        <v>50-6a16(a) - Cigarettes &amp; Tobacco Products; Sell, distribute cigarettes; acquire, hold, own, possess, transport, import or cause to be imported cigarettes that the person knows or should know are intended for distribution or sale in this state in violation of K.S.A. 50-6a04(a) or K.S.A. 50-6a13(a); 2nd conviction</v>
      </c>
      <c r="O560" s="10" t="str">
        <f t="shared" si="3"/>
        <v>Cigarettes &amp; Tobacco Products</v>
      </c>
    </row>
    <row r="561">
      <c r="A561" s="7" t="s">
        <v>1068</v>
      </c>
      <c r="B561" s="8" t="s">
        <v>1066</v>
      </c>
      <c r="C561" s="8">
        <v>9.0</v>
      </c>
      <c r="D561" s="8">
        <v>10.0</v>
      </c>
      <c r="E561" s="8">
        <v>10.0</v>
      </c>
      <c r="F561" s="8">
        <v>10.0</v>
      </c>
      <c r="G561" s="8" t="s">
        <v>21</v>
      </c>
      <c r="H561" s="9"/>
      <c r="I561" s="9"/>
      <c r="N561" s="10" t="str">
        <f t="shared" si="2"/>
        <v>50-6a16(a) - Cigarettes &amp; Tobacco Products; Sell, distribute cigarettes; acquire, hold, own, possess, transport, import or cause to be imported cigarettes that the person knows or should know are intended for distribution or sale in this state in violation of K.S.A. 50-6a04(a) or K.S.A. 50-6a13(a); 3rd conviction</v>
      </c>
      <c r="O561" s="10" t="str">
        <f t="shared" si="3"/>
        <v>Cigarettes &amp; Tobacco Products</v>
      </c>
    </row>
    <row r="562">
      <c r="A562" s="7" t="s">
        <v>1069</v>
      </c>
      <c r="B562" s="8" t="s">
        <v>1070</v>
      </c>
      <c r="C562" s="8" t="s">
        <v>18</v>
      </c>
      <c r="D562" s="8" t="s">
        <v>18</v>
      </c>
      <c r="E562" s="8" t="s">
        <v>19</v>
      </c>
      <c r="F562" s="8" t="s">
        <v>20</v>
      </c>
      <c r="G562" s="8" t="s">
        <v>21</v>
      </c>
      <c r="H562" s="9"/>
      <c r="I562" s="9"/>
      <c r="J562" s="10">
        <f t="shared" ref="J562:M562" si="353">ifs(OR($H562="R",$I562="N"),"N/A",OR(C562="A",C562="B",C562="C",C562="U"),3,TRUE,"FLAG")</f>
        <v>3</v>
      </c>
      <c r="K562" s="10">
        <f t="shared" si="353"/>
        <v>3</v>
      </c>
      <c r="L562" s="10">
        <f t="shared" si="353"/>
        <v>3</v>
      </c>
      <c r="M562" s="10" t="str">
        <f t="shared" si="353"/>
        <v>FLAG</v>
      </c>
      <c r="N562" s="10" t="str">
        <f t="shared" si="2"/>
        <v>79-3321(l) - Cigarettes &amp; Tobacco Products; Sell, furnish or distribute cigarettes, electronic cigarettes or tobacco to person under 18</v>
      </c>
      <c r="O562" s="10" t="str">
        <f t="shared" si="3"/>
        <v>Cigarettes &amp; Tobacco Products</v>
      </c>
    </row>
    <row r="563">
      <c r="A563" s="7" t="s">
        <v>1071</v>
      </c>
      <c r="B563" s="8" t="s">
        <v>1072</v>
      </c>
      <c r="C563" s="8" t="s">
        <v>28</v>
      </c>
      <c r="D563" s="8" t="s">
        <v>19</v>
      </c>
      <c r="E563" s="8" t="s">
        <v>19</v>
      </c>
      <c r="F563" s="8" t="s">
        <v>20</v>
      </c>
      <c r="G563" s="8" t="s">
        <v>21</v>
      </c>
      <c r="H563" s="9"/>
      <c r="I563" s="9"/>
      <c r="J563" s="10">
        <f t="shared" ref="J563:M563" si="354">ifs(OR($H563="R",$I563="N"),"N/A",OR(C563="A",C563="B",C563="C",C563="U"),3,TRUE,"FLAG")</f>
        <v>3</v>
      </c>
      <c r="K563" s="10">
        <f t="shared" si="354"/>
        <v>3</v>
      </c>
      <c r="L563" s="10">
        <f t="shared" si="354"/>
        <v>3</v>
      </c>
      <c r="M563" s="10" t="str">
        <f t="shared" si="354"/>
        <v>FLAG</v>
      </c>
      <c r="N563" s="10" t="str">
        <f t="shared" si="2"/>
        <v>79-3322(b)(1)(A) - Cigarettes &amp; Tobacco Products; Sell, give, furnish cigarettes or tobacco to person under 18 yrs of age</v>
      </c>
      <c r="O563" s="10" t="str">
        <f t="shared" si="3"/>
        <v>Cigarettes &amp; Tobacco Products</v>
      </c>
    </row>
    <row r="564">
      <c r="A564" s="7" t="s">
        <v>1073</v>
      </c>
      <c r="B564" s="8" t="s">
        <v>1074</v>
      </c>
      <c r="C564" s="8" t="s">
        <v>18</v>
      </c>
      <c r="D564" s="8" t="s">
        <v>18</v>
      </c>
      <c r="E564" s="8" t="s">
        <v>19</v>
      </c>
      <c r="F564" s="8" t="s">
        <v>20</v>
      </c>
      <c r="G564" s="8" t="s">
        <v>21</v>
      </c>
      <c r="H564" s="9"/>
      <c r="I564" s="9"/>
      <c r="J564" s="10">
        <f t="shared" ref="J564:M564" si="355">ifs(OR($H564="R",$I564="N"),"N/A",OR(C564="A",C564="B",C564="C",C564="U"),3,TRUE,"FLAG")</f>
        <v>3</v>
      </c>
      <c r="K564" s="10">
        <f t="shared" si="355"/>
        <v>3</v>
      </c>
      <c r="L564" s="10">
        <f t="shared" si="355"/>
        <v>3</v>
      </c>
      <c r="M564" s="10" t="str">
        <f t="shared" si="355"/>
        <v>FLAG</v>
      </c>
      <c r="N564" s="10" t="str">
        <f t="shared" si="2"/>
        <v>79-3321(s) - Cigarettes &amp; Tobacco Products; Unauthorized distribution of samples within 500 feet of any school when such facility is being used primarily by persons under 18 yrs of age</v>
      </c>
      <c r="O564" s="10" t="str">
        <f t="shared" si="3"/>
        <v>Cigarettes &amp; Tobacco Products</v>
      </c>
    </row>
    <row r="565">
      <c r="A565" s="7" t="s">
        <v>1075</v>
      </c>
      <c r="B565" s="8" t="s">
        <v>1076</v>
      </c>
      <c r="C565" s="8" t="s">
        <v>18</v>
      </c>
      <c r="D565" s="8" t="s">
        <v>18</v>
      </c>
      <c r="E565" s="8" t="s">
        <v>19</v>
      </c>
      <c r="F565" s="8" t="s">
        <v>20</v>
      </c>
      <c r="G565" s="8" t="s">
        <v>21</v>
      </c>
      <c r="H565" s="9"/>
      <c r="I565" s="9"/>
      <c r="J565" s="10">
        <f t="shared" ref="J565:M565" si="356">ifs(OR($H565="R",$I565="N"),"N/A",OR(C565="A",C565="B",C565="C",C565="U"),3,TRUE,"FLAG")</f>
        <v>3</v>
      </c>
      <c r="K565" s="10">
        <f t="shared" si="356"/>
        <v>3</v>
      </c>
      <c r="L565" s="10">
        <f t="shared" si="356"/>
        <v>3</v>
      </c>
      <c r="M565" s="10" t="str">
        <f t="shared" si="356"/>
        <v>FLAG</v>
      </c>
      <c r="N565" s="10" t="str">
        <f t="shared" si="2"/>
        <v>79-3321(a) - Cigarettes &amp; Tobacco Products; Unauthorized possession of more than 200 cigarettes without the required tax indicia</v>
      </c>
      <c r="O565" s="10" t="str">
        <f t="shared" si="3"/>
        <v>Cigarettes &amp; Tobacco Products</v>
      </c>
    </row>
    <row r="566">
      <c r="A566" s="7" t="s">
        <v>1077</v>
      </c>
      <c r="B566" s="8" t="s">
        <v>1078</v>
      </c>
      <c r="C566" s="8" t="s">
        <v>18</v>
      </c>
      <c r="D566" s="8" t="s">
        <v>18</v>
      </c>
      <c r="E566" s="8" t="s">
        <v>19</v>
      </c>
      <c r="F566" s="8" t="s">
        <v>20</v>
      </c>
      <c r="G566" s="8" t="s">
        <v>21</v>
      </c>
      <c r="H566" s="9"/>
      <c r="I566" s="9"/>
      <c r="J566" s="10">
        <f t="shared" ref="J566:M566" si="357">ifs(OR($H566="R",$I566="N"),"N/A",OR(C566="A",C566="B",C566="C",C566="U"),3,TRUE,"FLAG")</f>
        <v>3</v>
      </c>
      <c r="K566" s="10">
        <f t="shared" si="357"/>
        <v>3</v>
      </c>
      <c r="L566" s="10">
        <f t="shared" si="357"/>
        <v>3</v>
      </c>
      <c r="M566" s="10" t="str">
        <f t="shared" si="357"/>
        <v>FLAG</v>
      </c>
      <c r="N566" s="10" t="str">
        <f t="shared" si="2"/>
        <v>79-3321(u) - Cigarettes &amp; Tobacco Products; Unauthorized sale of cigarettes, electronic cigarettes or tobacco products by means of a self-service display in any establishment, or portion of an establishment</v>
      </c>
      <c r="O566" s="10" t="str">
        <f t="shared" si="3"/>
        <v>Cigarettes &amp; Tobacco Products</v>
      </c>
    </row>
    <row r="567">
      <c r="A567" s="7" t="s">
        <v>1079</v>
      </c>
      <c r="B567" s="8" t="s">
        <v>1080</v>
      </c>
      <c r="C567" s="8" t="s">
        <v>18</v>
      </c>
      <c r="D567" s="8" t="s">
        <v>18</v>
      </c>
      <c r="E567" s="8" t="s">
        <v>19</v>
      </c>
      <c r="F567" s="8" t="s">
        <v>20</v>
      </c>
      <c r="G567" s="8" t="s">
        <v>21</v>
      </c>
      <c r="H567" s="9"/>
      <c r="I567" s="9"/>
      <c r="J567" s="10">
        <f t="shared" ref="J567:M567" si="358">ifs(OR($H567="R",$I567="N"),"N/A",OR(C567="A",C567="B",C567="C",C567="U"),3,TRUE,"FLAG")</f>
        <v>3</v>
      </c>
      <c r="K567" s="10">
        <f t="shared" si="358"/>
        <v>3</v>
      </c>
      <c r="L567" s="10">
        <f t="shared" si="358"/>
        <v>3</v>
      </c>
      <c r="M567" s="10" t="str">
        <f t="shared" si="358"/>
        <v>FLAG</v>
      </c>
      <c r="N567" s="10" t="str">
        <f t="shared" si="2"/>
        <v>79-3321(t) - Cigarettes &amp; Tobacco Products; Unauthorized sale of cigarettes, electronic cigarettes or tobacco products by means of a vending machine in any establishment, or portion of an establishment, open to minors</v>
      </c>
      <c r="O567" s="10" t="str">
        <f t="shared" si="3"/>
        <v>Cigarettes &amp; Tobacco Products</v>
      </c>
    </row>
    <row r="568">
      <c r="A568" s="7" t="s">
        <v>1081</v>
      </c>
      <c r="B568" s="8" t="s">
        <v>1082</v>
      </c>
      <c r="C568" s="8" t="s">
        <v>18</v>
      </c>
      <c r="D568" s="8" t="s">
        <v>18</v>
      </c>
      <c r="E568" s="8" t="s">
        <v>19</v>
      </c>
      <c r="F568" s="8" t="s">
        <v>20</v>
      </c>
      <c r="G568" s="8" t="s">
        <v>21</v>
      </c>
      <c r="H568" s="9"/>
      <c r="I568" s="9"/>
      <c r="J568" s="10">
        <f t="shared" ref="J568:M568" si="359">ifs(OR($H568="R",$I568="N"),"N/A",OR(C568="A",C568="B",C568="C",C568="U"),3,TRUE,"FLAG")</f>
        <v>3</v>
      </c>
      <c r="K568" s="10">
        <f t="shared" si="359"/>
        <v>3</v>
      </c>
      <c r="L568" s="10">
        <f t="shared" si="359"/>
        <v>3</v>
      </c>
      <c r="M568" s="10" t="str">
        <f t="shared" si="359"/>
        <v>FLAG</v>
      </c>
      <c r="N568" s="10" t="str">
        <f t="shared" si="2"/>
        <v>79-3321(v) - Cigarettes &amp; Tobacco Products; Unauthorized sale, distribution, acquisition, possession, transportation, or importation of certain cigarettes within this state</v>
      </c>
      <c r="O568" s="10" t="str">
        <f t="shared" si="3"/>
        <v>Cigarettes &amp; Tobacco Products</v>
      </c>
    </row>
    <row r="569">
      <c r="A569" s="7" t="s">
        <v>1083</v>
      </c>
      <c r="B569" s="8" t="s">
        <v>1084</v>
      </c>
      <c r="C569" s="8" t="s">
        <v>18</v>
      </c>
      <c r="D569" s="8" t="s">
        <v>18</v>
      </c>
      <c r="E569" s="8" t="s">
        <v>19</v>
      </c>
      <c r="F569" s="8" t="s">
        <v>20</v>
      </c>
      <c r="G569" s="8" t="s">
        <v>21</v>
      </c>
      <c r="H569" s="9"/>
      <c r="I569" s="9"/>
      <c r="J569" s="10">
        <f t="shared" ref="J569:M569" si="360">ifs(OR($H569="R",$I569="N"),"N/A",OR(C569="A",C569="B",C569="C",C569="U"),3,TRUE,"FLAG")</f>
        <v>3</v>
      </c>
      <c r="K569" s="10">
        <f t="shared" si="360"/>
        <v>3</v>
      </c>
      <c r="L569" s="10">
        <f t="shared" si="360"/>
        <v>3</v>
      </c>
      <c r="M569" s="10" t="str">
        <f t="shared" si="360"/>
        <v>FLAG</v>
      </c>
      <c r="N569" s="10" t="str">
        <f t="shared" si="2"/>
        <v>79-3321(d) - Cigarettes &amp; Tobacco Products; Use any artful device or deceptive practice to conceal any violation of this act or to mislead one charged with the enforcement of this act</v>
      </c>
      <c r="O569" s="10" t="str">
        <f t="shared" si="3"/>
        <v>Cigarettes &amp; Tobacco Products</v>
      </c>
    </row>
    <row r="570">
      <c r="A570" s="7" t="s">
        <v>1085</v>
      </c>
      <c r="B570" s="8" t="s">
        <v>1086</v>
      </c>
      <c r="C570" s="8" t="s">
        <v>18</v>
      </c>
      <c r="D570" s="8" t="s">
        <v>18</v>
      </c>
      <c r="E570" s="8" t="s">
        <v>19</v>
      </c>
      <c r="F570" s="8" t="s">
        <v>20</v>
      </c>
      <c r="G570" s="8" t="s">
        <v>21</v>
      </c>
      <c r="H570" s="9"/>
      <c r="I570" s="9"/>
      <c r="J570" s="10">
        <f t="shared" ref="J570:M570" si="361">ifs(OR($H570="R",$I570="N"),"N/A",OR(C570="A",C570="B",C570="C",C570="U"),3,TRUE,"FLAG")</f>
        <v>3</v>
      </c>
      <c r="K570" s="10">
        <f t="shared" si="361"/>
        <v>3</v>
      </c>
      <c r="L570" s="10">
        <f t="shared" si="361"/>
        <v>3</v>
      </c>
      <c r="M570" s="10" t="str">
        <f t="shared" si="361"/>
        <v>FLAG</v>
      </c>
      <c r="N570" s="10" t="str">
        <f t="shared" si="2"/>
        <v>79-3321(k) - Cigarettes &amp; Tobacco Products; Vend small cigars, or a product that can be confused with cigarettes, from a machine vending cigarettes; build a vending machine to vend cigars or products that may be confused with cigarettes, that may be attached to a cigarette vending machine</v>
      </c>
      <c r="O570" s="10" t="str">
        <f t="shared" si="3"/>
        <v>Cigarettes &amp; Tobacco Products</v>
      </c>
    </row>
    <row r="571">
      <c r="A571" s="7" t="s">
        <v>1087</v>
      </c>
      <c r="B571" s="8" t="s">
        <v>1088</v>
      </c>
      <c r="C571" s="8" t="s">
        <v>18</v>
      </c>
      <c r="D571" s="8" t="s">
        <v>18</v>
      </c>
      <c r="E571" s="8" t="s">
        <v>19</v>
      </c>
      <c r="F571" s="8" t="s">
        <v>20</v>
      </c>
      <c r="G571" s="8" t="s">
        <v>21</v>
      </c>
      <c r="H571" s="9"/>
      <c r="I571" s="9"/>
      <c r="J571" s="10">
        <f t="shared" ref="J571:M571" si="362">ifs(OR($H571="R",$I571="N"),"N/A",OR(C571="A",C571="B",C571="C",C571="U"),3,TRUE,"FLAG")</f>
        <v>3</v>
      </c>
      <c r="K571" s="10">
        <f t="shared" si="362"/>
        <v>3</v>
      </c>
      <c r="L571" s="10">
        <f t="shared" si="362"/>
        <v>3</v>
      </c>
      <c r="M571" s="10" t="str">
        <f t="shared" si="362"/>
        <v>FLAG</v>
      </c>
      <c r="N571" s="10" t="str">
        <f t="shared" si="2"/>
        <v>79-3321(h) - Cigarettes &amp; Tobacco Products; Wholesale cigarettes to any unauthorized person</v>
      </c>
      <c r="O571" s="10" t="str">
        <f t="shared" si="3"/>
        <v>Cigarettes &amp; Tobacco Products</v>
      </c>
    </row>
    <row r="572">
      <c r="A572" s="7" t="s">
        <v>1089</v>
      </c>
      <c r="B572" s="12" t="s">
        <v>1090</v>
      </c>
      <c r="C572" s="8" t="s">
        <v>18</v>
      </c>
      <c r="D572" s="8" t="s">
        <v>18</v>
      </c>
      <c r="E572" s="8" t="s">
        <v>19</v>
      </c>
      <c r="F572" s="8" t="s">
        <v>20</v>
      </c>
      <c r="G572" s="8" t="s">
        <v>21</v>
      </c>
      <c r="H572" s="9"/>
      <c r="I572" s="9"/>
      <c r="J572" s="10">
        <f t="shared" ref="J572:M572" si="363">ifs(OR($H572="R",$I572="N"),"N/A",OR(C572="A",C572="B",C572="C",C572="U"),3,TRUE,"FLAG")</f>
        <v>3</v>
      </c>
      <c r="K572" s="10">
        <f t="shared" si="363"/>
        <v>3</v>
      </c>
      <c r="L572" s="10">
        <f t="shared" si="363"/>
        <v>3</v>
      </c>
      <c r="M572" s="10" t="str">
        <f t="shared" si="363"/>
        <v>FLAG</v>
      </c>
      <c r="N572" s="10" t="str">
        <f t="shared" si="2"/>
        <v>-105949 - Cities &amp; Municipalities; Any city treasurer violating any of the provisions of this act</v>
      </c>
      <c r="O572" s="10" t="str">
        <f t="shared" si="3"/>
        <v>Cities &amp; Municipalities</v>
      </c>
    </row>
    <row r="573">
      <c r="A573" s="7" t="s">
        <v>1091</v>
      </c>
      <c r="B573" s="12" t="s">
        <v>1092</v>
      </c>
      <c r="C573" s="8" t="s">
        <v>18</v>
      </c>
      <c r="D573" s="8" t="s">
        <v>18</v>
      </c>
      <c r="E573" s="8" t="s">
        <v>19</v>
      </c>
      <c r="F573" s="8" t="s">
        <v>20</v>
      </c>
      <c r="G573" s="8" t="s">
        <v>21</v>
      </c>
      <c r="H573" s="9"/>
      <c r="I573" s="9"/>
      <c r="J573" s="10">
        <f t="shared" ref="J573:M573" si="364">ifs(OR($H573="R",$I573="N"),"N/A",OR(C573="A",C573="B",C573="C",C573="U"),3,TRUE,"FLAG")</f>
        <v>3</v>
      </c>
      <c r="K573" s="10">
        <f t="shared" si="364"/>
        <v>3</v>
      </c>
      <c r="L573" s="10">
        <f t="shared" si="364"/>
        <v>3</v>
      </c>
      <c r="M573" s="10" t="str">
        <f t="shared" si="364"/>
        <v>FLAG</v>
      </c>
      <c r="N573" s="10" t="str">
        <f t="shared" si="2"/>
        <v>-96818 - Cities &amp; Municipalities; Cities in counties over 90,000; failure, neglect or refusal of any railroad company or companies or street-railway company to erect, construct, reconstruct or repair any viaduct or tunnel as required</v>
      </c>
      <c r="O573" s="10" t="str">
        <f t="shared" si="3"/>
        <v>Cities &amp; Municipalities</v>
      </c>
    </row>
    <row r="574">
      <c r="A574" s="7" t="s">
        <v>1093</v>
      </c>
      <c r="B574" s="12" t="s">
        <v>1094</v>
      </c>
      <c r="C574" s="8" t="s">
        <v>18</v>
      </c>
      <c r="D574" s="8" t="s">
        <v>18</v>
      </c>
      <c r="E574" s="8" t="s">
        <v>19</v>
      </c>
      <c r="F574" s="8" t="s">
        <v>20</v>
      </c>
      <c r="G574" s="8" t="s">
        <v>21</v>
      </c>
      <c r="H574" s="9"/>
      <c r="I574" s="9"/>
      <c r="J574" s="10">
        <f t="shared" ref="J574:M574" si="365">ifs(OR($H574="R",$I574="N"),"N/A",OR(C574="A",C574="B",C574="C",C574="U"),3,TRUE,"FLAG")</f>
        <v>3</v>
      </c>
      <c r="K574" s="10">
        <f t="shared" si="365"/>
        <v>3</v>
      </c>
      <c r="L574" s="10">
        <f t="shared" si="365"/>
        <v>3</v>
      </c>
      <c r="M574" s="10" t="str">
        <f t="shared" si="365"/>
        <v>FLAG</v>
      </c>
      <c r="N574" s="10" t="str">
        <f t="shared" si="2"/>
        <v>-97183 - Cities &amp; Municipalities; Failure, neglect or refusal of any railroad company or companies or street-railway company to erect, construct, reconstruct or repair any viaduct or tunnel as required</v>
      </c>
      <c r="O574" s="10" t="str">
        <f t="shared" si="3"/>
        <v>Cities &amp; Municipalities</v>
      </c>
    </row>
    <row r="575">
      <c r="A575" s="7" t="s">
        <v>1095</v>
      </c>
      <c r="B575" s="8" t="s">
        <v>1096</v>
      </c>
      <c r="C575" s="8" t="s">
        <v>18</v>
      </c>
      <c r="D575" s="8" t="s">
        <v>18</v>
      </c>
      <c r="E575" s="8" t="s">
        <v>19</v>
      </c>
      <c r="F575" s="8" t="s">
        <v>20</v>
      </c>
      <c r="G575" s="8" t="s">
        <v>21</v>
      </c>
      <c r="H575" s="9"/>
      <c r="I575" s="9"/>
      <c r="J575" s="10">
        <f t="shared" ref="J575:M575" si="366">ifs(OR($H575="R",$I575="N"),"N/A",OR(C575="A",C575="B",C575="C",C575="U"),3,TRUE,"FLAG")</f>
        <v>3</v>
      </c>
      <c r="K575" s="10">
        <f t="shared" si="366"/>
        <v>3</v>
      </c>
      <c r="L575" s="10">
        <f t="shared" si="366"/>
        <v>3</v>
      </c>
      <c r="M575" s="10" t="str">
        <f t="shared" si="366"/>
        <v>FLAG</v>
      </c>
      <c r="N575" s="10" t="str">
        <f t="shared" si="2"/>
        <v>12-1,108 - Cities &amp; Municipalities; Inspection of tax returns; unlawful to exhibit, disclose or publish</v>
      </c>
      <c r="O575" s="10" t="str">
        <f t="shared" si="3"/>
        <v>Cities &amp; Municipalities</v>
      </c>
    </row>
    <row r="576">
      <c r="A576" s="7" t="s">
        <v>1097</v>
      </c>
      <c r="B576" s="8" t="s">
        <v>1098</v>
      </c>
      <c r="C576" s="8" t="s">
        <v>18</v>
      </c>
      <c r="D576" s="8" t="s">
        <v>18</v>
      </c>
      <c r="E576" s="8" t="s">
        <v>19</v>
      </c>
      <c r="F576" s="8" t="s">
        <v>20</v>
      </c>
      <c r="G576" s="8" t="s">
        <v>21</v>
      </c>
      <c r="H576" s="9"/>
      <c r="I576" s="9"/>
      <c r="J576" s="10">
        <f t="shared" ref="J576:M576" si="367">ifs(OR($H576="R",$I576="N"),"N/A",OR(C576="A",C576="B",C576="C",C576="U"),3,TRUE,"FLAG")</f>
        <v>3</v>
      </c>
      <c r="K576" s="10">
        <f t="shared" si="367"/>
        <v>3</v>
      </c>
      <c r="L576" s="10">
        <f t="shared" si="367"/>
        <v>3</v>
      </c>
      <c r="M576" s="10" t="str">
        <f t="shared" si="367"/>
        <v>FLAG</v>
      </c>
      <c r="N576" s="10" t="str">
        <f t="shared" si="2"/>
        <v>12-853 - Cities &amp; Municipalities; Materially diminish the augmented flow of water due to the use of said stream or streams by such cities in conveying its water to its water system intake</v>
      </c>
      <c r="O576" s="10" t="str">
        <f t="shared" si="3"/>
        <v>Cities &amp; Municipalities</v>
      </c>
    </row>
    <row r="577">
      <c r="A577" s="7" t="s">
        <v>1099</v>
      </c>
      <c r="B577" s="8" t="s">
        <v>1100</v>
      </c>
      <c r="C577" s="8" t="s">
        <v>27</v>
      </c>
      <c r="D577" s="8" t="s">
        <v>28</v>
      </c>
      <c r="E577" s="8" t="s">
        <v>19</v>
      </c>
      <c r="F577" s="8" t="s">
        <v>20</v>
      </c>
      <c r="G577" s="8" t="s">
        <v>21</v>
      </c>
      <c r="H577" s="9"/>
      <c r="I577" s="9"/>
      <c r="J577" s="10">
        <f t="shared" ref="J577:M577" si="368">ifs(OR($H577="R",$I577="N"),"N/A",OR(C577="A",C577="B",C577="C",C577="U"),3,TRUE,"FLAG")</f>
        <v>3</v>
      </c>
      <c r="K577" s="10">
        <f t="shared" si="368"/>
        <v>3</v>
      </c>
      <c r="L577" s="10">
        <f t="shared" si="368"/>
        <v>3</v>
      </c>
      <c r="M577" s="10" t="str">
        <f t="shared" si="368"/>
        <v>FLAG</v>
      </c>
      <c r="N577" s="10" t="str">
        <f t="shared" si="2"/>
        <v>12-189 - Cities &amp; Municipalities; Officer or employee of a city or county divulging confidential info</v>
      </c>
      <c r="O577" s="10" t="str">
        <f t="shared" si="3"/>
        <v>Cities &amp; Municipalities</v>
      </c>
    </row>
    <row r="578">
      <c r="A578" s="7" t="s">
        <v>1101</v>
      </c>
      <c r="B578" s="8" t="s">
        <v>1102</v>
      </c>
      <c r="C578" s="8" t="s">
        <v>18</v>
      </c>
      <c r="D578" s="8" t="s">
        <v>18</v>
      </c>
      <c r="E578" s="8" t="s">
        <v>19</v>
      </c>
      <c r="F578" s="8" t="s">
        <v>20</v>
      </c>
      <c r="G578" s="8" t="s">
        <v>21</v>
      </c>
      <c r="H578" s="9"/>
      <c r="I578" s="9"/>
      <c r="J578" s="10">
        <f t="shared" ref="J578:M578" si="369">ifs(OR($H578="R",$I578="N"),"N/A",OR(C578="A",C578="B",C578="C",C578="U"),3,TRUE,"FLAG")</f>
        <v>3</v>
      </c>
      <c r="K578" s="10">
        <f t="shared" si="369"/>
        <v>3</v>
      </c>
      <c r="L578" s="10">
        <f t="shared" si="369"/>
        <v>3</v>
      </c>
      <c r="M578" s="10" t="str">
        <f t="shared" si="369"/>
        <v>FLAG</v>
      </c>
      <c r="N578" s="10" t="str">
        <f t="shared" si="2"/>
        <v>12-761(a) - Cities &amp; Municipalities; Planning and Zoning; penalty for any violation of regulations</v>
      </c>
      <c r="O578" s="10" t="str">
        <f t="shared" si="3"/>
        <v>Cities &amp; Municipalities</v>
      </c>
    </row>
    <row r="579">
      <c r="A579" s="7" t="s">
        <v>1103</v>
      </c>
      <c r="B579" s="8" t="s">
        <v>1104</v>
      </c>
      <c r="C579" s="8" t="s">
        <v>18</v>
      </c>
      <c r="D579" s="8" t="s">
        <v>18</v>
      </c>
      <c r="E579" s="8" t="s">
        <v>19</v>
      </c>
      <c r="F579" s="8" t="s">
        <v>20</v>
      </c>
      <c r="G579" s="8" t="s">
        <v>21</v>
      </c>
      <c r="H579" s="9"/>
      <c r="I579" s="9"/>
      <c r="J579" s="10">
        <f t="shared" ref="J579:M579" si="370">ifs(OR($H579="R",$I579="N"),"N/A",OR(C579="A",C579="B",C579="C",C579="U"),3,TRUE,"FLAG")</f>
        <v>3</v>
      </c>
      <c r="K579" s="10">
        <f t="shared" si="370"/>
        <v>3</v>
      </c>
      <c r="L579" s="10">
        <f t="shared" si="370"/>
        <v>3</v>
      </c>
      <c r="M579" s="10" t="str">
        <f t="shared" si="370"/>
        <v>FLAG</v>
      </c>
      <c r="N579" s="10" t="str">
        <f t="shared" si="2"/>
        <v>12-850 - Cities &amp; Municipalities; Unauthorized interference with the surface of any street, alleys, public park or grounds of such city</v>
      </c>
      <c r="O579" s="10" t="str">
        <f t="shared" si="3"/>
        <v>Cities &amp; Municipalities</v>
      </c>
    </row>
    <row r="580">
      <c r="A580" s="7" t="s">
        <v>1105</v>
      </c>
      <c r="B580" s="8" t="s">
        <v>1106</v>
      </c>
      <c r="C580" s="8" t="s">
        <v>18</v>
      </c>
      <c r="D580" s="8" t="s">
        <v>18</v>
      </c>
      <c r="E580" s="8" t="s">
        <v>19</v>
      </c>
      <c r="F580" s="8" t="s">
        <v>20</v>
      </c>
      <c r="G580" s="8" t="s">
        <v>21</v>
      </c>
      <c r="H580" s="9"/>
      <c r="I580" s="9"/>
      <c r="J580" s="10">
        <f t="shared" ref="J580:M580" si="371">ifs(OR($H580="R",$I580="N"),"N/A",OR(C580="A",C580="B",C580="C",C580="U"),3,TRUE,"FLAG")</f>
        <v>3</v>
      </c>
      <c r="K580" s="10">
        <f t="shared" si="371"/>
        <v>3</v>
      </c>
      <c r="L580" s="10">
        <f t="shared" si="371"/>
        <v>3</v>
      </c>
      <c r="M580" s="10" t="str">
        <f t="shared" si="371"/>
        <v>FLAG</v>
      </c>
      <c r="N580" s="10" t="str">
        <f t="shared" si="2"/>
        <v>13-1903 - Cities of the First Class; General Powers of Board of Commissioners; failure of railroad company or companies or street-railway company, to comply with the duty to erect, construct, reconstruct or repair any viaduct, within the time and in the manner required by the board of commissioners</v>
      </c>
      <c r="O580" s="10" t="str">
        <f t="shared" si="3"/>
        <v>Cities of the First Class</v>
      </c>
    </row>
    <row r="581">
      <c r="A581" s="7" t="s">
        <v>1107</v>
      </c>
      <c r="B581" s="8" t="s">
        <v>1108</v>
      </c>
      <c r="C581" s="8" t="s">
        <v>18</v>
      </c>
      <c r="D581" s="8" t="s">
        <v>18</v>
      </c>
      <c r="E581" s="8" t="s">
        <v>19</v>
      </c>
      <c r="F581" s="8" t="s">
        <v>20</v>
      </c>
      <c r="G581" s="8" t="s">
        <v>21</v>
      </c>
      <c r="H581" s="9"/>
      <c r="I581" s="9"/>
      <c r="J581" s="10">
        <f t="shared" ref="J581:M581" si="372">ifs(OR($H581="R",$I581="N"),"N/A",OR(C581="A",C581="B",C581="C",C581="U"),3,TRUE,"FLAG")</f>
        <v>3</v>
      </c>
      <c r="K581" s="10">
        <f t="shared" si="372"/>
        <v>3</v>
      </c>
      <c r="L581" s="10">
        <f t="shared" si="372"/>
        <v>3</v>
      </c>
      <c r="M581" s="10" t="str">
        <f t="shared" si="372"/>
        <v>FLAG</v>
      </c>
      <c r="N581" s="10" t="str">
        <f t="shared" si="2"/>
        <v>15-1008 - Cities of the Third Class; Cemeteries; unlawful establishment or maintenance</v>
      </c>
      <c r="O581" s="10" t="str">
        <f t="shared" si="3"/>
        <v>Cities of the Third Class</v>
      </c>
    </row>
    <row r="582">
      <c r="A582" s="7" t="s">
        <v>1109</v>
      </c>
      <c r="B582" s="8" t="s">
        <v>1110</v>
      </c>
      <c r="C582" s="8" t="s">
        <v>18</v>
      </c>
      <c r="D582" s="8" t="s">
        <v>18</v>
      </c>
      <c r="E582" s="8" t="s">
        <v>19</v>
      </c>
      <c r="F582" s="8" t="s">
        <v>20</v>
      </c>
      <c r="G582" s="8" t="s">
        <v>21</v>
      </c>
      <c r="H582" s="9"/>
      <c r="I582" s="9"/>
      <c r="J582" s="10">
        <f t="shared" ref="J582:M582" si="373">ifs(OR($H582="R",$I582="N"),"N/A",OR(C582="A",C582="B",C582="C",C582="U"),3,TRUE,"FLAG")</f>
        <v>3</v>
      </c>
      <c r="K582" s="10">
        <f t="shared" si="373"/>
        <v>3</v>
      </c>
      <c r="L582" s="10">
        <f t="shared" si="373"/>
        <v>3</v>
      </c>
      <c r="M582" s="10" t="str">
        <f t="shared" si="373"/>
        <v>FLAG</v>
      </c>
      <c r="N582" s="10" t="str">
        <f t="shared" si="2"/>
        <v>41-2640(a)(6) - Club/Drinking Establishment Act; Advertise or promote in any way, whether on or off the licensed premises, any of the practices prohibited under subsections (a)(1) through (5)</v>
      </c>
      <c r="O582" s="10" t="str">
        <f t="shared" si="3"/>
        <v>Club/Drinking Establishment Act</v>
      </c>
    </row>
    <row r="583">
      <c r="A583" s="7" t="s">
        <v>1111</v>
      </c>
      <c r="B583" s="8" t="s">
        <v>1112</v>
      </c>
      <c r="C583" s="8" t="s">
        <v>18</v>
      </c>
      <c r="D583" s="8" t="s">
        <v>18</v>
      </c>
      <c r="E583" s="8" t="s">
        <v>19</v>
      </c>
      <c r="F583" s="8" t="s">
        <v>20</v>
      </c>
      <c r="G583" s="8" t="s">
        <v>21</v>
      </c>
      <c r="H583" s="9"/>
      <c r="I583" s="9"/>
      <c r="J583" s="10">
        <f t="shared" ref="J583:M583" si="374">ifs(OR($H583="R",$I583="N"),"N/A",OR(C583="A",C583="B",C583="C",C583="U"),3,TRUE,"FLAG")</f>
        <v>3</v>
      </c>
      <c r="K583" s="10">
        <f t="shared" si="374"/>
        <v>3</v>
      </c>
      <c r="L583" s="10">
        <f t="shared" si="374"/>
        <v>3</v>
      </c>
      <c r="M583" s="10" t="str">
        <f t="shared" si="374"/>
        <v>FLAG</v>
      </c>
      <c r="N583" s="10" t="str">
        <f t="shared" si="2"/>
        <v>41-2604(a) - Club/Drinking Establishment Act; Allowing consumption of liquor in violation of Act</v>
      </c>
      <c r="O583" s="10" t="str">
        <f t="shared" si="3"/>
        <v>Club/Drinking Establishment Act</v>
      </c>
    </row>
    <row r="584">
      <c r="A584" s="7" t="s">
        <v>1113</v>
      </c>
      <c r="B584" s="8" t="s">
        <v>1114</v>
      </c>
      <c r="C584" s="8" t="s">
        <v>18</v>
      </c>
      <c r="D584" s="8" t="s">
        <v>18</v>
      </c>
      <c r="E584" s="8" t="s">
        <v>19</v>
      </c>
      <c r="F584" s="8" t="s">
        <v>20</v>
      </c>
      <c r="G584" s="8" t="s">
        <v>21</v>
      </c>
      <c r="H584" s="9"/>
      <c r="I584" s="9"/>
      <c r="J584" s="10">
        <f t="shared" ref="J584:M584" si="375">ifs(OR($H584="R",$I584="N"),"N/A",OR(C584="A",C584="B",C584="C",C584="U"),3,TRUE,"FLAG")</f>
        <v>3</v>
      </c>
      <c r="K584" s="10">
        <f t="shared" si="375"/>
        <v>3</v>
      </c>
      <c r="L584" s="10">
        <f t="shared" si="375"/>
        <v>3</v>
      </c>
      <c r="M584" s="10" t="str">
        <f t="shared" si="375"/>
        <v>FLAG</v>
      </c>
      <c r="N584" s="10" t="str">
        <f t="shared" si="2"/>
        <v>41-2640(a)(4) - Club/Drinking Establishment Act; Encourage or permit, on the licensed premises, any game or contest which involves drinking alcoholic liquor or cereal malt beverage or the awarding of individual drinks as prizes</v>
      </c>
      <c r="O584" s="10" t="str">
        <f t="shared" si="3"/>
        <v>Club/Drinking Establishment Act</v>
      </c>
    </row>
    <row r="585">
      <c r="A585" s="7" t="s">
        <v>1115</v>
      </c>
      <c r="B585" s="8" t="s">
        <v>1116</v>
      </c>
      <c r="C585" s="8" t="s">
        <v>18</v>
      </c>
      <c r="D585" s="8" t="s">
        <v>18</v>
      </c>
      <c r="E585" s="8" t="s">
        <v>19</v>
      </c>
      <c r="F585" s="8" t="s">
        <v>20</v>
      </c>
      <c r="G585" s="8" t="s">
        <v>21</v>
      </c>
      <c r="H585" s="9"/>
      <c r="I585" s="9"/>
      <c r="J585" s="10">
        <f t="shared" ref="J585:M585" si="376">ifs(OR($H585="R",$I585="N"),"N/A",OR(C585="A",C585="B",C585="C",C585="U"),3,TRUE,"FLAG")</f>
        <v>3</v>
      </c>
      <c r="K585" s="10">
        <f t="shared" si="376"/>
        <v>3</v>
      </c>
      <c r="L585" s="10">
        <f t="shared" si="376"/>
        <v>3</v>
      </c>
      <c r="M585" s="10" t="str">
        <f t="shared" si="376"/>
        <v>FLAG</v>
      </c>
      <c r="N585" s="10" t="str">
        <f t="shared" si="2"/>
        <v>41-2632(b)(2) - Club/Drinking Establishment Act; Influencing purchases from particular retailer by licensees prohibited</v>
      </c>
      <c r="O585" s="10" t="str">
        <f t="shared" si="3"/>
        <v>Club/Drinking Establishment Act</v>
      </c>
    </row>
    <row r="586">
      <c r="A586" s="7" t="s">
        <v>1117</v>
      </c>
      <c r="B586" s="8" t="s">
        <v>1118</v>
      </c>
      <c r="C586" s="8" t="s">
        <v>18</v>
      </c>
      <c r="D586" s="8" t="s">
        <v>18</v>
      </c>
      <c r="E586" s="8" t="s">
        <v>19</v>
      </c>
      <c r="F586" s="8" t="s">
        <v>20</v>
      </c>
      <c r="G586" s="8" t="s">
        <v>21</v>
      </c>
      <c r="H586" s="9"/>
      <c r="I586" s="9"/>
      <c r="J586" s="10">
        <f t="shared" ref="J586:M586" si="377">ifs(OR($H586="R",$I586="N"),"N/A",OR(C586="A",C586="B",C586="C",C586="U"),3,TRUE,"FLAG")</f>
        <v>3</v>
      </c>
      <c r="K586" s="10">
        <f t="shared" si="377"/>
        <v>3</v>
      </c>
      <c r="L586" s="10">
        <f t="shared" si="377"/>
        <v>3</v>
      </c>
      <c r="M586" s="10" t="str">
        <f t="shared" si="377"/>
        <v>FLAG</v>
      </c>
      <c r="N586" s="10" t="str">
        <f t="shared" si="2"/>
        <v>41-2632(b)(1) - Club/Drinking Establishment Act; Influencing purchases of particular brand by licensees prohibited</v>
      </c>
      <c r="O586" s="10" t="str">
        <f t="shared" si="3"/>
        <v>Club/Drinking Establishment Act</v>
      </c>
    </row>
    <row r="587">
      <c r="A587" s="7" t="s">
        <v>1119</v>
      </c>
      <c r="B587" s="8" t="s">
        <v>1120</v>
      </c>
      <c r="C587" s="8" t="s">
        <v>18</v>
      </c>
      <c r="D587" s="8" t="s">
        <v>18</v>
      </c>
      <c r="E587" s="8" t="s">
        <v>19</v>
      </c>
      <c r="F587" s="8" t="s">
        <v>20</v>
      </c>
      <c r="G587" s="8" t="s">
        <v>21</v>
      </c>
      <c r="H587" s="9"/>
      <c r="I587" s="9"/>
      <c r="J587" s="10">
        <f t="shared" ref="J587:M587" si="378">ifs(OR($H587="R",$I587="N"),"N/A",OR(C587="A",C587="B",C587="C",C587="U"),3,TRUE,"FLAG")</f>
        <v>3</v>
      </c>
      <c r="K587" s="10">
        <f t="shared" si="378"/>
        <v>3</v>
      </c>
      <c r="L587" s="10">
        <f t="shared" si="378"/>
        <v>3</v>
      </c>
      <c r="M587" s="10" t="str">
        <f t="shared" si="378"/>
        <v>FLAG</v>
      </c>
      <c r="N587" s="10" t="str">
        <f t="shared" si="2"/>
        <v>41-2640(a)(1) - Club/Drinking Establishment Act; Offer or serve any free cereal malt beverage or alcoholic liquor</v>
      </c>
      <c r="O587" s="10" t="str">
        <f t="shared" si="3"/>
        <v>Club/Drinking Establishment Act</v>
      </c>
    </row>
    <row r="588">
      <c r="A588" s="7" t="s">
        <v>1121</v>
      </c>
      <c r="B588" s="8" t="s">
        <v>1122</v>
      </c>
      <c r="C588" s="8" t="s">
        <v>18</v>
      </c>
      <c r="D588" s="8" t="s">
        <v>18</v>
      </c>
      <c r="E588" s="8" t="s">
        <v>19</v>
      </c>
      <c r="F588" s="8" t="s">
        <v>20</v>
      </c>
      <c r="G588" s="8" t="s">
        <v>21</v>
      </c>
      <c r="H588" s="9"/>
      <c r="I588" s="9"/>
      <c r="J588" s="10">
        <f t="shared" ref="J588:M588" si="379">ifs(OR($H588="R",$I588="N"),"N/A",OR(C588="A",C588="B",C588="C",C588="U"),3,TRUE,"FLAG")</f>
        <v>3</v>
      </c>
      <c r="K588" s="10">
        <f t="shared" si="379"/>
        <v>3</v>
      </c>
      <c r="L588" s="10">
        <f t="shared" si="379"/>
        <v>3</v>
      </c>
      <c r="M588" s="10" t="str">
        <f t="shared" si="379"/>
        <v>FLAG</v>
      </c>
      <c r="N588" s="10" t="str">
        <f t="shared" si="2"/>
        <v>41-2640(a)(2) - Club/Drinking Establishment Act; Offer or serve to any person an individual drink at a price that is less than the acquisition cost of the individual drink to the licensee or permit holder</v>
      </c>
      <c r="O588" s="10" t="str">
        <f t="shared" si="3"/>
        <v>Club/Drinking Establishment Act</v>
      </c>
    </row>
    <row r="589">
      <c r="A589" s="7" t="s">
        <v>1123</v>
      </c>
      <c r="B589" s="8" t="s">
        <v>1124</v>
      </c>
      <c r="C589" s="8" t="s">
        <v>18</v>
      </c>
      <c r="D589" s="8" t="s">
        <v>18</v>
      </c>
      <c r="E589" s="8" t="s">
        <v>19</v>
      </c>
      <c r="F589" s="8" t="s">
        <v>20</v>
      </c>
      <c r="G589" s="8" t="s">
        <v>21</v>
      </c>
      <c r="H589" s="9"/>
      <c r="I589" s="9"/>
      <c r="J589" s="10">
        <f t="shared" ref="J589:M589" si="380">ifs(OR($H589="R",$I589="N"),"N/A",OR(C589="A",C589="B",C589="C",C589="U"),3,TRUE,"FLAG")</f>
        <v>3</v>
      </c>
      <c r="K589" s="10">
        <f t="shared" si="380"/>
        <v>3</v>
      </c>
      <c r="L589" s="10">
        <f t="shared" si="380"/>
        <v>3</v>
      </c>
      <c r="M589" s="10" t="str">
        <f t="shared" si="380"/>
        <v>FLAG</v>
      </c>
      <c r="N589" s="10" t="str">
        <f t="shared" si="2"/>
        <v>41-2615(a) - Club/Drinking Establishment Act; Possession or consumption by minor prohibited</v>
      </c>
      <c r="O589" s="10" t="str">
        <f t="shared" si="3"/>
        <v>Club/Drinking Establishment Act</v>
      </c>
    </row>
    <row r="590">
      <c r="A590" s="7" t="s">
        <v>1125</v>
      </c>
      <c r="B590" s="8" t="s">
        <v>1126</v>
      </c>
      <c r="C590" s="8" t="s">
        <v>18</v>
      </c>
      <c r="D590" s="8" t="s">
        <v>18</v>
      </c>
      <c r="E590" s="8" t="s">
        <v>19</v>
      </c>
      <c r="F590" s="8" t="s">
        <v>20</v>
      </c>
      <c r="G590" s="8" t="s">
        <v>21</v>
      </c>
      <c r="H590" s="9"/>
      <c r="I590" s="9"/>
      <c r="J590" s="10">
        <f t="shared" ref="J590:M590" si="381">ifs(OR($H590="R",$I590="N"),"N/A",OR(C590="A",C590="B",C590="C",C590="U"),3,TRUE,"FLAG")</f>
        <v>3</v>
      </c>
      <c r="K590" s="10">
        <f t="shared" si="381"/>
        <v>3</v>
      </c>
      <c r="L590" s="10">
        <f t="shared" si="381"/>
        <v>3</v>
      </c>
      <c r="M590" s="10" t="str">
        <f t="shared" si="381"/>
        <v>FLAG</v>
      </c>
      <c r="N590" s="10" t="str">
        <f t="shared" si="2"/>
        <v>41-2640(b)(7) - Club/Drinking Establishment Act; Public venue; Advertise or promote any prohibited practices in K.S.A. 41-2640(b)(1) through (6)</v>
      </c>
      <c r="O590" s="10" t="str">
        <f t="shared" si="3"/>
        <v>Club/Drinking Establishment Act</v>
      </c>
    </row>
    <row r="591">
      <c r="A591" s="7" t="s">
        <v>1127</v>
      </c>
      <c r="B591" s="8" t="s">
        <v>1128</v>
      </c>
      <c r="C591" s="8" t="s">
        <v>18</v>
      </c>
      <c r="D591" s="8" t="s">
        <v>18</v>
      </c>
      <c r="E591" s="8" t="s">
        <v>19</v>
      </c>
      <c r="F591" s="8" t="s">
        <v>20</v>
      </c>
      <c r="G591" s="8" t="s">
        <v>21</v>
      </c>
      <c r="H591" s="9"/>
      <c r="I591" s="9"/>
      <c r="J591" s="10">
        <f t="shared" ref="J591:M591" si="382">ifs(OR($H591="R",$I591="N"),"N/A",OR(C591="A",C591="B",C591="C",C591="U"),3,TRUE,"FLAG")</f>
        <v>3</v>
      </c>
      <c r="K591" s="10">
        <f t="shared" si="382"/>
        <v>3</v>
      </c>
      <c r="L591" s="10">
        <f t="shared" si="382"/>
        <v>3</v>
      </c>
      <c r="M591" s="10" t="str">
        <f t="shared" si="382"/>
        <v>FLAG</v>
      </c>
      <c r="N591" s="10" t="str">
        <f t="shared" si="2"/>
        <v>41-2640(b)(5) - Club/Drinking Establishment Act; Public venue; Encourage or permit games or contests involving drinking alcoholic liquor and cereal malt beverage or awarding drinks as prizes</v>
      </c>
      <c r="O591" s="10" t="str">
        <f t="shared" si="3"/>
        <v>Club/Drinking Establishment Act</v>
      </c>
    </row>
    <row r="592">
      <c r="A592" s="7" t="s">
        <v>1129</v>
      </c>
      <c r="B592" s="8" t="s">
        <v>1130</v>
      </c>
      <c r="C592" s="8" t="s">
        <v>18</v>
      </c>
      <c r="D592" s="8" t="s">
        <v>18</v>
      </c>
      <c r="E592" s="8" t="s">
        <v>19</v>
      </c>
      <c r="F592" s="8" t="s">
        <v>20</v>
      </c>
      <c r="G592" s="8" t="s">
        <v>21</v>
      </c>
      <c r="H592" s="9"/>
      <c r="I592" s="9"/>
      <c r="J592" s="10">
        <f t="shared" ref="J592:M592" si="383">ifs(OR($H592="R",$I592="N"),"N/A",OR(C592="A",C592="B",C592="C",C592="U"),3,TRUE,"FLAG")</f>
        <v>3</v>
      </c>
      <c r="K592" s="10">
        <f t="shared" si="383"/>
        <v>3</v>
      </c>
      <c r="L592" s="10">
        <f t="shared" si="383"/>
        <v>3</v>
      </c>
      <c r="M592" s="10" t="str">
        <f t="shared" si="383"/>
        <v>FLAG</v>
      </c>
      <c r="N592" s="10" t="str">
        <f t="shared" si="2"/>
        <v>41-2640(b)(2) - Club/Drinking Establishment Act; Public venue; Offer or serve a drink or original container of alcoholic liquor or cereal malt beverage at a price less than the licensee's acquisition cost of the drink or original container</v>
      </c>
      <c r="O592" s="10" t="str">
        <f t="shared" si="3"/>
        <v>Club/Drinking Establishment Act</v>
      </c>
    </row>
    <row r="593">
      <c r="A593" s="7" t="s">
        <v>1131</v>
      </c>
      <c r="B593" s="8" t="s">
        <v>1132</v>
      </c>
      <c r="C593" s="8" t="s">
        <v>18</v>
      </c>
      <c r="D593" s="8" t="s">
        <v>18</v>
      </c>
      <c r="E593" s="8" t="s">
        <v>19</v>
      </c>
      <c r="F593" s="8" t="s">
        <v>20</v>
      </c>
      <c r="G593" s="8" t="s">
        <v>21</v>
      </c>
      <c r="H593" s="9"/>
      <c r="I593" s="9"/>
      <c r="J593" s="10">
        <f t="shared" ref="J593:M593" si="384">ifs(OR($H593="R",$I593="N"),"N/A",OR(C593="A",C593="B",C593="C",C593="U"),3,TRUE,"FLAG")</f>
        <v>3</v>
      </c>
      <c r="K593" s="10">
        <f t="shared" si="384"/>
        <v>3</v>
      </c>
      <c r="L593" s="10">
        <f t="shared" si="384"/>
        <v>3</v>
      </c>
      <c r="M593" s="10" t="str">
        <f t="shared" si="384"/>
        <v>FLAG</v>
      </c>
      <c r="N593" s="10" t="str">
        <f t="shared" si="2"/>
        <v>41-2640(b)(1) - Club/Drinking Establishment Act; Public venue; Offer or serve free cereal malt beverage or alcoholic liquor in any form to any person</v>
      </c>
      <c r="O593" s="10" t="str">
        <f t="shared" si="3"/>
        <v>Club/Drinking Establishment Act</v>
      </c>
    </row>
    <row r="594">
      <c r="A594" s="7" t="s">
        <v>1133</v>
      </c>
      <c r="B594" s="8" t="s">
        <v>1134</v>
      </c>
      <c r="C594" s="8" t="s">
        <v>18</v>
      </c>
      <c r="D594" s="8" t="s">
        <v>18</v>
      </c>
      <c r="E594" s="8" t="s">
        <v>19</v>
      </c>
      <c r="F594" s="8" t="s">
        <v>20</v>
      </c>
      <c r="G594" s="8" t="s">
        <v>21</v>
      </c>
      <c r="H594" s="9"/>
      <c r="I594" s="9"/>
      <c r="J594" s="10">
        <f t="shared" ref="J594:M594" si="385">ifs(OR($H594="R",$I594="N"),"N/A",OR(C594="A",C594="B",C594="C",C594="U"),3,TRUE,"FLAG")</f>
        <v>3</v>
      </c>
      <c r="K594" s="10">
        <f t="shared" si="385"/>
        <v>3</v>
      </c>
      <c r="L594" s="10">
        <f t="shared" si="385"/>
        <v>3</v>
      </c>
      <c r="M594" s="10" t="str">
        <f t="shared" si="385"/>
        <v>FLAG</v>
      </c>
      <c r="N594" s="10" t="str">
        <f t="shared" si="2"/>
        <v>41-2640(b)(3) - Club/Drinking Establishment Act; Public venue; Sell or serve alcoholic liquor in glass containers to customers in the general admission area</v>
      </c>
      <c r="O594" s="10" t="str">
        <f t="shared" si="3"/>
        <v>Club/Drinking Establishment Act</v>
      </c>
    </row>
    <row r="595">
      <c r="A595" s="7" t="s">
        <v>1135</v>
      </c>
      <c r="B595" s="8" t="s">
        <v>1136</v>
      </c>
      <c r="C595" s="8" t="s">
        <v>18</v>
      </c>
      <c r="D595" s="8" t="s">
        <v>18</v>
      </c>
      <c r="E595" s="8" t="s">
        <v>19</v>
      </c>
      <c r="F595" s="8" t="s">
        <v>20</v>
      </c>
      <c r="G595" s="8" t="s">
        <v>21</v>
      </c>
      <c r="H595" s="9"/>
      <c r="I595" s="9"/>
      <c r="J595" s="10">
        <f t="shared" ref="J595:M595" si="386">ifs(OR($H595="R",$I595="N"),"N/A",OR(C595="A",C595="B",C595="C",C595="U"),3,TRUE,"FLAG")</f>
        <v>3</v>
      </c>
      <c r="K595" s="10">
        <f t="shared" si="386"/>
        <v>3</v>
      </c>
      <c r="L595" s="10">
        <f t="shared" si="386"/>
        <v>3</v>
      </c>
      <c r="M595" s="10" t="str">
        <f t="shared" si="386"/>
        <v>FLAG</v>
      </c>
      <c r="N595" s="10" t="str">
        <f t="shared" si="2"/>
        <v>41-2640(b)(4) - Club/Drinking Establishment Act; Public venue; Sell or serve more than two drinks per customer an any one time in the general admission area</v>
      </c>
      <c r="O595" s="10" t="str">
        <f t="shared" si="3"/>
        <v>Club/Drinking Establishment Act</v>
      </c>
    </row>
    <row r="596">
      <c r="A596" s="7" t="s">
        <v>1137</v>
      </c>
      <c r="B596" s="8" t="s">
        <v>1138</v>
      </c>
      <c r="C596" s="8" t="s">
        <v>18</v>
      </c>
      <c r="D596" s="8" t="s">
        <v>18</v>
      </c>
      <c r="E596" s="8" t="s">
        <v>19</v>
      </c>
      <c r="F596" s="8" t="s">
        <v>20</v>
      </c>
      <c r="G596" s="8" t="s">
        <v>21</v>
      </c>
      <c r="H596" s="9"/>
      <c r="I596" s="9"/>
      <c r="J596" s="10">
        <f t="shared" ref="J596:M596" si="387">ifs(OR($H596="R",$I596="N"),"N/A",OR(C596="A",C596="B",C596="C",C596="U"),3,TRUE,"FLAG")</f>
        <v>3</v>
      </c>
      <c r="K596" s="10">
        <f t="shared" si="387"/>
        <v>3</v>
      </c>
      <c r="L596" s="10">
        <f t="shared" si="387"/>
        <v>3</v>
      </c>
      <c r="M596" s="10" t="str">
        <f t="shared" si="387"/>
        <v>FLAG</v>
      </c>
      <c r="N596" s="10" t="str">
        <f t="shared" si="2"/>
        <v>41-2640(b)(6) - Club/Drinking Establishment Act; Public venue; sell, offer to sell or serve free powdered alcohol</v>
      </c>
      <c r="O596" s="10" t="str">
        <f t="shared" si="3"/>
        <v>Club/Drinking Establishment Act</v>
      </c>
    </row>
    <row r="597">
      <c r="A597" s="7" t="s">
        <v>1139</v>
      </c>
      <c r="B597" s="8" t="s">
        <v>1140</v>
      </c>
      <c r="C597" s="8" t="s">
        <v>18</v>
      </c>
      <c r="D597" s="8" t="s">
        <v>18</v>
      </c>
      <c r="E597" s="8" t="s">
        <v>19</v>
      </c>
      <c r="F597" s="8" t="s">
        <v>20</v>
      </c>
      <c r="G597" s="8" t="s">
        <v>21</v>
      </c>
      <c r="H597" s="9"/>
      <c r="I597" s="9"/>
      <c r="J597" s="10">
        <f t="shared" ref="J597:M597" si="388">ifs(OR($H597="R",$I597="N"),"N/A",OR(C597="A",C597="B",C597="C",C597="U"),3,TRUE,"FLAG")</f>
        <v>3</v>
      </c>
      <c r="K597" s="10">
        <f t="shared" si="388"/>
        <v>3</v>
      </c>
      <c r="L597" s="10">
        <f t="shared" si="388"/>
        <v>3</v>
      </c>
      <c r="M597" s="10" t="str">
        <f t="shared" si="388"/>
        <v>FLAG</v>
      </c>
      <c r="N597" s="10" t="str">
        <f t="shared" si="2"/>
        <v>41-2640(a)(5) - Club/Drinking Establishment Act; Sell, offer to sell or serve free powdered alcohol</v>
      </c>
      <c r="O597" s="10" t="str">
        <f t="shared" si="3"/>
        <v>Club/Drinking Establishment Act</v>
      </c>
    </row>
    <row r="598">
      <c r="A598" s="7" t="s">
        <v>1141</v>
      </c>
      <c r="B598" s="8" t="s">
        <v>1142</v>
      </c>
      <c r="C598" s="8" t="s">
        <v>18</v>
      </c>
      <c r="D598" s="8" t="s">
        <v>18</v>
      </c>
      <c r="E598" s="8" t="s">
        <v>19</v>
      </c>
      <c r="F598" s="8" t="s">
        <v>20</v>
      </c>
      <c r="G598" s="8" t="s">
        <v>21</v>
      </c>
      <c r="H598" s="9"/>
      <c r="I598" s="9"/>
      <c r="J598" s="10">
        <f t="shared" ref="J598:M598" si="389">ifs(OR($H598="R",$I598="N"),"N/A",OR(C598="A",C598="B",C598="C",C598="U"),3,TRUE,"FLAG")</f>
        <v>3</v>
      </c>
      <c r="K598" s="10">
        <f t="shared" si="389"/>
        <v>3</v>
      </c>
      <c r="L598" s="10">
        <f t="shared" si="389"/>
        <v>3</v>
      </c>
      <c r="M598" s="10" t="str">
        <f t="shared" si="389"/>
        <v>FLAG</v>
      </c>
      <c r="N598" s="10" t="str">
        <f t="shared" si="2"/>
        <v>41-2640(a)(3) - Club/Drinking Establishment Act; Sell, offer to sell or serve to any person an unlimited number of individual drinks during any set period of time for a fixed price, except at private functions or to general membership of a club</v>
      </c>
      <c r="O598" s="10" t="str">
        <f t="shared" si="3"/>
        <v>Club/Drinking Establishment Act</v>
      </c>
    </row>
    <row r="599">
      <c r="A599" s="7" t="s">
        <v>1143</v>
      </c>
      <c r="B599" s="8" t="s">
        <v>1144</v>
      </c>
      <c r="C599" s="8">
        <v>10.0</v>
      </c>
      <c r="D599" s="8">
        <v>10.0</v>
      </c>
      <c r="E599" s="8">
        <v>10.0</v>
      </c>
      <c r="F599" s="8">
        <v>10.0</v>
      </c>
      <c r="G599" s="8" t="s">
        <v>21</v>
      </c>
      <c r="H599" s="9"/>
      <c r="I599" s="9"/>
      <c r="N599" s="10" t="str">
        <f t="shared" si="2"/>
        <v>21-6417(a)(1) - Cockfighting; Causing gamecocks to fight each other for amusement or gain</v>
      </c>
      <c r="O599" s="10" t="str">
        <f t="shared" si="3"/>
        <v>Cockfighting</v>
      </c>
    </row>
    <row r="600">
      <c r="A600" s="7" t="s">
        <v>1145</v>
      </c>
      <c r="B600" s="8" t="s">
        <v>1146</v>
      </c>
      <c r="C600" s="8">
        <v>10.0</v>
      </c>
      <c r="D600" s="8">
        <v>10.0</v>
      </c>
      <c r="E600" s="8">
        <v>10.0</v>
      </c>
      <c r="F600" s="8">
        <v>10.0</v>
      </c>
      <c r="G600" s="8" t="s">
        <v>21</v>
      </c>
      <c r="H600" s="9"/>
      <c r="I600" s="9"/>
      <c r="N600" s="10" t="str">
        <f t="shared" si="2"/>
        <v>21-6417(a)(2) - Cockfighting; Knowingly permitting gamecock fighting on premises</v>
      </c>
      <c r="O600" s="10" t="str">
        <f t="shared" si="3"/>
        <v>Cockfighting</v>
      </c>
    </row>
    <row r="601">
      <c r="A601" s="7" t="s">
        <v>1147</v>
      </c>
      <c r="B601" s="8" t="s">
        <v>1148</v>
      </c>
      <c r="C601" s="8">
        <v>10.0</v>
      </c>
      <c r="D601" s="8">
        <v>10.0</v>
      </c>
      <c r="E601" s="8">
        <v>10.0</v>
      </c>
      <c r="F601" s="8">
        <v>10.0</v>
      </c>
      <c r="G601" s="8" t="s">
        <v>21</v>
      </c>
      <c r="H601" s="9"/>
      <c r="I601" s="9"/>
      <c r="N601" s="10" t="str">
        <f t="shared" si="2"/>
        <v>21-6417(a)(3) - Cockfighting; Training or otherwise preparing gamecock for the purpose of gamecock fighting</v>
      </c>
      <c r="O601" s="10" t="str">
        <f t="shared" si="3"/>
        <v>Cockfighting</v>
      </c>
    </row>
    <row r="602">
      <c r="A602" s="7" t="s">
        <v>1149</v>
      </c>
      <c r="B602" s="8" t="s">
        <v>1150</v>
      </c>
      <c r="C602" s="8" t="s">
        <v>28</v>
      </c>
      <c r="D602" s="8" t="s">
        <v>19</v>
      </c>
      <c r="E602" s="8" t="s">
        <v>19</v>
      </c>
      <c r="F602" s="8" t="s">
        <v>20</v>
      </c>
      <c r="G602" s="8" t="s">
        <v>21</v>
      </c>
      <c r="H602" s="9"/>
      <c r="I602" s="9"/>
      <c r="J602" s="10">
        <f t="shared" ref="J602:M602" si="390">ifs(OR($H602="R",$I602="N"),"N/A",OR(C602="A",C602="B",C602="C",C602="U"),3,TRUE,"FLAG")</f>
        <v>3</v>
      </c>
      <c r="K602" s="10">
        <f t="shared" si="390"/>
        <v>3</v>
      </c>
      <c r="L602" s="10">
        <f t="shared" si="390"/>
        <v>3</v>
      </c>
      <c r="M602" s="10" t="str">
        <f t="shared" si="390"/>
        <v>FLAG</v>
      </c>
      <c r="N602" s="10" t="str">
        <f t="shared" si="2"/>
        <v>21-6417(c) - Cockfighting; Unlawful attendance of gamecock fighting</v>
      </c>
      <c r="O602" s="10" t="str">
        <f t="shared" si="3"/>
        <v>Cockfighting</v>
      </c>
    </row>
    <row r="603">
      <c r="A603" s="7" t="s">
        <v>1151</v>
      </c>
      <c r="B603" s="8" t="s">
        <v>1152</v>
      </c>
      <c r="C603" s="8" t="s">
        <v>27</v>
      </c>
      <c r="D603" s="8" t="s">
        <v>28</v>
      </c>
      <c r="E603" s="8" t="s">
        <v>19</v>
      </c>
      <c r="F603" s="8" t="s">
        <v>20</v>
      </c>
      <c r="G603" s="8" t="s">
        <v>21</v>
      </c>
      <c r="H603" s="9"/>
      <c r="I603" s="9"/>
      <c r="J603" s="10">
        <f t="shared" ref="J603:M603" si="391">ifs(OR($H603="R",$I603="N"),"N/A",OR(C603="A",C603="B",C603="C",C603="U"),3,TRUE,"FLAG")</f>
        <v>3</v>
      </c>
      <c r="K603" s="10">
        <f t="shared" si="391"/>
        <v>3</v>
      </c>
      <c r="L603" s="10">
        <f t="shared" si="391"/>
        <v>3</v>
      </c>
      <c r="M603" s="10" t="str">
        <f t="shared" si="391"/>
        <v>FLAG</v>
      </c>
      <c r="N603" s="10" t="str">
        <f t="shared" si="2"/>
        <v>21-6417(b) - Cockfighting; Unlawful possession of gamecock fighting paraphernalia</v>
      </c>
      <c r="O603" s="10" t="str">
        <f t="shared" si="3"/>
        <v>Cockfighting</v>
      </c>
    </row>
    <row r="604">
      <c r="A604" s="7" t="s">
        <v>1153</v>
      </c>
      <c r="B604" s="8" t="s">
        <v>1154</v>
      </c>
      <c r="C604" s="8" t="s">
        <v>28</v>
      </c>
      <c r="D604" s="8" t="s">
        <v>19</v>
      </c>
      <c r="E604" s="8" t="s">
        <v>19</v>
      </c>
      <c r="F604" s="8" t="s">
        <v>20</v>
      </c>
      <c r="G604" s="8" t="s">
        <v>21</v>
      </c>
      <c r="H604" s="9"/>
      <c r="I604" s="9"/>
      <c r="J604" s="10">
        <f t="shared" ref="J604:M604" si="392">ifs(OR($H604="R",$I604="N"),"N/A",OR(C604="A",C604="B",C604="C",C604="U"),3,TRUE,"FLAG")</f>
        <v>3</v>
      </c>
      <c r="K604" s="10">
        <f t="shared" si="392"/>
        <v>3</v>
      </c>
      <c r="L604" s="10">
        <f t="shared" si="392"/>
        <v>3</v>
      </c>
      <c r="M604" s="10" t="str">
        <f t="shared" si="392"/>
        <v>FLAG</v>
      </c>
      <c r="N604" s="10" t="str">
        <f t="shared" si="2"/>
        <v>38-2223(e)(2) - Code for Care of Children; Intentionally preventing or interfering with the making of a report of child abuse</v>
      </c>
      <c r="O604" s="10" t="str">
        <f t="shared" si="3"/>
        <v>Code for Care of Children</v>
      </c>
    </row>
    <row r="605">
      <c r="A605" s="7" t="s">
        <v>1155</v>
      </c>
      <c r="B605" s="8" t="s">
        <v>1156</v>
      </c>
      <c r="C605" s="8" t="s">
        <v>28</v>
      </c>
      <c r="D605" s="8" t="s">
        <v>19</v>
      </c>
      <c r="E605" s="8" t="s">
        <v>19</v>
      </c>
      <c r="F605" s="8" t="s">
        <v>20</v>
      </c>
      <c r="G605" s="8" t="s">
        <v>21</v>
      </c>
      <c r="H605" s="9"/>
      <c r="I605" s="9"/>
      <c r="J605" s="10">
        <f t="shared" ref="J605:M605" si="393">ifs(OR($H605="R",$I605="N"),"N/A",OR(C605="A",C605="B",C605="C",C605="U"),3,TRUE,"FLAG")</f>
        <v>3</v>
      </c>
      <c r="K605" s="10">
        <f t="shared" si="393"/>
        <v>3</v>
      </c>
      <c r="L605" s="10">
        <f t="shared" si="393"/>
        <v>3</v>
      </c>
      <c r="M605" s="10" t="str">
        <f t="shared" si="393"/>
        <v>FLAG</v>
      </c>
      <c r="N605" s="10" t="str">
        <f t="shared" si="2"/>
        <v>38-2224(a) - Code for care of Children; Retaliation by employer against one who reports to, or cooperates with an investigation by law enforcement or the secretary relating to suspected abuse of a child</v>
      </c>
      <c r="O605" s="10" t="str">
        <f t="shared" si="3"/>
        <v>Code for care of Children</v>
      </c>
    </row>
    <row r="606">
      <c r="A606" s="7" t="s">
        <v>1157</v>
      </c>
      <c r="B606" s="8" t="s">
        <v>1158</v>
      </c>
      <c r="C606" s="8" t="s">
        <v>28</v>
      </c>
      <c r="D606" s="8" t="s">
        <v>19</v>
      </c>
      <c r="E606" s="8" t="s">
        <v>19</v>
      </c>
      <c r="F606" s="8" t="s">
        <v>20</v>
      </c>
      <c r="G606" s="8" t="s">
        <v>21</v>
      </c>
      <c r="H606" s="9"/>
      <c r="I606" s="9"/>
      <c r="J606" s="10">
        <f t="shared" ref="J606:M606" si="394">ifs(OR($H606="R",$I606="N"),"N/A",OR(C606="A",C606="B",C606="C",C606="U"),3,TRUE,"FLAG")</f>
        <v>3</v>
      </c>
      <c r="K606" s="10">
        <f t="shared" si="394"/>
        <v>3</v>
      </c>
      <c r="L606" s="10">
        <f t="shared" si="394"/>
        <v>3</v>
      </c>
      <c r="M606" s="10" t="str">
        <f t="shared" si="394"/>
        <v>FLAG</v>
      </c>
      <c r="N606" s="10" t="str">
        <f t="shared" si="2"/>
        <v>38-2223(e)(1) - Code for Care of Children; Willful and knowing failure to report child abuse as required</v>
      </c>
      <c r="O606" s="10" t="str">
        <f t="shared" si="3"/>
        <v>Code for Care of Children</v>
      </c>
    </row>
    <row r="607">
      <c r="A607" s="7" t="s">
        <v>1159</v>
      </c>
      <c r="B607" s="8" t="s">
        <v>1160</v>
      </c>
      <c r="C607" s="8" t="s">
        <v>28</v>
      </c>
      <c r="D607" s="8" t="s">
        <v>19</v>
      </c>
      <c r="E607" s="8" t="s">
        <v>19</v>
      </c>
      <c r="F607" s="8" t="s">
        <v>20</v>
      </c>
      <c r="G607" s="8" t="s">
        <v>21</v>
      </c>
      <c r="H607" s="9"/>
      <c r="I607" s="9"/>
      <c r="J607" s="10">
        <f t="shared" ref="J607:M607" si="395">ifs(OR($H607="R",$I607="N"),"N/A",OR(C607="A",C607="B",C607="C",C607="U"),3,TRUE,"FLAG")</f>
        <v>3</v>
      </c>
      <c r="K607" s="10">
        <f t="shared" si="395"/>
        <v>3</v>
      </c>
      <c r="L607" s="10">
        <f t="shared" si="395"/>
        <v>3</v>
      </c>
      <c r="M607" s="10" t="str">
        <f t="shared" si="395"/>
        <v>FLAG</v>
      </c>
      <c r="N607" s="10" t="str">
        <f t="shared" si="2"/>
        <v>38-2223(e)(3) - Code for Care of Children; Willful and knowing false report of child abuse, lacking factual foundation</v>
      </c>
      <c r="O607" s="10" t="str">
        <f t="shared" si="3"/>
        <v>Code for Care of Children</v>
      </c>
    </row>
    <row r="608">
      <c r="A608" s="7" t="s">
        <v>1161</v>
      </c>
      <c r="B608" s="8" t="s">
        <v>1162</v>
      </c>
      <c r="C608" s="8" t="s">
        <v>19</v>
      </c>
      <c r="D608" s="8" t="s">
        <v>19</v>
      </c>
      <c r="E608" s="8" t="s">
        <v>19</v>
      </c>
      <c r="F608" s="8" t="s">
        <v>20</v>
      </c>
      <c r="G608" s="8" t="s">
        <v>21</v>
      </c>
      <c r="H608" s="9"/>
      <c r="I608" s="9"/>
      <c r="J608" s="10">
        <f t="shared" ref="J608:M608" si="396">ifs(OR($H608="R",$I608="N"),"N/A",OR(C608="A",C608="B",C608="C",C608="U"),3,TRUE,"FLAG")</f>
        <v>3</v>
      </c>
      <c r="K608" s="10">
        <f t="shared" si="396"/>
        <v>3</v>
      </c>
      <c r="L608" s="10">
        <f t="shared" si="396"/>
        <v>3</v>
      </c>
      <c r="M608" s="10" t="str">
        <f t="shared" si="396"/>
        <v>FLAG</v>
      </c>
      <c r="N608" s="10" t="str">
        <f t="shared" si="2"/>
        <v>48-2713(a) - Code of Military Justice; Use of any menacing word, sign, or gesture in the presence of the military court, or who disturbs the military courts proceedings by any riot or disorder</v>
      </c>
      <c r="O608" s="10" t="str">
        <f t="shared" si="3"/>
        <v>Code of Military Justice</v>
      </c>
    </row>
    <row r="609">
      <c r="A609" s="7" t="s">
        <v>1163</v>
      </c>
      <c r="B609" s="8" t="s">
        <v>1164</v>
      </c>
      <c r="C609" s="8" t="s">
        <v>19</v>
      </c>
      <c r="D609" s="8" t="s">
        <v>19</v>
      </c>
      <c r="E609" s="8" t="s">
        <v>19</v>
      </c>
      <c r="F609" s="8" t="s">
        <v>20</v>
      </c>
      <c r="G609" s="8" t="s">
        <v>21</v>
      </c>
      <c r="H609" s="9"/>
      <c r="I609" s="9"/>
      <c r="J609" s="10">
        <f t="shared" ref="J609:M609" si="397">ifs(OR($H609="R",$I609="N"),"N/A",OR(C609="A",C609="B",C609="C",C609="U"),3,TRUE,"FLAG")</f>
        <v>3</v>
      </c>
      <c r="K609" s="10">
        <f t="shared" si="397"/>
        <v>3</v>
      </c>
      <c r="L609" s="10">
        <f t="shared" si="397"/>
        <v>3</v>
      </c>
      <c r="M609" s="10" t="str">
        <f t="shared" si="397"/>
        <v>FLAG</v>
      </c>
      <c r="N609" s="10" t="str">
        <f t="shared" si="2"/>
        <v>48-2712(a)(3) - Code of Military Justice; Willfully neglect or refuse to appear, or refuse to qualify as a witness or to testify or to produce any evidence which that person may have been legally subpoenaed to produce</v>
      </c>
      <c r="O609" s="10" t="str">
        <f t="shared" si="3"/>
        <v>Code of Military Justice</v>
      </c>
    </row>
    <row r="610">
      <c r="A610" s="7" t="s">
        <v>1165</v>
      </c>
      <c r="B610" s="8" t="s">
        <v>1166</v>
      </c>
      <c r="C610" s="8">
        <v>8.0</v>
      </c>
      <c r="D610" s="8">
        <v>10.0</v>
      </c>
      <c r="E610" s="8">
        <v>10.0</v>
      </c>
      <c r="F610" s="8">
        <v>10.0</v>
      </c>
      <c r="G610" s="8" t="s">
        <v>21</v>
      </c>
      <c r="H610" s="9"/>
      <c r="I610" s="9"/>
      <c r="N610" s="10" t="str">
        <f t="shared" si="2"/>
        <v>21-6506(a)(3) - Commercial Bribery; Knowing violation of duty of fidelity or trust; by a lawyer, physician, accountant, appraiser or other professional adviser</v>
      </c>
      <c r="O610" s="10" t="str">
        <f t="shared" si="3"/>
        <v>Commercial Bribery</v>
      </c>
    </row>
    <row r="611">
      <c r="A611" s="7" t="s">
        <v>1167</v>
      </c>
      <c r="B611" s="8" t="s">
        <v>1168</v>
      </c>
      <c r="C611" s="8">
        <v>8.0</v>
      </c>
      <c r="D611" s="8">
        <v>10.0</v>
      </c>
      <c r="E611" s="8">
        <v>10.0</v>
      </c>
      <c r="F611" s="8">
        <v>10.0</v>
      </c>
      <c r="G611" s="8" t="s">
        <v>21</v>
      </c>
      <c r="H611" s="9"/>
      <c r="I611" s="9"/>
      <c r="N611" s="10" t="str">
        <f t="shared" si="2"/>
        <v>21-6506(a)(2) - Commercial Bribery; Knowing violation of duty of fidelity or trust; by a person acting in a fiduciary capacity</v>
      </c>
      <c r="O611" s="10" t="str">
        <f t="shared" si="3"/>
        <v>Commercial Bribery</v>
      </c>
    </row>
    <row r="612">
      <c r="A612" s="7" t="s">
        <v>1169</v>
      </c>
      <c r="B612" s="8" t="s">
        <v>1170</v>
      </c>
      <c r="C612" s="8">
        <v>8.0</v>
      </c>
      <c r="D612" s="8">
        <v>10.0</v>
      </c>
      <c r="E612" s="8">
        <v>10.0</v>
      </c>
      <c r="F612" s="8">
        <v>10.0</v>
      </c>
      <c r="G612" s="8" t="s">
        <v>21</v>
      </c>
      <c r="H612" s="9"/>
      <c r="I612" s="9"/>
      <c r="N612" s="10" t="str">
        <f t="shared" si="2"/>
        <v>21-6506(a)(1) - Commercial Bribery; Knowing violation of duty of fidelity or trust; by an agent or employee of another</v>
      </c>
      <c r="O612" s="10" t="str">
        <f t="shared" si="3"/>
        <v>Commercial Bribery</v>
      </c>
    </row>
    <row r="613">
      <c r="A613" s="7" t="s">
        <v>1171</v>
      </c>
      <c r="B613" s="8" t="s">
        <v>1172</v>
      </c>
      <c r="C613" s="8">
        <v>8.0</v>
      </c>
      <c r="D613" s="8">
        <v>10.0</v>
      </c>
      <c r="E613" s="8">
        <v>10.0</v>
      </c>
      <c r="F613" s="8">
        <v>10.0</v>
      </c>
      <c r="G613" s="8" t="s">
        <v>21</v>
      </c>
      <c r="H613" s="9"/>
      <c r="I613" s="9"/>
      <c r="N613" s="10" t="str">
        <f t="shared" si="2"/>
        <v>21-6506(a)(5) - Commercial Bribery; Knowing violation of duty of fidelity or trust; by an arbitrator or other purportedly disinterested adjudicator or referee</v>
      </c>
      <c r="O613" s="10" t="str">
        <f t="shared" si="3"/>
        <v>Commercial Bribery</v>
      </c>
    </row>
    <row r="614">
      <c r="A614" s="7" t="s">
        <v>1173</v>
      </c>
      <c r="B614" s="8" t="s">
        <v>1174</v>
      </c>
      <c r="C614" s="8">
        <v>8.0</v>
      </c>
      <c r="D614" s="8">
        <v>10.0</v>
      </c>
      <c r="E614" s="8">
        <v>10.0</v>
      </c>
      <c r="F614" s="8">
        <v>10.0</v>
      </c>
      <c r="G614" s="8" t="s">
        <v>21</v>
      </c>
      <c r="H614" s="9"/>
      <c r="I614" s="9"/>
      <c r="N614" s="10" t="str">
        <f t="shared" si="2"/>
        <v>21-6506(a)(4) - Commercial Bribery; Knowing violation of duty of fidelity or trust; by an officer, director, partner, manager, or other participant in the affairs of a corporation, partnership or unincorporated association</v>
      </c>
      <c r="O614" s="10" t="str">
        <f t="shared" si="3"/>
        <v>Commercial Bribery</v>
      </c>
    </row>
    <row r="615">
      <c r="A615" s="7" t="s">
        <v>1175</v>
      </c>
      <c r="B615" s="8" t="s">
        <v>1176</v>
      </c>
      <c r="C615" s="8" t="s">
        <v>28</v>
      </c>
      <c r="D615" s="8" t="s">
        <v>19</v>
      </c>
      <c r="E615" s="8" t="s">
        <v>19</v>
      </c>
      <c r="F615" s="8" t="s">
        <v>20</v>
      </c>
      <c r="G615" s="8" t="s">
        <v>21</v>
      </c>
      <c r="H615" s="9"/>
      <c r="I615" s="9"/>
      <c r="J615" s="10">
        <f t="shared" ref="J615:M615" si="398">ifs(OR($H615="R",$I615="N"),"N/A",OR(C615="A",C615="B",C615="C",C615="U"),3,TRUE,"FLAG")</f>
        <v>3</v>
      </c>
      <c r="K615" s="10">
        <f t="shared" si="398"/>
        <v>3</v>
      </c>
      <c r="L615" s="10">
        <f t="shared" si="398"/>
        <v>3</v>
      </c>
      <c r="M615" s="10" t="str">
        <f t="shared" si="398"/>
        <v>FLAG</v>
      </c>
      <c r="N615" s="10" t="str">
        <f t="shared" si="2"/>
        <v>8-2,132(c) - Commercial Drivers' License Act; Driving a commercial vehicle in violation of out-of-service order</v>
      </c>
      <c r="O615" s="10" t="str">
        <f t="shared" si="3"/>
        <v>Commercial Drivers' License Act</v>
      </c>
    </row>
    <row r="616">
      <c r="A616" s="7" t="s">
        <v>1177</v>
      </c>
      <c r="B616" s="8" t="s">
        <v>1178</v>
      </c>
      <c r="C616" s="8" t="s">
        <v>28</v>
      </c>
      <c r="D616" s="8" t="s">
        <v>19</v>
      </c>
      <c r="E616" s="8" t="s">
        <v>19</v>
      </c>
      <c r="F616" s="8" t="s">
        <v>20</v>
      </c>
      <c r="G616" s="8" t="s">
        <v>21</v>
      </c>
      <c r="H616" s="9"/>
      <c r="I616" s="9"/>
      <c r="J616" s="10">
        <f t="shared" ref="J616:M616" si="399">ifs(OR($H616="R",$I616="N"),"N/A",OR(C616="A",C616="B",C616="C",C616="U"),3,TRUE,"FLAG")</f>
        <v>3</v>
      </c>
      <c r="K616" s="10">
        <f t="shared" si="399"/>
        <v>3</v>
      </c>
      <c r="L616" s="10">
        <f t="shared" si="399"/>
        <v>3</v>
      </c>
      <c r="M616" s="10" t="str">
        <f t="shared" si="399"/>
        <v>FLAG</v>
      </c>
      <c r="N616" s="10" t="str">
        <f t="shared" si="2"/>
        <v>8-2,132(b) - Commercial Drivers' License Act; Driving a commercial vehicle while DL suspended/revoked/cancelled or subject to disqualification</v>
      </c>
      <c r="O616" s="10" t="str">
        <f t="shared" si="3"/>
        <v>Commercial Drivers' License Act</v>
      </c>
    </row>
    <row r="617">
      <c r="A617" s="7" t="s">
        <v>1179</v>
      </c>
      <c r="B617" s="8" t="s">
        <v>1180</v>
      </c>
      <c r="C617" s="8" t="s">
        <v>28</v>
      </c>
      <c r="D617" s="8" t="s">
        <v>19</v>
      </c>
      <c r="E617" s="8" t="s">
        <v>19</v>
      </c>
      <c r="F617" s="8" t="s">
        <v>20</v>
      </c>
      <c r="G617" s="8" t="s">
        <v>21</v>
      </c>
      <c r="H617" s="9"/>
      <c r="I617" s="9"/>
      <c r="J617" s="10">
        <f t="shared" ref="J617:M617" si="400">ifs(OR($H617="R",$I617="N"),"N/A",OR(C617="A",C617="B",C617="C",C617="U"),3,TRUE,"FLAG")</f>
        <v>3</v>
      </c>
      <c r="K617" s="10">
        <f t="shared" si="400"/>
        <v>3</v>
      </c>
      <c r="L617" s="10">
        <f t="shared" si="400"/>
        <v>3</v>
      </c>
      <c r="M617" s="10" t="str">
        <f t="shared" si="400"/>
        <v>FLAG</v>
      </c>
      <c r="N617" s="10" t="str">
        <f t="shared" si="2"/>
        <v>8-2,132(a) - Commercial Drivers' License Act; Driving a commercial vehicle without valid DL</v>
      </c>
      <c r="O617" s="10" t="str">
        <f t="shared" si="3"/>
        <v>Commercial Drivers' License Act</v>
      </c>
    </row>
    <row r="618">
      <c r="A618" s="7" t="s">
        <v>1181</v>
      </c>
      <c r="B618" s="8" t="s">
        <v>1182</v>
      </c>
      <c r="C618" s="8" t="s">
        <v>28</v>
      </c>
      <c r="D618" s="8" t="s">
        <v>19</v>
      </c>
      <c r="E618" s="8" t="s">
        <v>19</v>
      </c>
      <c r="F618" s="8" t="s">
        <v>20</v>
      </c>
      <c r="G618" s="8" t="s">
        <v>21</v>
      </c>
      <c r="H618" s="9"/>
      <c r="I618" s="9"/>
      <c r="J618" s="10">
        <f t="shared" ref="J618:M618" si="401">ifs(OR($H618="R",$I618="N"),"N/A",OR(C618="A",C618="B",C618="C",C618="U"),3,TRUE,"FLAG")</f>
        <v>3</v>
      </c>
      <c r="K618" s="10">
        <f t="shared" si="401"/>
        <v>3</v>
      </c>
      <c r="L618" s="10">
        <f t="shared" si="401"/>
        <v>3</v>
      </c>
      <c r="M618" s="10" t="str">
        <f t="shared" si="401"/>
        <v>FLAG</v>
      </c>
      <c r="N618" s="10" t="str">
        <f t="shared" si="2"/>
        <v>8-2,144(a)(1) - Commercial DUI; Alcohol concentration in the person's blood or breath is .04 or more; 1st conviction</v>
      </c>
      <c r="O618" s="10" t="str">
        <f t="shared" si="3"/>
        <v>Commercial DUI</v>
      </c>
    </row>
    <row r="619">
      <c r="A619" s="7" t="s">
        <v>1183</v>
      </c>
      <c r="B619" s="8" t="s">
        <v>1182</v>
      </c>
      <c r="C619" s="8" t="s">
        <v>27</v>
      </c>
      <c r="D619" s="8" t="s">
        <v>28</v>
      </c>
      <c r="E619" s="8" t="s">
        <v>19</v>
      </c>
      <c r="F619" s="8" t="s">
        <v>20</v>
      </c>
      <c r="G619" s="8" t="s">
        <v>21</v>
      </c>
      <c r="H619" s="9"/>
      <c r="I619" s="9"/>
      <c r="J619" s="10">
        <f t="shared" ref="J619:M619" si="402">ifs(OR($H619="R",$I619="N"),"N/A",OR(C619="A",C619="B",C619="C",C619="U"),3,TRUE,"FLAG")</f>
        <v>3</v>
      </c>
      <c r="K619" s="10">
        <f t="shared" si="402"/>
        <v>3</v>
      </c>
      <c r="L619" s="10">
        <f t="shared" si="402"/>
        <v>3</v>
      </c>
      <c r="M619" s="10" t="str">
        <f t="shared" si="402"/>
        <v>FLAG</v>
      </c>
      <c r="N619" s="10" t="str">
        <f t="shared" si="2"/>
        <v>8-2,144(a)(1) - Commercial DUI; Alcohol concentration in the person's blood or breath is .04 or more; 2nd conviction</v>
      </c>
      <c r="O619" s="10" t="str">
        <f t="shared" si="3"/>
        <v>Commercial DUI</v>
      </c>
    </row>
    <row r="620">
      <c r="A620" s="7" t="s">
        <v>1184</v>
      </c>
      <c r="B620" s="8" t="s">
        <v>1182</v>
      </c>
      <c r="C620" s="8" t="s">
        <v>1185</v>
      </c>
      <c r="D620" s="9"/>
      <c r="E620" s="9"/>
      <c r="F620" s="9"/>
      <c r="G620" s="8" t="s">
        <v>21</v>
      </c>
      <c r="H620" s="9"/>
      <c r="I620" s="9"/>
      <c r="N620" s="10" t="str">
        <f t="shared" si="2"/>
        <v>8-2,144(a)(1) - Commercial DUI; Alcohol concentration in the person's blood or breath is .04 or more; 3rd or subs conviction</v>
      </c>
      <c r="O620" s="10" t="str">
        <f t="shared" si="3"/>
        <v>Commercial DUI</v>
      </c>
    </row>
    <row r="621">
      <c r="A621" s="7" t="s">
        <v>1186</v>
      </c>
      <c r="B621" s="8" t="s">
        <v>1187</v>
      </c>
      <c r="C621" s="8" t="s">
        <v>28</v>
      </c>
      <c r="D621" s="8" t="s">
        <v>19</v>
      </c>
      <c r="E621" s="8" t="s">
        <v>19</v>
      </c>
      <c r="F621" s="8" t="s">
        <v>20</v>
      </c>
      <c r="G621" s="8" t="s">
        <v>21</v>
      </c>
      <c r="H621" s="9"/>
      <c r="I621" s="9"/>
      <c r="J621" s="10">
        <f t="shared" ref="J621:M621" si="403">ifs(OR($H621="R",$I621="N"),"N/A",OR(C621="A",C621="B",C621="C",C621="U"),3,TRUE,"FLAG")</f>
        <v>3</v>
      </c>
      <c r="K621" s="10">
        <f t="shared" si="403"/>
        <v>3</v>
      </c>
      <c r="L621" s="10">
        <f t="shared" si="403"/>
        <v>3</v>
      </c>
      <c r="M621" s="10" t="str">
        <f t="shared" si="403"/>
        <v>FLAG</v>
      </c>
      <c r="N621" s="10" t="str">
        <f t="shared" si="2"/>
        <v>8-2,144(a)(2) - Commercial DUI; Alcohol concentration in the person's blood or breath, as measured within three hours of the time of driving a commercial motor vehicle, is .04 or more; 1st conviction</v>
      </c>
      <c r="O621" s="10" t="str">
        <f t="shared" si="3"/>
        <v>Commercial DUI</v>
      </c>
    </row>
    <row r="622">
      <c r="A622" s="7" t="s">
        <v>1188</v>
      </c>
      <c r="B622" s="8" t="s">
        <v>1187</v>
      </c>
      <c r="C622" s="8" t="s">
        <v>27</v>
      </c>
      <c r="D622" s="8" t="s">
        <v>28</v>
      </c>
      <c r="E622" s="8" t="s">
        <v>19</v>
      </c>
      <c r="F622" s="8" t="s">
        <v>20</v>
      </c>
      <c r="G622" s="8" t="s">
        <v>21</v>
      </c>
      <c r="H622" s="9"/>
      <c r="I622" s="9"/>
      <c r="J622" s="10">
        <f t="shared" ref="J622:M622" si="404">ifs(OR($H622="R",$I622="N"),"N/A",OR(C622="A",C622="B",C622="C",C622="U"),3,TRUE,"FLAG")</f>
        <v>3</v>
      </c>
      <c r="K622" s="10">
        <f t="shared" si="404"/>
        <v>3</v>
      </c>
      <c r="L622" s="10">
        <f t="shared" si="404"/>
        <v>3</v>
      </c>
      <c r="M622" s="10" t="str">
        <f t="shared" si="404"/>
        <v>FLAG</v>
      </c>
      <c r="N622" s="10" t="str">
        <f t="shared" si="2"/>
        <v>8-2,144(a)(2) - Commercial DUI; Alcohol concentration in the person's blood or breath, as measured within three hours of the time of driving a commercial motor vehicle, is .04 or more; 2nd conviction</v>
      </c>
      <c r="O622" s="10" t="str">
        <f t="shared" si="3"/>
        <v>Commercial DUI</v>
      </c>
    </row>
    <row r="623">
      <c r="A623" s="7" t="s">
        <v>1189</v>
      </c>
      <c r="B623" s="8" t="s">
        <v>1187</v>
      </c>
      <c r="C623" s="8" t="s">
        <v>1185</v>
      </c>
      <c r="D623" s="9"/>
      <c r="E623" s="9"/>
      <c r="F623" s="9"/>
      <c r="G623" s="8" t="s">
        <v>21</v>
      </c>
      <c r="H623" s="9"/>
      <c r="I623" s="9"/>
      <c r="N623" s="10" t="str">
        <f t="shared" si="2"/>
        <v>8-2,144(a)(2) - Commercial DUI; Alcohol concentration in the person's blood or breath, as measured within three hours of the time of driving a commercial motor vehicle, is .04 or more; 3rd or subs conviction</v>
      </c>
      <c r="O623" s="10" t="str">
        <f t="shared" si="3"/>
        <v>Commercial DUI</v>
      </c>
    </row>
    <row r="624">
      <c r="A624" s="7" t="s">
        <v>1190</v>
      </c>
      <c r="B624" s="8" t="s">
        <v>1191</v>
      </c>
      <c r="C624" s="8" t="s">
        <v>1185</v>
      </c>
      <c r="D624" s="9"/>
      <c r="E624" s="9"/>
      <c r="F624" s="9"/>
      <c r="G624" s="8" t="s">
        <v>21</v>
      </c>
      <c r="H624" s="9"/>
      <c r="I624" s="9"/>
      <c r="N624" s="10" t="str">
        <f t="shared" si="2"/>
        <v>8-2,144(a)(3) - Commercial DUI; Committing a violation of subsection (a) of K.S.A. 8-1567, or the ordinance of a city or resolution of a county which prohibits any of the acts prohibited there under; 3rd or subs conviction</v>
      </c>
      <c r="O624" s="10" t="str">
        <f t="shared" si="3"/>
        <v>Commercial DUI</v>
      </c>
    </row>
    <row r="625">
      <c r="A625" s="7" t="s">
        <v>1192</v>
      </c>
      <c r="B625" s="8" t="s">
        <v>1191</v>
      </c>
      <c r="C625" s="8" t="s">
        <v>28</v>
      </c>
      <c r="D625" s="8" t="s">
        <v>19</v>
      </c>
      <c r="E625" s="8" t="s">
        <v>19</v>
      </c>
      <c r="F625" s="8" t="s">
        <v>20</v>
      </c>
      <c r="G625" s="8" t="s">
        <v>21</v>
      </c>
      <c r="H625" s="9"/>
      <c r="I625" s="9"/>
      <c r="J625" s="10">
        <f t="shared" ref="J625:M625" si="405">ifs(OR($H625="R",$I625="N"),"N/A",OR(C625="A",C625="B",C625="C",C625="U"),3,TRUE,"FLAG")</f>
        <v>3</v>
      </c>
      <c r="K625" s="10">
        <f t="shared" si="405"/>
        <v>3</v>
      </c>
      <c r="L625" s="10">
        <f t="shared" si="405"/>
        <v>3</v>
      </c>
      <c r="M625" s="10" t="str">
        <f t="shared" si="405"/>
        <v>FLAG</v>
      </c>
      <c r="N625" s="10" t="str">
        <f t="shared" si="2"/>
        <v>8-2,144(a)(3) - Commercial DUI; Committing a violation of subsection (a) of K.S.A. 8-1567, or the ordinance of a city or resolution of a county which prohibits any of the acts prohibited thereunder; 1st conviction</v>
      </c>
      <c r="O625" s="10" t="str">
        <f t="shared" si="3"/>
        <v>Commercial DUI</v>
      </c>
    </row>
    <row r="626">
      <c r="A626" s="7" t="s">
        <v>1193</v>
      </c>
      <c r="B626" s="8" t="s">
        <v>1191</v>
      </c>
      <c r="C626" s="8" t="s">
        <v>27</v>
      </c>
      <c r="D626" s="8" t="s">
        <v>28</v>
      </c>
      <c r="E626" s="8" t="s">
        <v>19</v>
      </c>
      <c r="F626" s="8" t="s">
        <v>20</v>
      </c>
      <c r="G626" s="8" t="s">
        <v>21</v>
      </c>
      <c r="H626" s="9"/>
      <c r="I626" s="9"/>
      <c r="J626" s="10">
        <f t="shared" ref="J626:M626" si="406">ifs(OR($H626="R",$I626="N"),"N/A",OR(C626="A",C626="B",C626="C",C626="U"),3,TRUE,"FLAG")</f>
        <v>3</v>
      </c>
      <c r="K626" s="10">
        <f t="shared" si="406"/>
        <v>3</v>
      </c>
      <c r="L626" s="10">
        <f t="shared" si="406"/>
        <v>3</v>
      </c>
      <c r="M626" s="10" t="str">
        <f t="shared" si="406"/>
        <v>FLAG</v>
      </c>
      <c r="N626" s="10" t="str">
        <f t="shared" si="2"/>
        <v>8-2,144(a)(3) - Commercial DUI; Committing a violation of subsection (a) of K.S.A. 8-1567, or the ordinance of a city or resolution of a county which prohibits any of the acts prohibited thereunder; 2nd conviction</v>
      </c>
      <c r="O626" s="10" t="str">
        <f t="shared" si="3"/>
        <v>Commercial DUI</v>
      </c>
    </row>
    <row r="627">
      <c r="A627" s="7" t="s">
        <v>1194</v>
      </c>
      <c r="B627" s="8" t="s">
        <v>1195</v>
      </c>
      <c r="C627" s="8" t="s">
        <v>27</v>
      </c>
      <c r="D627" s="8" t="s">
        <v>28</v>
      </c>
      <c r="E627" s="8" t="s">
        <v>19</v>
      </c>
      <c r="F627" s="8" t="s">
        <v>20</v>
      </c>
      <c r="G627" s="8" t="s">
        <v>21</v>
      </c>
      <c r="H627" s="9"/>
      <c r="I627" s="9"/>
      <c r="J627" s="10">
        <f t="shared" ref="J627:M627" si="407">ifs(OR($H627="R",$I627="N"),"N/A",OR(C627="A",C627="B",C627="C",C627="U"),3,TRUE,"FLAG")</f>
        <v>3</v>
      </c>
      <c r="K627" s="10">
        <f t="shared" si="407"/>
        <v>3</v>
      </c>
      <c r="L627" s="10">
        <f t="shared" si="407"/>
        <v>3</v>
      </c>
      <c r="M627" s="10" t="str">
        <f t="shared" si="407"/>
        <v>FLAG</v>
      </c>
      <c r="N627" s="10" t="str">
        <f t="shared" si="2"/>
        <v>2-1011(2)(B) - Commercial Feed Stuffs; Fail or neglect to file the tonnage report and pay the inspection fee due thereon as required</v>
      </c>
      <c r="O627" s="10" t="str">
        <f t="shared" si="3"/>
        <v>Commercial Feed Stuffs</v>
      </c>
    </row>
    <row r="628">
      <c r="A628" s="7" t="s">
        <v>1196</v>
      </c>
      <c r="B628" s="8" t="s">
        <v>1197</v>
      </c>
      <c r="C628" s="8" t="s">
        <v>27</v>
      </c>
      <c r="D628" s="8" t="s">
        <v>28</v>
      </c>
      <c r="E628" s="8" t="s">
        <v>19</v>
      </c>
      <c r="F628" s="8" t="s">
        <v>20</v>
      </c>
      <c r="G628" s="8" t="s">
        <v>21</v>
      </c>
      <c r="H628" s="9"/>
      <c r="I628" s="9"/>
      <c r="J628" s="10">
        <f t="shared" ref="J628:M628" si="408">ifs(OR($H628="R",$I628="N"),"N/A",OR(C628="A",C628="B",C628="C",C628="U"),3,TRUE,"FLAG")</f>
        <v>3</v>
      </c>
      <c r="K628" s="10">
        <f t="shared" si="408"/>
        <v>3</v>
      </c>
      <c r="L628" s="10">
        <f t="shared" si="408"/>
        <v>3</v>
      </c>
      <c r="M628" s="10" t="str">
        <f t="shared" si="408"/>
        <v>FLAG</v>
      </c>
      <c r="N628" s="10" t="str">
        <f t="shared" si="2"/>
        <v>2-1011(2)(C) - Commercial Feed Stuffs; File a false report of the tonnage of feeding stuffs sold for any period</v>
      </c>
      <c r="O628" s="10" t="str">
        <f t="shared" si="3"/>
        <v>Commercial Feed Stuffs</v>
      </c>
    </row>
    <row r="629">
      <c r="A629" s="7" t="s">
        <v>1198</v>
      </c>
      <c r="B629" s="8" t="s">
        <v>1199</v>
      </c>
      <c r="C629" s="8" t="s">
        <v>27</v>
      </c>
      <c r="D629" s="8" t="s">
        <v>28</v>
      </c>
      <c r="E629" s="8" t="s">
        <v>19</v>
      </c>
      <c r="F629" s="8" t="s">
        <v>20</v>
      </c>
      <c r="G629" s="8" t="s">
        <v>21</v>
      </c>
      <c r="H629" s="9"/>
      <c r="I629" s="9"/>
      <c r="J629" s="10">
        <f t="shared" ref="J629:M629" si="409">ifs(OR($H629="R",$I629="N"),"N/A",OR(C629="A",C629="B",C629="C",C629="U"),3,TRUE,"FLAG")</f>
        <v>3</v>
      </c>
      <c r="K629" s="10">
        <f t="shared" si="409"/>
        <v>3</v>
      </c>
      <c r="L629" s="10">
        <f t="shared" si="409"/>
        <v>3</v>
      </c>
      <c r="M629" s="10" t="str">
        <f t="shared" si="409"/>
        <v>FLAG</v>
      </c>
      <c r="N629" s="10" t="str">
        <f t="shared" si="2"/>
        <v>2-1011(2)(D) - Commercial Feed Stuffs; Impede, obstruct, hinder or otherwise prevent or attempt to prevent agents charged with the enforcement of the provisions of article 10 of chapter 2 of K.S.A.</v>
      </c>
      <c r="O629" s="10" t="str">
        <f t="shared" si="3"/>
        <v>Commercial Feed Stuffs</v>
      </c>
    </row>
    <row r="630">
      <c r="A630" s="7" t="s">
        <v>1200</v>
      </c>
      <c r="B630" s="8" t="s">
        <v>1201</v>
      </c>
      <c r="C630" s="8" t="s">
        <v>27</v>
      </c>
      <c r="D630" s="8" t="s">
        <v>28</v>
      </c>
      <c r="E630" s="8" t="s">
        <v>19</v>
      </c>
      <c r="F630" s="8" t="s">
        <v>20</v>
      </c>
      <c r="G630" s="8" t="s">
        <v>21</v>
      </c>
      <c r="H630" s="9"/>
      <c r="I630" s="9"/>
      <c r="J630" s="10">
        <f t="shared" ref="J630:M630" si="410">ifs(OR($H630="R",$I630="N"),"N/A",OR(C630="A",C630="B",C630="C",C630="U"),3,TRUE,"FLAG")</f>
        <v>3</v>
      </c>
      <c r="K630" s="10">
        <f t="shared" si="410"/>
        <v>3</v>
      </c>
      <c r="L630" s="10">
        <f t="shared" si="410"/>
        <v>3</v>
      </c>
      <c r="M630" s="10" t="str">
        <f t="shared" si="410"/>
        <v>FLAG</v>
      </c>
      <c r="N630" s="10" t="str">
        <f t="shared" si="2"/>
        <v>2-1011(2)(A) - Commercial Feed Stuffs; Mutilate, destroy, obliterate or remove the label or any part thereof, or any act which may result in misbranding or false labeling</v>
      </c>
      <c r="O630" s="10" t="str">
        <f t="shared" si="3"/>
        <v>Commercial Feed Stuffs</v>
      </c>
    </row>
    <row r="631">
      <c r="A631" s="7" t="s">
        <v>1202</v>
      </c>
      <c r="B631" s="8" t="s">
        <v>1203</v>
      </c>
      <c r="C631" s="8" t="s">
        <v>27</v>
      </c>
      <c r="D631" s="8" t="s">
        <v>28</v>
      </c>
      <c r="E631" s="8" t="s">
        <v>19</v>
      </c>
      <c r="F631" s="8" t="s">
        <v>20</v>
      </c>
      <c r="G631" s="8" t="s">
        <v>21</v>
      </c>
      <c r="H631" s="9"/>
      <c r="I631" s="9"/>
      <c r="J631" s="10">
        <f t="shared" ref="J631:M631" si="411">ifs(OR($H631="R",$I631="N"),"N/A",OR(C631="A",C631="B",C631="C",C631="U"),3,TRUE,"FLAG")</f>
        <v>3</v>
      </c>
      <c r="K631" s="10">
        <f t="shared" si="411"/>
        <v>3</v>
      </c>
      <c r="L631" s="10">
        <f t="shared" si="411"/>
        <v>3</v>
      </c>
      <c r="M631" s="10" t="str">
        <f t="shared" si="411"/>
        <v>FLAG</v>
      </c>
      <c r="N631" s="10" t="str">
        <f t="shared" si="2"/>
        <v>2-1011(1)(D) - Commercial Feed Stuffs; Unlawful sale/distribution; adulterated or containing substance or substances which may render it injurious to public health or the health of livestock, poultry and pets</v>
      </c>
      <c r="O631" s="10" t="str">
        <f t="shared" si="3"/>
        <v>Commercial Feed Stuffs</v>
      </c>
    </row>
    <row r="632">
      <c r="A632" s="7" t="s">
        <v>1204</v>
      </c>
      <c r="B632" s="8" t="s">
        <v>1205</v>
      </c>
      <c r="C632" s="8" t="s">
        <v>27</v>
      </c>
      <c r="D632" s="8" t="s">
        <v>28</v>
      </c>
      <c r="E632" s="8" t="s">
        <v>19</v>
      </c>
      <c r="F632" s="8" t="s">
        <v>20</v>
      </c>
      <c r="G632" s="8" t="s">
        <v>21</v>
      </c>
      <c r="H632" s="9"/>
      <c r="I632" s="9"/>
      <c r="J632" s="10">
        <f t="shared" ref="J632:M632" si="412">ifs(OR($H632="R",$I632="N"),"N/A",OR(C632="A",C632="B",C632="C",C632="U"),3,TRUE,"FLAG")</f>
        <v>3</v>
      </c>
      <c r="K632" s="10">
        <f t="shared" si="412"/>
        <v>3</v>
      </c>
      <c r="L632" s="10">
        <f t="shared" si="412"/>
        <v>3</v>
      </c>
      <c r="M632" s="10" t="str">
        <f t="shared" si="412"/>
        <v>FLAG</v>
      </c>
      <c r="N632" s="10" t="str">
        <f t="shared" si="2"/>
        <v>2-1011(1)(C) - Commercial Feed Stuffs; Unlawful sale/distribution; bearing false/misleading statement on the label or the advertising</v>
      </c>
      <c r="O632" s="10" t="str">
        <f t="shared" si="3"/>
        <v>Commercial Feed Stuffs</v>
      </c>
    </row>
    <row r="633">
      <c r="A633" s="7" t="s">
        <v>1206</v>
      </c>
      <c r="B633" s="8" t="s">
        <v>1207</v>
      </c>
      <c r="C633" s="8" t="s">
        <v>27</v>
      </c>
      <c r="D633" s="8" t="s">
        <v>28</v>
      </c>
      <c r="E633" s="8" t="s">
        <v>19</v>
      </c>
      <c r="F633" s="8" t="s">
        <v>20</v>
      </c>
      <c r="G633" s="8" t="s">
        <v>21</v>
      </c>
      <c r="H633" s="9"/>
      <c r="I633" s="9"/>
      <c r="J633" s="10">
        <f t="shared" ref="J633:M633" si="413">ifs(OR($H633="R",$I633="N"),"N/A",OR(C633="A",C633="B",C633="C",C633="U"),3,TRUE,"FLAG")</f>
        <v>3</v>
      </c>
      <c r="K633" s="10">
        <f t="shared" si="413"/>
        <v>3</v>
      </c>
      <c r="L633" s="10">
        <f t="shared" si="413"/>
        <v>3</v>
      </c>
      <c r="M633" s="10" t="str">
        <f t="shared" si="413"/>
        <v>FLAG</v>
      </c>
      <c r="N633" s="10" t="str">
        <f t="shared" si="2"/>
        <v>2-1011(1)(B) - Commercial Feed Stuffs; Unlawful sale/distribution; not labeled as required by law</v>
      </c>
      <c r="O633" s="10" t="str">
        <f t="shared" si="3"/>
        <v>Commercial Feed Stuffs</v>
      </c>
    </row>
    <row r="634">
      <c r="A634" s="7" t="s">
        <v>1208</v>
      </c>
      <c r="B634" s="8" t="s">
        <v>1209</v>
      </c>
      <c r="C634" s="8" t="s">
        <v>27</v>
      </c>
      <c r="D634" s="8" t="s">
        <v>28</v>
      </c>
      <c r="E634" s="8" t="s">
        <v>19</v>
      </c>
      <c r="F634" s="8" t="s">
        <v>20</v>
      </c>
      <c r="G634" s="8" t="s">
        <v>21</v>
      </c>
      <c r="H634" s="9"/>
      <c r="I634" s="9"/>
      <c r="J634" s="10">
        <f t="shared" ref="J634:M634" si="414">ifs(OR($H634="R",$I634="N"),"N/A",OR(C634="A",C634="B",C634="C",C634="U"),3,TRUE,"FLAG")</f>
        <v>3</v>
      </c>
      <c r="K634" s="10">
        <f t="shared" si="414"/>
        <v>3</v>
      </c>
      <c r="L634" s="10">
        <f t="shared" si="414"/>
        <v>3</v>
      </c>
      <c r="M634" s="10" t="str">
        <f t="shared" si="414"/>
        <v>FLAG</v>
      </c>
      <c r="N634" s="10" t="str">
        <f t="shared" si="2"/>
        <v>2-1011(1)(A) - Commercial Feed Stuffs; Unlawful sale/distribution; not licensed</v>
      </c>
      <c r="O634" s="10" t="str">
        <f t="shared" si="3"/>
        <v>Commercial Feed Stuffs</v>
      </c>
    </row>
    <row r="635">
      <c r="A635" s="7" t="s">
        <v>1210</v>
      </c>
      <c r="B635" s="8" t="s">
        <v>1211</v>
      </c>
      <c r="C635" s="8" t="s">
        <v>18</v>
      </c>
      <c r="D635" s="8" t="s">
        <v>18</v>
      </c>
      <c r="E635" s="8" t="s">
        <v>19</v>
      </c>
      <c r="F635" s="8" t="s">
        <v>20</v>
      </c>
      <c r="G635" s="8" t="s">
        <v>21</v>
      </c>
      <c r="H635" s="9"/>
      <c r="I635" s="9"/>
      <c r="J635" s="10">
        <f t="shared" ref="J635:M635" si="415">ifs(OR($H635="R",$I635="N"),"N/A",OR(C635="A",C635="B",C635="C",C635="U"),3,TRUE,"FLAG")</f>
        <v>3</v>
      </c>
      <c r="K635" s="10">
        <f t="shared" si="415"/>
        <v>3</v>
      </c>
      <c r="L635" s="10">
        <f t="shared" si="415"/>
        <v>3</v>
      </c>
      <c r="M635" s="10" t="str">
        <f t="shared" si="415"/>
        <v>FLAG</v>
      </c>
      <c r="N635" s="10" t="str">
        <f t="shared" si="2"/>
        <v>2-1208(1)(c) - Commercial Fertilizers; Sale/distribution of; fertilizer bears a false or misleading statement on the application for registration, the label or the advertising</v>
      </c>
      <c r="O635" s="10" t="str">
        <f t="shared" si="3"/>
        <v>Commercial Fertilizers</v>
      </c>
    </row>
    <row r="636">
      <c r="A636" s="7" t="s">
        <v>1212</v>
      </c>
      <c r="B636" s="8" t="s">
        <v>1213</v>
      </c>
      <c r="C636" s="8" t="s">
        <v>18</v>
      </c>
      <c r="D636" s="8" t="s">
        <v>18</v>
      </c>
      <c r="E636" s="8" t="s">
        <v>19</v>
      </c>
      <c r="F636" s="8" t="s">
        <v>20</v>
      </c>
      <c r="G636" s="8" t="s">
        <v>21</v>
      </c>
      <c r="H636" s="9"/>
      <c r="I636" s="9"/>
      <c r="J636" s="10">
        <f t="shared" ref="J636:M636" si="416">ifs(OR($H636="R",$I636="N"),"N/A",OR(C636="A",C636="B",C636="C",C636="U"),3,TRUE,"FLAG")</f>
        <v>3</v>
      </c>
      <c r="K636" s="10">
        <f t="shared" si="416"/>
        <v>3</v>
      </c>
      <c r="L636" s="10">
        <f t="shared" si="416"/>
        <v>3</v>
      </c>
      <c r="M636" s="10" t="str">
        <f t="shared" si="416"/>
        <v>FLAG</v>
      </c>
      <c r="N636" s="10" t="str">
        <f t="shared" si="2"/>
        <v>2-1208(1)(b) - Commercial Fertilizers; Sale/distribution of; fertilizer not labeled as required</v>
      </c>
      <c r="O636" s="10" t="str">
        <f t="shared" si="3"/>
        <v>Commercial Fertilizers</v>
      </c>
    </row>
    <row r="637">
      <c r="A637" s="7" t="s">
        <v>1214</v>
      </c>
      <c r="B637" s="8" t="s">
        <v>1215</v>
      </c>
      <c r="C637" s="8" t="s">
        <v>18</v>
      </c>
      <c r="D637" s="8" t="s">
        <v>18</v>
      </c>
      <c r="E637" s="8" t="s">
        <v>19</v>
      </c>
      <c r="F637" s="8" t="s">
        <v>20</v>
      </c>
      <c r="G637" s="8" t="s">
        <v>21</v>
      </c>
      <c r="H637" s="9"/>
      <c r="I637" s="9"/>
      <c r="J637" s="10">
        <f t="shared" ref="J637:M637" si="417">ifs(OR($H637="R",$I637="N"),"N/A",OR(C637="A",C637="B",C637="C",C637="U"),3,TRUE,"FLAG")</f>
        <v>3</v>
      </c>
      <c r="K637" s="10">
        <f t="shared" si="417"/>
        <v>3</v>
      </c>
      <c r="L637" s="10">
        <f t="shared" si="417"/>
        <v>3</v>
      </c>
      <c r="M637" s="10" t="str">
        <f t="shared" si="417"/>
        <v>FLAG</v>
      </c>
      <c r="N637" s="10" t="str">
        <f t="shared" si="2"/>
        <v>2-1208(1)(a) - Commercial Fertilizers; Sale/distribution of; fertilizer not registered</v>
      </c>
      <c r="O637" s="10" t="str">
        <f t="shared" si="3"/>
        <v>Commercial Fertilizers</v>
      </c>
    </row>
    <row r="638">
      <c r="A638" s="7" t="s">
        <v>1216</v>
      </c>
      <c r="B638" s="8" t="s">
        <v>1217</v>
      </c>
      <c r="C638" s="8" t="s">
        <v>27</v>
      </c>
      <c r="D638" s="8" t="s">
        <v>28</v>
      </c>
      <c r="E638" s="8" t="s">
        <v>19</v>
      </c>
      <c r="F638" s="8" t="s">
        <v>20</v>
      </c>
      <c r="G638" s="8" t="s">
        <v>21</v>
      </c>
      <c r="H638" s="9"/>
      <c r="I638" s="9"/>
      <c r="J638" s="10">
        <f t="shared" ref="J638:M638" si="418">ifs(OR($H638="R",$I638="N"),"N/A",OR(C638="A",C638="B",C638="C",C638="U"),3,TRUE,"FLAG")</f>
        <v>3</v>
      </c>
      <c r="K638" s="10">
        <f t="shared" si="418"/>
        <v>3</v>
      </c>
      <c r="L638" s="10">
        <f t="shared" si="418"/>
        <v>3</v>
      </c>
      <c r="M638" s="10" t="str">
        <f t="shared" si="418"/>
        <v>FLAG</v>
      </c>
      <c r="N638" s="10" t="str">
        <f t="shared" si="2"/>
        <v>21-5811(a)(2) - Commercial Fossil Hunting; Remove fossils from property without landowners consent</v>
      </c>
      <c r="O638" s="10" t="str">
        <f t="shared" si="3"/>
        <v>Commercial Fossil Hunting</v>
      </c>
    </row>
    <row r="639">
      <c r="A639" s="7" t="s">
        <v>1218</v>
      </c>
      <c r="B639" s="8" t="s">
        <v>1219</v>
      </c>
      <c r="C639" s="8" t="s">
        <v>28</v>
      </c>
      <c r="D639" s="8" t="s">
        <v>19</v>
      </c>
      <c r="E639" s="8" t="s">
        <v>19</v>
      </c>
      <c r="F639" s="8" t="s">
        <v>20</v>
      </c>
      <c r="G639" s="8" t="s">
        <v>21</v>
      </c>
      <c r="H639" s="9"/>
      <c r="I639" s="9"/>
      <c r="J639" s="10">
        <f t="shared" ref="J639:M639" si="419">ifs(OR($H639="R",$I639="N"),"N/A",OR(C639="A",C639="B",C639="C",C639="U"),3,TRUE,"FLAG")</f>
        <v>3</v>
      </c>
      <c r="K639" s="10">
        <f t="shared" si="419"/>
        <v>3</v>
      </c>
      <c r="L639" s="10">
        <f t="shared" si="419"/>
        <v>3</v>
      </c>
      <c r="M639" s="10" t="str">
        <f t="shared" si="419"/>
        <v>FLAG</v>
      </c>
      <c r="N639" s="10" t="str">
        <f t="shared" si="2"/>
        <v>21-5811(a)(1) - Commercial Fossil Hunting; Without written authorization of the landowner</v>
      </c>
      <c r="O639" s="10" t="str">
        <f t="shared" si="3"/>
        <v>Commercial Fossil Hunting</v>
      </c>
    </row>
    <row r="640">
      <c r="A640" s="7" t="s">
        <v>1220</v>
      </c>
      <c r="B640" s="8" t="s">
        <v>1221</v>
      </c>
      <c r="C640" s="8">
        <v>8.0</v>
      </c>
      <c r="D640" s="8">
        <v>10.0</v>
      </c>
      <c r="E640" s="8">
        <v>10.0</v>
      </c>
      <c r="F640" s="8">
        <v>10.0</v>
      </c>
      <c r="G640" s="8" t="s">
        <v>21</v>
      </c>
      <c r="H640" s="9"/>
      <c r="I640" s="9"/>
      <c r="N640" s="10" t="str">
        <f t="shared" si="2"/>
        <v>21-6406(a)(1)(D) - Commercial Gambling; Knowingly conduct a lottery, or possess facilities to do so with such intent</v>
      </c>
      <c r="O640" s="10" t="str">
        <f t="shared" si="3"/>
        <v>Commercial Gambling</v>
      </c>
    </row>
    <row r="641">
      <c r="A641" s="7" t="s">
        <v>1222</v>
      </c>
      <c r="B641" s="8" t="s">
        <v>1223</v>
      </c>
      <c r="C641" s="8" t="s">
        <v>28</v>
      </c>
      <c r="D641" s="8" t="s">
        <v>19</v>
      </c>
      <c r="E641" s="8" t="s">
        <v>19</v>
      </c>
      <c r="F641" s="8" t="s">
        <v>20</v>
      </c>
      <c r="G641" s="8" t="s">
        <v>21</v>
      </c>
      <c r="H641" s="9"/>
      <c r="I641" s="9"/>
      <c r="J641" s="10">
        <f t="shared" ref="J641:M641" si="420">ifs(OR($H641="R",$I641="N"),"N/A",OR(C641="A",C641="B",C641="C",C641="U"),3,TRUE,"FLAG")</f>
        <v>3</v>
      </c>
      <c r="K641" s="10">
        <f t="shared" si="420"/>
        <v>3</v>
      </c>
      <c r="L641" s="10">
        <f t="shared" si="420"/>
        <v>3</v>
      </c>
      <c r="M641" s="10" t="str">
        <f t="shared" si="420"/>
        <v>FLAG</v>
      </c>
      <c r="N641" s="10" t="str">
        <f t="shared" si="2"/>
        <v>21-6406(a)(2)(A) - Commercial Gambling; Knowingly grant the use or allow the continued use of a place as a gambling place</v>
      </c>
      <c r="O641" s="10" t="str">
        <f t="shared" si="3"/>
        <v>Commercial Gambling</v>
      </c>
    </row>
    <row r="642">
      <c r="A642" s="7" t="s">
        <v>1224</v>
      </c>
      <c r="B642" s="8" t="s">
        <v>1225</v>
      </c>
      <c r="C642" s="8">
        <v>8.0</v>
      </c>
      <c r="D642" s="8">
        <v>10.0</v>
      </c>
      <c r="E642" s="8">
        <v>10.0</v>
      </c>
      <c r="F642" s="8">
        <v>10.0</v>
      </c>
      <c r="G642" s="8" t="s">
        <v>21</v>
      </c>
      <c r="H642" s="9"/>
      <c r="I642" s="9"/>
      <c r="N642" s="10" t="str">
        <f t="shared" si="2"/>
        <v>21-6406(a)(1)(A) - Commercial Gambling; Knowingly operate or receive earnings of a gambling place</v>
      </c>
      <c r="O642" s="10" t="str">
        <f t="shared" si="3"/>
        <v>Commercial Gambling</v>
      </c>
    </row>
    <row r="643">
      <c r="A643" s="7" t="s">
        <v>1226</v>
      </c>
      <c r="B643" s="8" t="s">
        <v>1227</v>
      </c>
      <c r="C643" s="8" t="s">
        <v>28</v>
      </c>
      <c r="D643" s="8" t="s">
        <v>19</v>
      </c>
      <c r="E643" s="8" t="s">
        <v>19</v>
      </c>
      <c r="F643" s="8" t="s">
        <v>20</v>
      </c>
      <c r="G643" s="8" t="s">
        <v>21</v>
      </c>
      <c r="H643" s="9"/>
      <c r="I643" s="9"/>
      <c r="J643" s="10">
        <f t="shared" ref="J643:M643" si="421">ifs(OR($H643="R",$I643="N"),"N/A",OR(C643="A",C643="B",C643="C",C643="U"),3,TRUE,"FLAG")</f>
        <v>3</v>
      </c>
      <c r="K643" s="10">
        <f t="shared" si="421"/>
        <v>3</v>
      </c>
      <c r="L643" s="10">
        <f t="shared" si="421"/>
        <v>3</v>
      </c>
      <c r="M643" s="10" t="str">
        <f t="shared" si="421"/>
        <v>FLAG</v>
      </c>
      <c r="N643" s="10" t="str">
        <f t="shared" si="2"/>
        <v>21-6406(a)(2)(B) - Commercial Gambling; Knowingly permit another to set up a gambling device for use in a place under the offender's control</v>
      </c>
      <c r="O643" s="10" t="str">
        <f t="shared" si="3"/>
        <v>Commercial Gambling</v>
      </c>
    </row>
    <row r="644">
      <c r="A644" s="7" t="s">
        <v>1228</v>
      </c>
      <c r="B644" s="8" t="s">
        <v>1229</v>
      </c>
      <c r="C644" s="8">
        <v>8.0</v>
      </c>
      <c r="D644" s="8">
        <v>10.0</v>
      </c>
      <c r="E644" s="8">
        <v>10.0</v>
      </c>
      <c r="F644" s="8">
        <v>10.0</v>
      </c>
      <c r="G644" s="8" t="s">
        <v>21</v>
      </c>
      <c r="H644" s="9"/>
      <c r="I644" s="9"/>
      <c r="N644" s="10" t="str">
        <f t="shared" si="2"/>
        <v>21-6406(a)(1)(B) - Commercial Gambling; Knowingly receive/record/forward bets or offers to bet or, possess facilities to do so with such intent</v>
      </c>
      <c r="O644" s="10" t="str">
        <f t="shared" si="3"/>
        <v>Commercial Gambling</v>
      </c>
    </row>
    <row r="645">
      <c r="A645" s="7" t="s">
        <v>1230</v>
      </c>
      <c r="B645" s="8" t="s">
        <v>1231</v>
      </c>
      <c r="C645" s="8">
        <v>8.0</v>
      </c>
      <c r="D645" s="8">
        <v>10.0</v>
      </c>
      <c r="E645" s="8">
        <v>10.0</v>
      </c>
      <c r="F645" s="8">
        <v>10.0</v>
      </c>
      <c r="G645" s="8" t="s">
        <v>21</v>
      </c>
      <c r="H645" s="9"/>
      <c r="I645" s="9"/>
      <c r="N645" s="10" t="str">
        <f t="shared" si="2"/>
        <v>21-6406(a)(1)(E) - Commercial Gambling; Knowingly set up for use or collect the proceeds of any gambling device</v>
      </c>
      <c r="O645" s="10" t="str">
        <f t="shared" si="3"/>
        <v>Commercial Gambling</v>
      </c>
    </row>
    <row r="646">
      <c r="A646" s="7" t="s">
        <v>1232</v>
      </c>
      <c r="B646" s="8" t="s">
        <v>1233</v>
      </c>
      <c r="C646" s="8">
        <v>8.0</v>
      </c>
      <c r="D646" s="8">
        <v>10.0</v>
      </c>
      <c r="E646" s="8">
        <v>10.0</v>
      </c>
      <c r="F646" s="8">
        <v>10.0</v>
      </c>
      <c r="G646" s="8" t="s">
        <v>21</v>
      </c>
      <c r="H646" s="9"/>
      <c r="I646" s="9"/>
      <c r="N646" s="10" t="str">
        <f t="shared" si="2"/>
        <v>21-6406(a)(1)(C) - Commercial Gambling; Knowingly/for gain, become a custodian of anything of value bet or offered to be bet</v>
      </c>
      <c r="O646" s="10" t="str">
        <f t="shared" si="3"/>
        <v>Commercial Gambling</v>
      </c>
    </row>
    <row r="647">
      <c r="A647" s="7" t="s">
        <v>1234</v>
      </c>
      <c r="B647" s="8" t="s">
        <v>1235</v>
      </c>
      <c r="C647" s="8" t="s">
        <v>178</v>
      </c>
      <c r="D647" s="8" t="s">
        <v>179</v>
      </c>
      <c r="E647" s="8" t="s">
        <v>179</v>
      </c>
      <c r="F647" s="8" t="s">
        <v>179</v>
      </c>
      <c r="G647" s="8" t="s">
        <v>24</v>
      </c>
      <c r="H647" s="8" t="s">
        <v>109</v>
      </c>
      <c r="I647" s="9"/>
      <c r="N647" s="10" t="str">
        <f t="shared" si="2"/>
        <v>21-6422(a)(1)(B) - Commercial Sexual Exploitation of a Child; Knowingly offering, giving or receiving anything of value to procure a patron, where there is an exchange of value, to procure or solicit a person under 18 to perform sexual acts; offender 18 or older and victim under 14</v>
      </c>
      <c r="O647" s="10" t="str">
        <f t="shared" si="3"/>
        <v>Commercial Sexual Exploitation of a Child</v>
      </c>
    </row>
    <row r="648">
      <c r="A648" s="7" t="s">
        <v>1236</v>
      </c>
      <c r="B648" s="8" t="s">
        <v>1235</v>
      </c>
      <c r="C648" s="8">
        <v>5.0</v>
      </c>
      <c r="D648" s="8">
        <v>7.0</v>
      </c>
      <c r="E648" s="8">
        <v>7.0</v>
      </c>
      <c r="F648" s="8">
        <v>8.0</v>
      </c>
      <c r="G648" s="8" t="s">
        <v>24</v>
      </c>
      <c r="H648" s="8" t="s">
        <v>109</v>
      </c>
      <c r="I648" s="9"/>
      <c r="N648" s="10" t="str">
        <f t="shared" si="2"/>
        <v>21-6422(a)(1)(B) - Commercial Sexual Exploitation of a Child; Knowingly offering, giving or receiving anything of value to procure a patron, where there is an exchange of value, to procure or solicit a person under 18 to to perform sexual acts; offender has no prior convictions under this section; victim not under 14 or offender not 18 or older</v>
      </c>
      <c r="O648" s="10" t="str">
        <f t="shared" si="3"/>
        <v>Commercial Sexual Exploitation of a Child</v>
      </c>
    </row>
    <row r="649">
      <c r="A649" s="7" t="s">
        <v>1237</v>
      </c>
      <c r="B649" s="8" t="s">
        <v>1235</v>
      </c>
      <c r="C649" s="8">
        <v>2.0</v>
      </c>
      <c r="D649" s="8">
        <v>4.0</v>
      </c>
      <c r="E649" s="8">
        <v>4.0</v>
      </c>
      <c r="F649" s="8">
        <v>5.0</v>
      </c>
      <c r="G649" s="8" t="s">
        <v>24</v>
      </c>
      <c r="H649" s="8" t="s">
        <v>109</v>
      </c>
      <c r="I649" s="9"/>
      <c r="N649" s="10" t="str">
        <f t="shared" si="2"/>
        <v>21-6422(a)(1)(B) - Commercial Sexual Exploitation of a Child; Knowingly offering, giving or receiving anything of value to procure a patron, where there is an exchange of value, to procure or solicit a person under 18 to to perform sexual acts; offender has prior conviction under this section; victim not under 14 or offender not 18 or older</v>
      </c>
      <c r="O649" s="10" t="str">
        <f t="shared" si="3"/>
        <v>Commercial Sexual Exploitation of a Child</v>
      </c>
    </row>
    <row r="650">
      <c r="A650" s="7" t="s">
        <v>1238</v>
      </c>
      <c r="B650" s="8" t="s">
        <v>1239</v>
      </c>
      <c r="C650" s="8" t="s">
        <v>178</v>
      </c>
      <c r="D650" s="8" t="s">
        <v>179</v>
      </c>
      <c r="E650" s="8" t="s">
        <v>179</v>
      </c>
      <c r="F650" s="8" t="s">
        <v>179</v>
      </c>
      <c r="G650" s="8" t="s">
        <v>24</v>
      </c>
      <c r="H650" s="8" t="s">
        <v>109</v>
      </c>
      <c r="I650" s="9"/>
      <c r="N650" s="10" t="str">
        <f t="shared" si="2"/>
        <v>21-6422(a)(1)(A) - Commercial Sexual Exploitation of a Child; Knowingly offering, giving or receiving anything of value to procure or solicit a person under 18 to perform sexual acts; offender 18 or older and victim under 14</v>
      </c>
      <c r="O650" s="10" t="str">
        <f t="shared" si="3"/>
        <v>Commercial Sexual Exploitation of a Child</v>
      </c>
    </row>
    <row r="651">
      <c r="A651" s="7" t="s">
        <v>1240</v>
      </c>
      <c r="B651" s="8" t="s">
        <v>1239</v>
      </c>
      <c r="C651" s="8">
        <v>5.0</v>
      </c>
      <c r="D651" s="8">
        <v>7.0</v>
      </c>
      <c r="E651" s="8">
        <v>7.0</v>
      </c>
      <c r="F651" s="8">
        <v>8.0</v>
      </c>
      <c r="G651" s="8" t="s">
        <v>24</v>
      </c>
      <c r="H651" s="8" t="s">
        <v>109</v>
      </c>
      <c r="I651" s="9"/>
      <c r="N651" s="10" t="str">
        <f t="shared" si="2"/>
        <v>21-6422(a)(1)(A) - Commercial Sexual Exploitation of a Child; Knowingly offering, giving or receiving anything of value to procure or solicit a person under 18 to perform sexual acts; offender has no prior convictions under this section; victim not under 14 or offender not 18 or older</v>
      </c>
      <c r="O651" s="10" t="str">
        <f t="shared" si="3"/>
        <v>Commercial Sexual Exploitation of a Child</v>
      </c>
    </row>
    <row r="652">
      <c r="A652" s="7" t="s">
        <v>1241</v>
      </c>
      <c r="B652" s="8" t="s">
        <v>1239</v>
      </c>
      <c r="C652" s="8">
        <v>2.0</v>
      </c>
      <c r="D652" s="8">
        <v>4.0</v>
      </c>
      <c r="E652" s="8">
        <v>4.0</v>
      </c>
      <c r="F652" s="8">
        <v>5.0</v>
      </c>
      <c r="G652" s="8" t="s">
        <v>24</v>
      </c>
      <c r="H652" s="8" t="s">
        <v>109</v>
      </c>
      <c r="I652" s="9"/>
      <c r="N652" s="10" t="str">
        <f t="shared" si="2"/>
        <v>21-6422(a)(1)(A) - Commercial Sexual Exploitation of a Child; Knowingly offering, giving or receiving anything of value to procure or solicit a person under 18 to perform sexual acts; offender has prior conviction under this section; victim not under 14 or offender not 18 or older</v>
      </c>
      <c r="O652" s="10" t="str">
        <f t="shared" si="3"/>
        <v>Commercial Sexual Exploitation of a Child</v>
      </c>
    </row>
    <row r="653">
      <c r="A653" s="7" t="s">
        <v>1242</v>
      </c>
      <c r="B653" s="8" t="s">
        <v>1243</v>
      </c>
      <c r="C653" s="8" t="s">
        <v>178</v>
      </c>
      <c r="D653" s="8" t="s">
        <v>179</v>
      </c>
      <c r="E653" s="8" t="s">
        <v>179</v>
      </c>
      <c r="F653" s="8" t="s">
        <v>179</v>
      </c>
      <c r="G653" s="8" t="s">
        <v>24</v>
      </c>
      <c r="H653" s="8" t="s">
        <v>109</v>
      </c>
      <c r="I653" s="9"/>
      <c r="N653" s="10" t="str">
        <f t="shared" si="2"/>
        <v>21-6422(a)(2) - Commercial Sexual Exploitation of a Child; Knowingly own or maintain any property where sexual relations are offered or sold by a person under 18; offender 18 or older and victim under 14</v>
      </c>
      <c r="O653" s="10" t="str">
        <f t="shared" si="3"/>
        <v>Commercial Sexual Exploitation of a Child</v>
      </c>
    </row>
    <row r="654">
      <c r="A654" s="7" t="s">
        <v>1244</v>
      </c>
      <c r="B654" s="8" t="s">
        <v>1243</v>
      </c>
      <c r="C654" s="8">
        <v>5.0</v>
      </c>
      <c r="D654" s="8">
        <v>7.0</v>
      </c>
      <c r="E654" s="8">
        <v>7.0</v>
      </c>
      <c r="F654" s="8">
        <v>8.0</v>
      </c>
      <c r="G654" s="8" t="s">
        <v>24</v>
      </c>
      <c r="H654" s="8" t="s">
        <v>109</v>
      </c>
      <c r="I654" s="9"/>
      <c r="N654" s="10" t="str">
        <f t="shared" si="2"/>
        <v>21-6422(a)(2) - Commercial Sexual Exploitation of a Child; Knowingly own or maintain any property where sexual relations are offered or sold by a person under 18; offender has no prior convictions under this section; victim not under 14 and offender not 18 or older</v>
      </c>
      <c r="O654" s="10" t="str">
        <f t="shared" si="3"/>
        <v>Commercial Sexual Exploitation of a Child</v>
      </c>
    </row>
    <row r="655">
      <c r="A655" s="7" t="s">
        <v>1245</v>
      </c>
      <c r="B655" s="8" t="s">
        <v>1243</v>
      </c>
      <c r="C655" s="8">
        <v>2.0</v>
      </c>
      <c r="D655" s="8">
        <v>4.0</v>
      </c>
      <c r="E655" s="8">
        <v>4.0</v>
      </c>
      <c r="F655" s="8">
        <v>5.0</v>
      </c>
      <c r="G655" s="8" t="s">
        <v>24</v>
      </c>
      <c r="H655" s="8" t="s">
        <v>109</v>
      </c>
      <c r="I655" s="9"/>
      <c r="N655" s="10" t="str">
        <f t="shared" si="2"/>
        <v>21-6422(a)(2) - Commercial Sexual Exploitation of a Child; Knowingly own or maintain any property where sexual relations are offered or sold by a person under 18; offender has prior conviction under this section; victim not under 14 and offender not 18 or older</v>
      </c>
      <c r="O655" s="10" t="str">
        <f t="shared" si="3"/>
        <v>Commercial Sexual Exploitation of a Child</v>
      </c>
    </row>
    <row r="656">
      <c r="A656" s="7" t="s">
        <v>1246</v>
      </c>
      <c r="B656" s="8" t="s">
        <v>1247</v>
      </c>
      <c r="C656" s="8" t="s">
        <v>178</v>
      </c>
      <c r="D656" s="8" t="s">
        <v>179</v>
      </c>
      <c r="E656" s="8" t="s">
        <v>179</v>
      </c>
      <c r="F656" s="8" t="s">
        <v>179</v>
      </c>
      <c r="G656" s="8" t="s">
        <v>24</v>
      </c>
      <c r="H656" s="8" t="s">
        <v>109</v>
      </c>
      <c r="I656" s="9"/>
      <c r="N656" s="10" t="str">
        <f t="shared" si="2"/>
        <v>21-6422(a)(3) - Commercial Sexual Exploitation of a Child; Knowingly permit property to be used as place where sexual relations are offered or sold by a person under 18; offender 18 or older and victim under 14</v>
      </c>
      <c r="O656" s="10" t="str">
        <f t="shared" si="3"/>
        <v>Commercial Sexual Exploitation of a Child</v>
      </c>
    </row>
    <row r="657">
      <c r="A657" s="7" t="s">
        <v>1248</v>
      </c>
      <c r="B657" s="8" t="s">
        <v>1247</v>
      </c>
      <c r="C657" s="8">
        <v>5.0</v>
      </c>
      <c r="D657" s="8">
        <v>7.0</v>
      </c>
      <c r="E657" s="8">
        <v>7.0</v>
      </c>
      <c r="F657" s="8">
        <v>8.0</v>
      </c>
      <c r="G657" s="8" t="s">
        <v>24</v>
      </c>
      <c r="H657" s="8" t="s">
        <v>109</v>
      </c>
      <c r="I657" s="9"/>
      <c r="N657" s="10" t="str">
        <f t="shared" si="2"/>
        <v>21-6422(a)(3) - Commercial Sexual Exploitation of a Child; Knowingly permit property to be used as place where sexual relations are offered or sold by a person under 18; offender has no prior convictions under this section; victim not under 14 or offender not 18 or older</v>
      </c>
      <c r="O657" s="10" t="str">
        <f t="shared" si="3"/>
        <v>Commercial Sexual Exploitation of a Child</v>
      </c>
    </row>
    <row r="658">
      <c r="A658" s="7" t="s">
        <v>1249</v>
      </c>
      <c r="B658" s="8" t="s">
        <v>1247</v>
      </c>
      <c r="C658" s="8">
        <v>2.0</v>
      </c>
      <c r="D658" s="8">
        <v>4.0</v>
      </c>
      <c r="E658" s="8">
        <v>4.0</v>
      </c>
      <c r="F658" s="8">
        <v>5.0</v>
      </c>
      <c r="G658" s="8" t="s">
        <v>24</v>
      </c>
      <c r="H658" s="8" t="s">
        <v>109</v>
      </c>
      <c r="I658" s="9"/>
      <c r="N658" s="10" t="str">
        <f t="shared" si="2"/>
        <v>21-6422(a)(3) - Commercial Sexual Exploitation of a Child; Knowingly permit property to be used as place where sexual relations are offered or sold by a person under 18; offender has prior conviction under this section; victim not under 14 or offender not 18 or older</v>
      </c>
      <c r="O658" s="10" t="str">
        <f t="shared" si="3"/>
        <v>Commercial Sexual Exploitation of a Child</v>
      </c>
    </row>
    <row r="659">
      <c r="A659" s="7" t="s">
        <v>1250</v>
      </c>
      <c r="B659" s="8" t="s">
        <v>1251</v>
      </c>
      <c r="C659" s="8" t="s">
        <v>178</v>
      </c>
      <c r="D659" s="8" t="s">
        <v>179</v>
      </c>
      <c r="E659" s="8" t="s">
        <v>179</v>
      </c>
      <c r="F659" s="8" t="s">
        <v>179</v>
      </c>
      <c r="G659" s="8" t="s">
        <v>24</v>
      </c>
      <c r="H659" s="8" t="s">
        <v>109</v>
      </c>
      <c r="I659" s="9"/>
      <c r="N659" s="10" t="str">
        <f t="shared" si="2"/>
        <v>21-6422(a)(4) - Commercial Sexual Exploitation of a Child; Knowingly procure, pay for or provide transportation of a person under 18 with the intent to assist in selling sexual acts; offender 18 or older and victim under 14</v>
      </c>
      <c r="O659" s="10" t="str">
        <f t="shared" si="3"/>
        <v>Commercial Sexual Exploitation of a Child</v>
      </c>
    </row>
    <row r="660">
      <c r="A660" s="7" t="s">
        <v>1252</v>
      </c>
      <c r="B660" s="8" t="s">
        <v>1251</v>
      </c>
      <c r="C660" s="8">
        <v>5.0</v>
      </c>
      <c r="D660" s="8">
        <v>7.0</v>
      </c>
      <c r="E660" s="8">
        <v>7.0</v>
      </c>
      <c r="F660" s="8">
        <v>8.0</v>
      </c>
      <c r="G660" s="8" t="s">
        <v>24</v>
      </c>
      <c r="H660" s="8" t="s">
        <v>109</v>
      </c>
      <c r="I660" s="9"/>
      <c r="N660" s="10" t="str">
        <f t="shared" si="2"/>
        <v>21-6422(a)(4) - Commercial Sexual Exploitation of a Child; Knowingly procure, pay for or provide transportation of a person under 18 with the intent to assist in selling sexual relations; offender has no prior convictions under this section; victim not under 14 or offender not 18 or older</v>
      </c>
      <c r="O660" s="10" t="str">
        <f t="shared" si="3"/>
        <v>Commercial Sexual Exploitation of a Child</v>
      </c>
    </row>
    <row r="661">
      <c r="A661" s="7" t="s">
        <v>1253</v>
      </c>
      <c r="B661" s="8" t="s">
        <v>1251</v>
      </c>
      <c r="C661" s="8">
        <v>2.0</v>
      </c>
      <c r="D661" s="8">
        <v>4.0</v>
      </c>
      <c r="E661" s="8">
        <v>4.0</v>
      </c>
      <c r="F661" s="8">
        <v>5.0</v>
      </c>
      <c r="G661" s="8" t="s">
        <v>24</v>
      </c>
      <c r="H661" s="8" t="s">
        <v>109</v>
      </c>
      <c r="I661" s="9"/>
      <c r="N661" s="10" t="str">
        <f t="shared" si="2"/>
        <v>21-6422(a)(4) - Commercial Sexual Exploitation of a Child; Knowingly procure, pay for or provide transportation of a person under 18 with the intent to assist in selling sexual relations; offender has prior conviction under this section; victim not under 14 or offender not 18 or older</v>
      </c>
      <c r="O661" s="10" t="str">
        <f t="shared" si="3"/>
        <v>Commercial Sexual Exploitation of a Child</v>
      </c>
    </row>
    <row r="662">
      <c r="A662" s="7" t="s">
        <v>1254</v>
      </c>
      <c r="B662" s="8" t="s">
        <v>1255</v>
      </c>
      <c r="C662" s="8">
        <v>10.0</v>
      </c>
      <c r="D662" s="8">
        <v>10.0</v>
      </c>
      <c r="E662" s="8">
        <v>10.0</v>
      </c>
      <c r="F662" s="8">
        <v>10.0</v>
      </c>
      <c r="G662" s="8" t="s">
        <v>21</v>
      </c>
      <c r="H662" s="9"/>
      <c r="I662" s="9"/>
      <c r="N662" s="10" t="str">
        <f t="shared" si="2"/>
        <v>32-1005(a)(1) - Commercialization of Wildlife; Capture, kill, possess certain animals; value of $1,000 or more</v>
      </c>
      <c r="O662" s="10" t="str">
        <f t="shared" si="3"/>
        <v>Commercialization of Wildlife</v>
      </c>
    </row>
    <row r="663">
      <c r="A663" s="7" t="s">
        <v>1256</v>
      </c>
      <c r="B663" s="8" t="s">
        <v>1257</v>
      </c>
      <c r="C663" s="8">
        <v>10.0</v>
      </c>
      <c r="D663" s="8">
        <v>10.0</v>
      </c>
      <c r="E663" s="8">
        <v>10.0</v>
      </c>
      <c r="F663" s="8">
        <v>10.0</v>
      </c>
      <c r="G663" s="8" t="s">
        <v>21</v>
      </c>
      <c r="H663" s="9"/>
      <c r="I663" s="9"/>
      <c r="N663" s="10" t="str">
        <f t="shared" si="2"/>
        <v>32-1005(a)(4) - Commercialization of Wildlife; Purchase for use or consumption certain animals; value of $1,000 or more</v>
      </c>
      <c r="O663" s="10" t="str">
        <f t="shared" si="3"/>
        <v>Commercialization of Wildlife</v>
      </c>
    </row>
    <row r="664">
      <c r="A664" s="7" t="s">
        <v>1258</v>
      </c>
      <c r="B664" s="8" t="s">
        <v>1259</v>
      </c>
      <c r="C664" s="8">
        <v>10.0</v>
      </c>
      <c r="D664" s="8">
        <v>10.0</v>
      </c>
      <c r="E664" s="8">
        <v>10.0</v>
      </c>
      <c r="F664" s="8">
        <v>10.0</v>
      </c>
      <c r="G664" s="8" t="s">
        <v>21</v>
      </c>
      <c r="H664" s="9"/>
      <c r="I664" s="9"/>
      <c r="N664" s="10" t="str">
        <f t="shared" si="2"/>
        <v>32-1005(a)(2) - Commercialization of Wildlife; Sell, barter, purchase certain animals; value of $1,000 or more</v>
      </c>
      <c r="O664" s="10" t="str">
        <f t="shared" si="3"/>
        <v>Commercialization of Wildlife</v>
      </c>
    </row>
    <row r="665">
      <c r="A665" s="7" t="s">
        <v>1260</v>
      </c>
      <c r="B665" s="8" t="s">
        <v>1261</v>
      </c>
      <c r="C665" s="8">
        <v>10.0</v>
      </c>
      <c r="D665" s="8">
        <v>10.0</v>
      </c>
      <c r="E665" s="8">
        <v>10.0</v>
      </c>
      <c r="F665" s="8">
        <v>10.0</v>
      </c>
      <c r="G665" s="8" t="s">
        <v>21</v>
      </c>
      <c r="H665" s="9"/>
      <c r="I665" s="9"/>
      <c r="N665" s="10" t="str">
        <f t="shared" si="2"/>
        <v>32-1005(a)(3) - Commercialization of Wildlife; Ship, transport, receive certain animals; value of $1,000 or more</v>
      </c>
      <c r="O665" s="10" t="str">
        <f t="shared" si="3"/>
        <v>Commercialization of Wildlife</v>
      </c>
    </row>
    <row r="666">
      <c r="A666" s="7" t="s">
        <v>1262</v>
      </c>
      <c r="B666" s="8" t="s">
        <v>1263</v>
      </c>
      <c r="C666" s="8" t="s">
        <v>27</v>
      </c>
      <c r="D666" s="8" t="s">
        <v>28</v>
      </c>
      <c r="E666" s="8" t="s">
        <v>19</v>
      </c>
      <c r="F666" s="8" t="s">
        <v>20</v>
      </c>
      <c r="G666" s="8" t="s">
        <v>21</v>
      </c>
      <c r="H666" s="9"/>
      <c r="I666" s="9"/>
      <c r="J666" s="10">
        <f t="shared" ref="J666:M666" si="422">ifs(OR($H666="R",$I666="N"),"N/A",OR(C666="A",C666="B",C666="C",C666="U"),3,TRUE,"FLAG")</f>
        <v>3</v>
      </c>
      <c r="K666" s="10">
        <f t="shared" si="422"/>
        <v>3</v>
      </c>
      <c r="L666" s="10">
        <f t="shared" si="422"/>
        <v>3</v>
      </c>
      <c r="M666" s="10" t="str">
        <f t="shared" si="422"/>
        <v>FLAG</v>
      </c>
      <c r="N666" s="10" t="str">
        <f t="shared" si="2"/>
        <v>22-3905(a) - Common Nuisance; Maintenance of a Common Nuisance</v>
      </c>
      <c r="O666" s="10" t="str">
        <f t="shared" si="3"/>
        <v>Common Nuisance</v>
      </c>
    </row>
    <row r="667">
      <c r="A667" s="7" t="s">
        <v>1264</v>
      </c>
      <c r="B667" s="8" t="s">
        <v>1265</v>
      </c>
      <c r="C667" s="8" t="s">
        <v>28</v>
      </c>
      <c r="D667" s="8" t="s">
        <v>19</v>
      </c>
      <c r="E667" s="8" t="s">
        <v>19</v>
      </c>
      <c r="F667" s="8" t="s">
        <v>20</v>
      </c>
      <c r="G667" s="8" t="s">
        <v>21</v>
      </c>
      <c r="H667" s="9"/>
      <c r="I667" s="9"/>
      <c r="J667" s="10">
        <f t="shared" ref="J667:M667" si="423">ifs(OR($H667="R",$I667="N"),"N/A",OR(C667="A",C667="B",C667="C",C667="U"),3,TRUE,"FLAG")</f>
        <v>3</v>
      </c>
      <c r="K667" s="10">
        <f t="shared" si="423"/>
        <v>3</v>
      </c>
      <c r="L667" s="10">
        <f t="shared" si="423"/>
        <v>3</v>
      </c>
      <c r="M667" s="10" t="str">
        <f t="shared" si="423"/>
        <v>FLAG</v>
      </c>
      <c r="N667" s="10" t="str">
        <f t="shared" si="2"/>
        <v>21-6003(a) - Compensation for Past Official Acts</v>
      </c>
      <c r="O667" s="10" t="str">
        <f t="shared" si="3"/>
        <v>Compensation for Past Official Acts</v>
      </c>
    </row>
    <row r="668">
      <c r="A668" s="7" t="s">
        <v>1266</v>
      </c>
      <c r="B668" s="8" t="s">
        <v>1267</v>
      </c>
      <c r="C668" s="8" t="s">
        <v>27</v>
      </c>
      <c r="D668" s="8" t="s">
        <v>28</v>
      </c>
      <c r="E668" s="8" t="s">
        <v>19</v>
      </c>
      <c r="F668" s="8" t="s">
        <v>20</v>
      </c>
      <c r="G668" s="8" t="s">
        <v>21</v>
      </c>
      <c r="H668" s="9"/>
      <c r="I668" s="9"/>
      <c r="J668" s="10">
        <f t="shared" ref="J668:M668" si="424">ifs(OR($H668="R",$I668="N"),"N/A",OR(C668="A",C668="B",C668="C",C668="U"),3,TRUE,"FLAG")</f>
        <v>3</v>
      </c>
      <c r="K668" s="10">
        <f t="shared" si="424"/>
        <v>3</v>
      </c>
      <c r="L668" s="10">
        <f t="shared" si="424"/>
        <v>3</v>
      </c>
      <c r="M668" s="10" t="str">
        <f t="shared" si="424"/>
        <v>FLAG</v>
      </c>
      <c r="N668" s="10" t="str">
        <f t="shared" si="2"/>
        <v>21-5839(a)(4) - Computer Crime: Knowing and unauthorized disclosure of number, code or password to access computer or computer network, social networking website or personal electronic content</v>
      </c>
      <c r="O668" s="10" t="str">
        <f t="shared" si="3"/>
        <v>Computer Crime: Knowing and unauthorized disclosure of number, code or password to access computer or computer network, social networking website or personal electronic content</v>
      </c>
    </row>
    <row r="669">
      <c r="A669" s="7" t="s">
        <v>1268</v>
      </c>
      <c r="B669" s="8" t="s">
        <v>1269</v>
      </c>
      <c r="C669" s="8" t="s">
        <v>27</v>
      </c>
      <c r="D669" s="8" t="s">
        <v>28</v>
      </c>
      <c r="E669" s="8" t="s">
        <v>19</v>
      </c>
      <c r="F669" s="8" t="s">
        <v>20</v>
      </c>
      <c r="G669" s="8" t="s">
        <v>21</v>
      </c>
      <c r="H669" s="9"/>
      <c r="I669" s="9"/>
      <c r="J669" s="10">
        <f t="shared" ref="J669:M669" si="425">ifs(OR($H669="R",$I669="N"),"N/A",OR(C669="A",C669="B",C669="C",C669="U"),3,TRUE,"FLAG")</f>
        <v>3</v>
      </c>
      <c r="K669" s="10">
        <f t="shared" si="425"/>
        <v>3</v>
      </c>
      <c r="L669" s="10">
        <f t="shared" si="425"/>
        <v>3</v>
      </c>
      <c r="M669" s="10" t="str">
        <f t="shared" si="425"/>
        <v>FLAG</v>
      </c>
      <c r="N669" s="10" t="str">
        <f t="shared" si="2"/>
        <v>21-5839(a)(5) - Computer Crime: Knowingly and without authorization access or attempt to access computer, computer system, social networking website, computer network or software, program, documentation, data or property contained therein</v>
      </c>
      <c r="O669" s="10" t="str">
        <f t="shared" si="3"/>
        <v>Computer Crime: Knowingly and without authorization access or attempt to access computer, computer system, social networking website, computer network or software, program, documentation, data or property contained therein</v>
      </c>
    </row>
    <row r="670">
      <c r="A670" s="7" t="s">
        <v>1270</v>
      </c>
      <c r="B670" s="8" t="s">
        <v>1271</v>
      </c>
      <c r="C670" s="8">
        <v>8.0</v>
      </c>
      <c r="D670" s="8">
        <v>10.0</v>
      </c>
      <c r="E670" s="8">
        <v>10.0</v>
      </c>
      <c r="F670" s="8">
        <v>10.0</v>
      </c>
      <c r="G670" s="8" t="s">
        <v>21</v>
      </c>
      <c r="H670" s="9"/>
      <c r="I670" s="9"/>
      <c r="N670" s="10" t="str">
        <f t="shared" si="2"/>
        <v>21-5839(a)(1) - Computer Crime; Knowingly and without authorization access, damage, modify, alter, destroy, copy, disclose or take possession of a computer, computer system, computer network or other property</v>
      </c>
      <c r="O670" s="10" t="str">
        <f t="shared" si="3"/>
        <v>Computer Crime</v>
      </c>
    </row>
    <row r="671">
      <c r="A671" s="7" t="s">
        <v>1272</v>
      </c>
      <c r="B671" s="8" t="s">
        <v>1271</v>
      </c>
      <c r="C671" s="8">
        <v>5.0</v>
      </c>
      <c r="D671" s="8">
        <v>7.0</v>
      </c>
      <c r="E671" s="8">
        <v>7.0</v>
      </c>
      <c r="F671" s="8">
        <v>8.0</v>
      </c>
      <c r="G671" s="8" t="s">
        <v>21</v>
      </c>
      <c r="H671" s="9"/>
      <c r="I671" s="9"/>
      <c r="N671" s="10" t="str">
        <f t="shared" si="2"/>
        <v>21-5839(a)(1) - Computer Crime; Knowingly and without authorization access, damage, modify, alter, destroy, copy, disclose or take possession of a computer, computer system, computer network or other property; if monetary loss to victim is more than $100,000</v>
      </c>
      <c r="O671" s="10" t="str">
        <f t="shared" si="3"/>
        <v>Computer Crime</v>
      </c>
    </row>
    <row r="672">
      <c r="A672" s="7" t="s">
        <v>1273</v>
      </c>
      <c r="B672" s="8" t="s">
        <v>1274</v>
      </c>
      <c r="C672" s="8">
        <v>8.0</v>
      </c>
      <c r="D672" s="8">
        <v>10.0</v>
      </c>
      <c r="E672" s="8">
        <v>10.0</v>
      </c>
      <c r="F672" s="8">
        <v>10.0</v>
      </c>
      <c r="G672" s="8" t="s">
        <v>21</v>
      </c>
      <c r="H672" s="9"/>
      <c r="I672" s="9"/>
      <c r="N672" s="10" t="str">
        <f t="shared" si="2"/>
        <v>21-5839(a)(3) - Computer Crime; Knowingly exceed the limits of authorization and damage, modify, alter, destroy, copy, disclose or take possession of a computer, computer system, computer network or any other property</v>
      </c>
      <c r="O672" s="10" t="str">
        <f t="shared" si="3"/>
        <v>Computer Crime</v>
      </c>
    </row>
    <row r="673">
      <c r="A673" s="7" t="s">
        <v>1275</v>
      </c>
      <c r="B673" s="8" t="s">
        <v>1274</v>
      </c>
      <c r="C673" s="8">
        <v>5.0</v>
      </c>
      <c r="D673" s="8">
        <v>7.0</v>
      </c>
      <c r="E673" s="8">
        <v>7.0</v>
      </c>
      <c r="F673" s="8">
        <v>8.0</v>
      </c>
      <c r="G673" s="8" t="s">
        <v>21</v>
      </c>
      <c r="H673" s="9"/>
      <c r="I673" s="9"/>
      <c r="N673" s="10" t="str">
        <f t="shared" si="2"/>
        <v>21-5839(a)(3) - Computer Crime; Knowingly exceed the limits of authorization and damage, modify, alter, destroy, copy, disclose or take possession of a computer, computer system, computer network or any other property; if monetary loss to victim is more than $100,000</v>
      </c>
      <c r="O673" s="10" t="str">
        <f t="shared" si="3"/>
        <v>Computer Crime</v>
      </c>
    </row>
    <row r="674">
      <c r="A674" s="7" t="s">
        <v>1276</v>
      </c>
      <c r="B674" s="8" t="s">
        <v>1277</v>
      </c>
      <c r="C674" s="8">
        <v>8.0</v>
      </c>
      <c r="D674" s="8">
        <v>10.0</v>
      </c>
      <c r="E674" s="8">
        <v>10.0</v>
      </c>
      <c r="F674" s="8">
        <v>10.0</v>
      </c>
      <c r="G674" s="8" t="s">
        <v>21</v>
      </c>
      <c r="H674" s="9"/>
      <c r="I674" s="9"/>
      <c r="N674" s="10" t="str">
        <f t="shared" si="2"/>
        <v>21-5839(a)(2) - Computer Crime; Use computer, computer system, computer network or other property for purpose of devising or executing scheme or artifice with intent to defraud</v>
      </c>
      <c r="O674" s="10" t="str">
        <f t="shared" si="3"/>
        <v>Computer Crime</v>
      </c>
    </row>
    <row r="675">
      <c r="A675" s="7" t="s">
        <v>1278</v>
      </c>
      <c r="B675" s="8" t="s">
        <v>1277</v>
      </c>
      <c r="C675" s="8">
        <v>5.0</v>
      </c>
      <c r="D675" s="8">
        <v>7.0</v>
      </c>
      <c r="E675" s="8">
        <v>7.0</v>
      </c>
      <c r="F675" s="8">
        <v>8.0</v>
      </c>
      <c r="G675" s="8" t="s">
        <v>21</v>
      </c>
      <c r="H675" s="9"/>
      <c r="I675" s="9"/>
      <c r="N675" s="10" t="str">
        <f t="shared" si="2"/>
        <v>21-5839(a)(2) - Computer Crime; Use computer, computer system, computer network or other property for purpose of devising or executing scheme or artifice with intent to defraud; if monetary loss to victim is more than $100,000</v>
      </c>
      <c r="O675" s="10" t="str">
        <f t="shared" si="3"/>
        <v>Computer Crime</v>
      </c>
    </row>
    <row r="676">
      <c r="A676" s="7" t="s">
        <v>1279</v>
      </c>
      <c r="B676" s="8" t="s">
        <v>1280</v>
      </c>
      <c r="C676" s="8" t="s">
        <v>18</v>
      </c>
      <c r="D676" s="8" t="s">
        <v>18</v>
      </c>
      <c r="E676" s="8" t="s">
        <v>19</v>
      </c>
      <c r="F676" s="8" t="s">
        <v>20</v>
      </c>
      <c r="G676" s="8" t="s">
        <v>21</v>
      </c>
      <c r="H676" s="9"/>
      <c r="I676" s="9"/>
      <c r="J676" s="10">
        <f t="shared" ref="J676:M676" si="426">ifs(OR($H676="R",$I676="N"),"N/A",OR(C676="A",C676="B",C676="C",C676="U"),3,TRUE,"FLAG")</f>
        <v>3</v>
      </c>
      <c r="K676" s="10">
        <f t="shared" si="426"/>
        <v>3</v>
      </c>
      <c r="L676" s="10">
        <f t="shared" si="426"/>
        <v>3</v>
      </c>
      <c r="M676" s="10" t="str">
        <f t="shared" si="426"/>
        <v>FLAG</v>
      </c>
      <c r="N676" s="10" t="str">
        <f t="shared" si="2"/>
        <v>75-7c10(a) - Concealed Handgun; Carrying concealed handgun into statutorily prohibited locations; 1st or 2nd offense</v>
      </c>
      <c r="O676" s="10" t="str">
        <f t="shared" si="3"/>
        <v>Concealed Handgun</v>
      </c>
    </row>
    <row r="677">
      <c r="A677" s="7" t="s">
        <v>1281</v>
      </c>
      <c r="B677" s="8" t="s">
        <v>1280</v>
      </c>
      <c r="C677" s="8" t="s">
        <v>28</v>
      </c>
      <c r="D677" s="8" t="s">
        <v>19</v>
      </c>
      <c r="E677" s="8" t="s">
        <v>19</v>
      </c>
      <c r="F677" s="8" t="s">
        <v>20</v>
      </c>
      <c r="G677" s="8" t="s">
        <v>21</v>
      </c>
      <c r="H677" s="9"/>
      <c r="I677" s="9"/>
      <c r="J677" s="10">
        <f t="shared" ref="J677:M677" si="427">ifs(OR($H677="R",$I677="N"),"N/A",OR(C677="A",C677="B",C677="C",C677="U"),3,TRUE,"FLAG")</f>
        <v>3</v>
      </c>
      <c r="K677" s="10">
        <f t="shared" si="427"/>
        <v>3</v>
      </c>
      <c r="L677" s="10">
        <f t="shared" si="427"/>
        <v>3</v>
      </c>
      <c r="M677" s="10" t="str">
        <f t="shared" si="427"/>
        <v>FLAG</v>
      </c>
      <c r="N677" s="10" t="str">
        <f t="shared" si="2"/>
        <v>75-7c10(a) - Concealed Handgun; Carrying concealed handgun into statutorily prohibited locations; 3rd or subs. offense</v>
      </c>
      <c r="O677" s="10" t="str">
        <f t="shared" si="3"/>
        <v>Concealed Handgun</v>
      </c>
    </row>
    <row r="678">
      <c r="A678" s="7" t="s">
        <v>1282</v>
      </c>
      <c r="B678" s="8" t="s">
        <v>1283</v>
      </c>
      <c r="C678" s="8" t="s">
        <v>19</v>
      </c>
      <c r="D678" s="8" t="s">
        <v>19</v>
      </c>
      <c r="E678" s="8" t="s">
        <v>19</v>
      </c>
      <c r="F678" s="8" t="s">
        <v>20</v>
      </c>
      <c r="G678" s="8" t="s">
        <v>21</v>
      </c>
      <c r="H678" s="9"/>
      <c r="I678" s="9"/>
      <c r="J678" s="10">
        <f t="shared" ref="J678:M678" si="428">ifs(OR($H678="R",$I678="N"),"N/A",OR(C678="A",C678="B",C678="C",C678="U"),3,TRUE,"FLAG")</f>
        <v>3</v>
      </c>
      <c r="K678" s="10">
        <f t="shared" si="428"/>
        <v>3</v>
      </c>
      <c r="L678" s="10">
        <f t="shared" si="428"/>
        <v>3</v>
      </c>
      <c r="M678" s="10" t="str">
        <f t="shared" si="428"/>
        <v>FLAG</v>
      </c>
      <c r="N678" s="10" t="str">
        <f t="shared" si="2"/>
        <v>60-4708(c) - Construction Defects; Member or officer of an executive board accepting anything of value in exchange for encouraging or discouraging the filing of a claim for damages arising from a construction defect</v>
      </c>
      <c r="O678" s="10" t="str">
        <f t="shared" si="3"/>
        <v>Construction Defects</v>
      </c>
    </row>
    <row r="679">
      <c r="A679" s="7" t="s">
        <v>1284</v>
      </c>
      <c r="B679" s="8" t="s">
        <v>1285</v>
      </c>
      <c r="C679" s="8" t="s">
        <v>19</v>
      </c>
      <c r="D679" s="8" t="s">
        <v>19</v>
      </c>
      <c r="E679" s="8" t="s">
        <v>19</v>
      </c>
      <c r="F679" s="8" t="s">
        <v>20</v>
      </c>
      <c r="G679" s="8" t="s">
        <v>21</v>
      </c>
      <c r="H679" s="9"/>
      <c r="I679" s="9"/>
      <c r="J679" s="10">
        <f t="shared" ref="J679:M679" si="429">ifs(OR($H679="R",$I679="N"),"N/A",OR(C679="A",C679="B",C679="C",C679="U"),3,TRUE,"FLAG")</f>
        <v>3</v>
      </c>
      <c r="K679" s="10">
        <f t="shared" si="429"/>
        <v>3</v>
      </c>
      <c r="L679" s="10">
        <f t="shared" si="429"/>
        <v>3</v>
      </c>
      <c r="M679" s="10" t="str">
        <f t="shared" si="429"/>
        <v>FLAG</v>
      </c>
      <c r="N679" s="10" t="str">
        <f t="shared" si="2"/>
        <v>60-4708(a) - Construction Defects; Offer anything of value to a property manager of an association or member or officer of an executive board of an association to induce, encourage or discourage the filing of a claim for damages arising from a construction defect</v>
      </c>
      <c r="O679" s="10" t="str">
        <f t="shared" si="3"/>
        <v>Construction Defects</v>
      </c>
    </row>
    <row r="680">
      <c r="A680" s="7" t="s">
        <v>1286</v>
      </c>
      <c r="B680" s="8" t="s">
        <v>1287</v>
      </c>
      <c r="C680" s="8" t="s">
        <v>19</v>
      </c>
      <c r="D680" s="8" t="s">
        <v>19</v>
      </c>
      <c r="E680" s="8" t="s">
        <v>19</v>
      </c>
      <c r="F680" s="8" t="s">
        <v>20</v>
      </c>
      <c r="G680" s="8" t="s">
        <v>21</v>
      </c>
      <c r="H680" s="9"/>
      <c r="I680" s="9"/>
      <c r="J680" s="10">
        <f t="shared" ref="J680:M680" si="430">ifs(OR($H680="R",$I680="N"),"N/A",OR(C680="A",C680="B",C680="C",C680="U"),3,TRUE,"FLAG")</f>
        <v>3</v>
      </c>
      <c r="K680" s="10">
        <f t="shared" si="430"/>
        <v>3</v>
      </c>
      <c r="L680" s="10">
        <f t="shared" si="430"/>
        <v>3</v>
      </c>
      <c r="M680" s="10" t="str">
        <f t="shared" si="430"/>
        <v>FLAG</v>
      </c>
      <c r="N680" s="10" t="str">
        <f t="shared" si="2"/>
        <v>60-4708(b) - Construction Defects; Property manager accepting anything of value given in exchange for encouraging or discouraging the filing of a claim for damages arising from a construction defect</v>
      </c>
      <c r="O680" s="10" t="str">
        <f t="shared" si="3"/>
        <v>Construction Defects</v>
      </c>
    </row>
    <row r="681">
      <c r="A681" s="7" t="s">
        <v>1288</v>
      </c>
      <c r="B681" s="8" t="s">
        <v>1289</v>
      </c>
      <c r="C681" s="8" t="s">
        <v>27</v>
      </c>
      <c r="D681" s="8" t="s">
        <v>28</v>
      </c>
      <c r="E681" s="8" t="s">
        <v>19</v>
      </c>
      <c r="F681" s="8" t="s">
        <v>20</v>
      </c>
      <c r="G681" s="8" t="s">
        <v>21</v>
      </c>
      <c r="H681" s="9"/>
      <c r="I681" s="9"/>
      <c r="J681" s="10">
        <f t="shared" ref="J681:M681" si="431">ifs(OR($H681="R",$I681="N"),"N/A",OR(C681="A",C681="B",C681="C",C681="U"),3,TRUE,"FLAG")</f>
        <v>3</v>
      </c>
      <c r="K681" s="10">
        <f t="shared" si="431"/>
        <v>3</v>
      </c>
      <c r="L681" s="10">
        <f t="shared" si="431"/>
        <v>3</v>
      </c>
      <c r="M681" s="10" t="str">
        <f t="shared" si="431"/>
        <v>FLAG</v>
      </c>
      <c r="N681" s="10" t="str">
        <f t="shared" si="2"/>
        <v>50-6a04(a) - Consumer Protection Act; Affixing of cigarette stamps and meter impressions (falsely representing)</v>
      </c>
      <c r="O681" s="10" t="str">
        <f t="shared" si="3"/>
        <v>Consumer Protection Act</v>
      </c>
    </row>
    <row r="682">
      <c r="A682" s="7" t="s">
        <v>1290</v>
      </c>
      <c r="B682" s="8" t="s">
        <v>1291</v>
      </c>
      <c r="C682" s="8" t="s">
        <v>19</v>
      </c>
      <c r="D682" s="8" t="s">
        <v>19</v>
      </c>
      <c r="E682" s="8" t="s">
        <v>19</v>
      </c>
      <c r="F682" s="8" t="s">
        <v>20</v>
      </c>
      <c r="G682" s="8" t="s">
        <v>21</v>
      </c>
      <c r="H682" s="9"/>
      <c r="I682" s="9"/>
      <c r="J682" s="10">
        <f t="shared" ref="J682:M682" si="432">ifs(OR($H682="R",$I682="N"),"N/A",OR(C682="A",C682="B",C682="C",C682="U"),3,TRUE,"FLAG")</f>
        <v>3</v>
      </c>
      <c r="K682" s="10">
        <f t="shared" si="432"/>
        <v>3</v>
      </c>
      <c r="L682" s="10">
        <f t="shared" si="432"/>
        <v>3</v>
      </c>
      <c r="M682" s="10" t="str">
        <f t="shared" si="432"/>
        <v>FLAG</v>
      </c>
      <c r="N682" s="10" t="str">
        <f t="shared" si="2"/>
        <v>50-620 - Consumer Protection Act; Certain information as to ownership of junk required; register</v>
      </c>
      <c r="O682" s="10" t="str">
        <f t="shared" si="3"/>
        <v>Consumer Protection Act</v>
      </c>
    </row>
    <row r="683">
      <c r="A683" s="7" t="s">
        <v>1292</v>
      </c>
      <c r="B683" s="8" t="s">
        <v>1293</v>
      </c>
      <c r="C683" s="8" t="s">
        <v>19</v>
      </c>
      <c r="D683" s="8" t="s">
        <v>19</v>
      </c>
      <c r="E683" s="8" t="s">
        <v>19</v>
      </c>
      <c r="F683" s="8" t="s">
        <v>20</v>
      </c>
      <c r="G683" s="8" t="s">
        <v>21</v>
      </c>
      <c r="H683" s="9"/>
      <c r="I683" s="9"/>
      <c r="J683" s="10">
        <f t="shared" ref="J683:M683" si="433">ifs(OR($H683="R",$I683="N"),"N/A",OR(C683="A",C683="B",C683="C",C683="U"),3,TRUE,"FLAG")</f>
        <v>3</v>
      </c>
      <c r="K683" s="10">
        <f t="shared" si="433"/>
        <v>3</v>
      </c>
      <c r="L683" s="10">
        <f t="shared" si="433"/>
        <v>3</v>
      </c>
      <c r="M683" s="10" t="str">
        <f t="shared" si="433"/>
        <v>FLAG</v>
      </c>
      <c r="N683" s="10" t="str">
        <f t="shared" si="2"/>
        <v>50-626(a) - Consumer Protection Act; Engaging in any deceptive act or practice in connection with a consumer transaction; deceptive acts and practices defined in subsection (b)</v>
      </c>
      <c r="O683" s="10" t="str">
        <f t="shared" si="3"/>
        <v>Consumer Protection Act</v>
      </c>
    </row>
    <row r="684">
      <c r="A684" s="7" t="s">
        <v>1294</v>
      </c>
      <c r="B684" s="8" t="s">
        <v>1295</v>
      </c>
      <c r="C684" s="8">
        <v>9.0</v>
      </c>
      <c r="D684" s="8">
        <v>10.0</v>
      </c>
      <c r="E684" s="8">
        <v>10.0</v>
      </c>
      <c r="F684" s="8">
        <v>10.0</v>
      </c>
      <c r="G684" s="8" t="s">
        <v>24</v>
      </c>
      <c r="H684" s="9"/>
      <c r="I684" s="9"/>
      <c r="N684" s="10" t="str">
        <f t="shared" si="2"/>
        <v>21-6423 - Consumer Protection Act; engaging in door-to-door sales</v>
      </c>
      <c r="O684" s="10" t="str">
        <f t="shared" si="3"/>
        <v>Consumer Protection Act</v>
      </c>
    </row>
    <row r="685">
      <c r="A685" s="7" t="s">
        <v>1296</v>
      </c>
      <c r="B685" s="8" t="s">
        <v>1297</v>
      </c>
      <c r="C685" s="8" t="s">
        <v>19</v>
      </c>
      <c r="D685" s="8" t="s">
        <v>19</v>
      </c>
      <c r="E685" s="8" t="s">
        <v>19</v>
      </c>
      <c r="F685" s="8" t="s">
        <v>20</v>
      </c>
      <c r="G685" s="8" t="s">
        <v>21</v>
      </c>
      <c r="H685" s="9"/>
      <c r="I685" s="9"/>
      <c r="J685" s="10">
        <f t="shared" ref="J685:M685" si="434">ifs(OR($H685="R",$I685="N"),"N/A",OR(C685="A",C685="B",C685="C",C685="U"),3,TRUE,"FLAG")</f>
        <v>3</v>
      </c>
      <c r="K685" s="10">
        <f t="shared" si="434"/>
        <v>3</v>
      </c>
      <c r="L685" s="10">
        <f t="shared" si="434"/>
        <v>3</v>
      </c>
      <c r="M685" s="10" t="str">
        <f t="shared" si="434"/>
        <v>FLAG</v>
      </c>
      <c r="N685" s="10" t="str">
        <f t="shared" si="2"/>
        <v>50-621 - Consumer Protection Act; Junk dealer; purchasing items of junk without receiving information on ownership from seller; fail to file and maintain a record of ownership as required</v>
      </c>
      <c r="O685" s="10" t="str">
        <f t="shared" si="3"/>
        <v>Consumer Protection Act</v>
      </c>
    </row>
    <row r="686">
      <c r="A686" s="7" t="s">
        <v>1298</v>
      </c>
      <c r="B686" s="8" t="s">
        <v>1299</v>
      </c>
      <c r="C686" s="8" t="s">
        <v>19</v>
      </c>
      <c r="D686" s="8" t="s">
        <v>19</v>
      </c>
      <c r="E686" s="8" t="s">
        <v>19</v>
      </c>
      <c r="F686" s="8" t="s">
        <v>20</v>
      </c>
      <c r="G686" s="8" t="s">
        <v>21</v>
      </c>
      <c r="H686" s="9"/>
      <c r="I686" s="9"/>
      <c r="J686" s="10">
        <f t="shared" ref="J686:M686" si="435">ifs(OR($H686="R",$I686="N"),"N/A",OR(C686="A",C686="B",C686="C",C686="U"),3,TRUE,"FLAG")</f>
        <v>3</v>
      </c>
      <c r="K686" s="10">
        <f t="shared" si="435"/>
        <v>3</v>
      </c>
      <c r="L686" s="10">
        <f t="shared" si="435"/>
        <v>3</v>
      </c>
      <c r="M686" s="10" t="str">
        <f t="shared" si="435"/>
        <v>FLAG</v>
      </c>
      <c r="N686" s="10" t="str">
        <f t="shared" si="2"/>
        <v>50-627(a) - Consumer Protection Act; Unconscionable acts and practices</v>
      </c>
      <c r="O686" s="10" t="str">
        <f t="shared" si="3"/>
        <v>Consumer Protection Act</v>
      </c>
    </row>
    <row r="687">
      <c r="A687" s="7" t="s">
        <v>1300</v>
      </c>
      <c r="B687" s="8" t="s">
        <v>1301</v>
      </c>
      <c r="C687" s="8" t="s">
        <v>27</v>
      </c>
      <c r="D687" s="8" t="s">
        <v>28</v>
      </c>
      <c r="E687" s="8" t="s">
        <v>19</v>
      </c>
      <c r="F687" s="8" t="s">
        <v>20</v>
      </c>
      <c r="G687" s="8" t="s">
        <v>21</v>
      </c>
      <c r="H687" s="9"/>
      <c r="I687" s="9"/>
      <c r="J687" s="10">
        <f t="shared" ref="J687:M687" si="436">ifs(OR($H687="R",$I687="N"),"N/A",OR(C687="A",C687="B",C687="C",C687="U"),3,TRUE,"FLAG")</f>
        <v>3</v>
      </c>
      <c r="K687" s="10">
        <f t="shared" si="436"/>
        <v>3</v>
      </c>
      <c r="L687" s="10">
        <f t="shared" si="436"/>
        <v>3</v>
      </c>
      <c r="M687" s="10" t="str">
        <f t="shared" si="436"/>
        <v>FLAG</v>
      </c>
      <c r="N687" s="10" t="str">
        <f t="shared" si="2"/>
        <v>46-1014(a)(3) - Contempt of Legislature; Appear as required by a subpoena but refuse to answer, under oath or affirmation, any question pertinent to the matter under inquiry</v>
      </c>
      <c r="O687" s="10" t="str">
        <f t="shared" si="3"/>
        <v>Contempt of Legislature</v>
      </c>
    </row>
    <row r="688">
      <c r="A688" s="7" t="s">
        <v>1302</v>
      </c>
      <c r="B688" s="8" t="s">
        <v>1303</v>
      </c>
      <c r="C688" s="8" t="s">
        <v>27</v>
      </c>
      <c r="D688" s="8" t="s">
        <v>28</v>
      </c>
      <c r="E688" s="8" t="s">
        <v>19</v>
      </c>
      <c r="F688" s="8" t="s">
        <v>20</v>
      </c>
      <c r="G688" s="8" t="s">
        <v>21</v>
      </c>
      <c r="H688" s="9"/>
      <c r="I688" s="9"/>
      <c r="J688" s="10">
        <f t="shared" ref="J688:M688" si="437">ifs(OR($H688="R",$I688="N"),"N/A",OR(C688="A",C688="B",C688="C",C688="U"),3,TRUE,"FLAG")</f>
        <v>3</v>
      </c>
      <c r="K688" s="10">
        <f t="shared" si="437"/>
        <v>3</v>
      </c>
      <c r="L688" s="10">
        <f t="shared" si="437"/>
        <v>3</v>
      </c>
      <c r="M688" s="10" t="str">
        <f t="shared" si="437"/>
        <v>FLAG</v>
      </c>
      <c r="N688" s="10" t="str">
        <f t="shared" si="2"/>
        <v>46-1014(a)(2) - Contempt of Legislature; Willfully fail to produce books, papers, documents or other records when required to do so</v>
      </c>
      <c r="O688" s="10" t="str">
        <f t="shared" si="3"/>
        <v>Contempt of Legislature</v>
      </c>
    </row>
    <row r="689">
      <c r="A689" s="7" t="s">
        <v>1304</v>
      </c>
      <c r="B689" s="8" t="s">
        <v>1305</v>
      </c>
      <c r="C689" s="8" t="s">
        <v>27</v>
      </c>
      <c r="D689" s="8" t="s">
        <v>28</v>
      </c>
      <c r="E689" s="8" t="s">
        <v>19</v>
      </c>
      <c r="F689" s="8" t="s">
        <v>20</v>
      </c>
      <c r="G689" s="8" t="s">
        <v>21</v>
      </c>
      <c r="H689" s="9"/>
      <c r="I689" s="9"/>
      <c r="J689" s="10">
        <f t="shared" ref="J689:M689" si="438">ifs(OR($H689="R",$I689="N"),"N/A",OR(C689="A",C689="B",C689="C",C689="U"),3,TRUE,"FLAG")</f>
        <v>3</v>
      </c>
      <c r="K689" s="10">
        <f t="shared" si="438"/>
        <v>3</v>
      </c>
      <c r="L689" s="10">
        <f t="shared" si="438"/>
        <v>3</v>
      </c>
      <c r="M689" s="10" t="str">
        <f t="shared" si="438"/>
        <v>FLAG</v>
      </c>
      <c r="N689" s="10" t="str">
        <f t="shared" si="2"/>
        <v>46-1014(a)(1) - Contempt of Legislature; Willfully make default when summoned as a witness by subpoena</v>
      </c>
      <c r="O689" s="10" t="str">
        <f t="shared" si="3"/>
        <v>Contempt of Legislature</v>
      </c>
    </row>
    <row r="690">
      <c r="A690" s="7" t="s">
        <v>1306</v>
      </c>
      <c r="B690" s="8" t="s">
        <v>1307</v>
      </c>
      <c r="C690" s="8" t="s">
        <v>18</v>
      </c>
      <c r="D690" s="8" t="s">
        <v>18</v>
      </c>
      <c r="E690" s="8" t="s">
        <v>19</v>
      </c>
      <c r="F690" s="8" t="s">
        <v>20</v>
      </c>
      <c r="G690" s="8" t="s">
        <v>21</v>
      </c>
      <c r="H690" s="9"/>
      <c r="I690" s="9"/>
      <c r="J690" s="10">
        <f t="shared" ref="J690:M690" si="439">ifs(OR($H690="R",$I690="N"),"N/A",OR(C690="A",C690="B",C690="C",C690="U"),3,TRUE,"FLAG")</f>
        <v>3</v>
      </c>
      <c r="K690" s="10">
        <f t="shared" si="439"/>
        <v>3</v>
      </c>
      <c r="L690" s="10">
        <f t="shared" si="439"/>
        <v>3</v>
      </c>
      <c r="M690" s="10" t="str">
        <f t="shared" si="439"/>
        <v>FLAG</v>
      </c>
      <c r="N690" s="10" t="str">
        <f t="shared" si="2"/>
        <v>16-114 - Contracts &amp; Promises; Penalty for any violation of act</v>
      </c>
      <c r="O690" s="10" t="str">
        <f t="shared" si="3"/>
        <v>Contracts &amp; Promises</v>
      </c>
    </row>
    <row r="691">
      <c r="A691" s="7" t="s">
        <v>1308</v>
      </c>
      <c r="B691" s="8" t="s">
        <v>1309</v>
      </c>
      <c r="C691" s="8" t="s">
        <v>27</v>
      </c>
      <c r="D691" s="8" t="s">
        <v>28</v>
      </c>
      <c r="E691" s="8" t="s">
        <v>19</v>
      </c>
      <c r="F691" s="8" t="s">
        <v>20</v>
      </c>
      <c r="G691" s="8" t="s">
        <v>21</v>
      </c>
      <c r="H691" s="9"/>
      <c r="I691" s="9"/>
      <c r="J691" s="10">
        <f t="shared" ref="J691:M691" si="440">ifs(OR($H691="R",$I691="N"),"N/A",OR(C691="A",C691="B",C691="C",C691="U"),3,TRUE,"FLAG")</f>
        <v>3</v>
      </c>
      <c r="K691" s="10">
        <f t="shared" si="440"/>
        <v>3</v>
      </c>
      <c r="L691" s="10">
        <f t="shared" si="440"/>
        <v>3</v>
      </c>
      <c r="M691" s="10" t="str">
        <f t="shared" si="440"/>
        <v>FLAG</v>
      </c>
      <c r="N691" s="10" t="str">
        <f t="shared" si="2"/>
        <v>21-5603(a)(3) - Contributing to a Child's Misconduct; Fail to reveal information concerning runaway child to law enforcement officer with intent to aid in avoid in detection or apprehension of runaway</v>
      </c>
      <c r="O691" s="10" t="str">
        <f t="shared" si="3"/>
        <v>Contributing to a Child's Misconduct</v>
      </c>
    </row>
    <row r="692">
      <c r="A692" s="7" t="s">
        <v>1310</v>
      </c>
      <c r="B692" s="8" t="s">
        <v>1311</v>
      </c>
      <c r="C692" s="8">
        <v>7.0</v>
      </c>
      <c r="D692" s="8">
        <v>9.0</v>
      </c>
      <c r="E692" s="8">
        <v>9.0</v>
      </c>
      <c r="F692" s="8">
        <v>10.0</v>
      </c>
      <c r="G692" s="8" t="s">
        <v>24</v>
      </c>
      <c r="H692" s="9"/>
      <c r="I692" s="9"/>
      <c r="N692" s="10" t="str">
        <f t="shared" si="2"/>
        <v>21-5603(a)(5) - Contributing to a Child's Misconduct; Knowingly cause or encourage child under 18 to commit felony</v>
      </c>
      <c r="O692" s="10" t="str">
        <f t="shared" si="3"/>
        <v>Contributing to a Child's Misconduct</v>
      </c>
    </row>
    <row r="693">
      <c r="A693" s="7" t="s">
        <v>1312</v>
      </c>
      <c r="B693" s="8" t="s">
        <v>1313</v>
      </c>
      <c r="C693" s="8" t="s">
        <v>27</v>
      </c>
      <c r="D693" s="8" t="s">
        <v>28</v>
      </c>
      <c r="E693" s="8" t="s">
        <v>19</v>
      </c>
      <c r="F693" s="8" t="s">
        <v>20</v>
      </c>
      <c r="G693" s="8" t="s">
        <v>21</v>
      </c>
      <c r="H693" s="9"/>
      <c r="I693" s="9"/>
      <c r="J693" s="10">
        <f t="shared" ref="J693:M693" si="441">ifs(OR($H693="R",$I693="N"),"N/A",OR(C693="A",C693="B",C693="C",C693="U"),3,TRUE,"FLAG")</f>
        <v>3</v>
      </c>
      <c r="K693" s="10">
        <f t="shared" si="441"/>
        <v>3</v>
      </c>
      <c r="L693" s="10">
        <f t="shared" si="441"/>
        <v>3</v>
      </c>
      <c r="M693" s="10" t="str">
        <f t="shared" si="441"/>
        <v>FLAG</v>
      </c>
      <c r="N693" s="10" t="str">
        <f t="shared" si="2"/>
        <v>21-5603(a)(6) - Contributing to a Child's Misconduct; Knowingly cause or encourage probation violation</v>
      </c>
      <c r="O693" s="10" t="str">
        <f t="shared" si="3"/>
        <v>Contributing to a Child's Misconduct</v>
      </c>
    </row>
    <row r="694">
      <c r="A694" s="7" t="s">
        <v>1314</v>
      </c>
      <c r="B694" s="8" t="s">
        <v>1315</v>
      </c>
      <c r="C694" s="8" t="s">
        <v>27</v>
      </c>
      <c r="D694" s="8" t="s">
        <v>28</v>
      </c>
      <c r="E694" s="8" t="s">
        <v>19</v>
      </c>
      <c r="F694" s="8" t="s">
        <v>20</v>
      </c>
      <c r="G694" s="8" t="s">
        <v>21</v>
      </c>
      <c r="H694" s="9"/>
      <c r="I694" s="9"/>
      <c r="J694" s="10">
        <f t="shared" ref="J694:M694" si="442">ifs(OR($H694="R",$I694="N"),"N/A",OR(C694="A",C694="B",C694="C",C694="U"),3,TRUE,"FLAG")</f>
        <v>3</v>
      </c>
      <c r="K694" s="10">
        <f t="shared" si="442"/>
        <v>3</v>
      </c>
      <c r="L694" s="10">
        <f t="shared" si="442"/>
        <v>3</v>
      </c>
      <c r="M694" s="10" t="str">
        <f t="shared" si="442"/>
        <v>FLAG</v>
      </c>
      <c r="N694" s="10" t="str">
        <f t="shared" si="2"/>
        <v>21-5603(a)(2) - Contributing to a Child's Misconduct; Knowingly cause, encourage child under 18 to commit traffic infraction or misdemeanor or violate K.S.A. 41-727 or K.S.A. 74-8810(j)</v>
      </c>
      <c r="O694" s="10" t="str">
        <f t="shared" si="3"/>
        <v>Contributing to a Child's Misconduct</v>
      </c>
    </row>
    <row r="695">
      <c r="A695" s="7" t="s">
        <v>1316</v>
      </c>
      <c r="B695" s="8" t="s">
        <v>1317</v>
      </c>
      <c r="C695" s="8" t="s">
        <v>27</v>
      </c>
      <c r="D695" s="8" t="s">
        <v>28</v>
      </c>
      <c r="E695" s="8" t="s">
        <v>19</v>
      </c>
      <c r="F695" s="8" t="s">
        <v>20</v>
      </c>
      <c r="G695" s="8" t="s">
        <v>21</v>
      </c>
      <c r="H695" s="9"/>
      <c r="I695" s="9"/>
      <c r="J695" s="10">
        <f t="shared" ref="J695:M695" si="443">ifs(OR($H695="R",$I695="N"),"N/A",OR(C695="A",C695="B",C695="C",C695="U"),3,TRUE,"FLAG")</f>
        <v>3</v>
      </c>
      <c r="K695" s="10">
        <f t="shared" si="443"/>
        <v>3</v>
      </c>
      <c r="L695" s="10">
        <f t="shared" si="443"/>
        <v>3</v>
      </c>
      <c r="M695" s="10" t="str">
        <f t="shared" si="443"/>
        <v>FLAG</v>
      </c>
      <c r="N695" s="10" t="str">
        <f t="shared" si="2"/>
        <v>21-5603(a)(1) - Contributing to a Child's Misconduct; Knowingly cause, encourage child under 18 to remain or become CINC</v>
      </c>
      <c r="O695" s="10" t="str">
        <f t="shared" si="3"/>
        <v>Contributing to a Child's Misconduct</v>
      </c>
    </row>
    <row r="696">
      <c r="A696" s="7" t="s">
        <v>1318</v>
      </c>
      <c r="B696" s="8" t="s">
        <v>1319</v>
      </c>
      <c r="C696" s="8">
        <v>8.0</v>
      </c>
      <c r="D696" s="8">
        <v>10.0</v>
      </c>
      <c r="E696" s="8">
        <v>10.0</v>
      </c>
      <c r="F696" s="8">
        <v>10.0</v>
      </c>
      <c r="G696" s="8" t="s">
        <v>24</v>
      </c>
      <c r="H696" s="9"/>
      <c r="I696" s="9"/>
      <c r="N696" s="10" t="str">
        <f t="shared" si="2"/>
        <v>21-5603(a)(4) - Contributing to a Child's Misconduct; Sheltering or concealing a runaway child</v>
      </c>
      <c r="O696" s="10" t="str">
        <f t="shared" si="3"/>
        <v>Contributing to a Child's Misconduct</v>
      </c>
    </row>
    <row r="697">
      <c r="A697" s="7" t="s">
        <v>1320</v>
      </c>
      <c r="B697" s="8" t="s">
        <v>1321</v>
      </c>
      <c r="C697" s="8" t="s">
        <v>18</v>
      </c>
      <c r="D697" s="8" t="s">
        <v>18</v>
      </c>
      <c r="E697" s="8" t="s">
        <v>19</v>
      </c>
      <c r="F697" s="8" t="s">
        <v>20</v>
      </c>
      <c r="G697" s="8" t="s">
        <v>21</v>
      </c>
      <c r="H697" s="9"/>
      <c r="I697" s="9"/>
      <c r="J697" s="10">
        <f t="shared" ref="J697:M697" si="444">ifs(OR($H697="R",$I697="N"),"N/A",OR(C697="A",C697="B",C697="C",C697="U"),3,TRUE,"FLAG")</f>
        <v>3</v>
      </c>
      <c r="K697" s="10">
        <f t="shared" si="444"/>
        <v>3</v>
      </c>
      <c r="L697" s="10">
        <f t="shared" si="444"/>
        <v>3</v>
      </c>
      <c r="M697" s="10" t="str">
        <f t="shared" si="444"/>
        <v>FLAG</v>
      </c>
      <c r="N697" s="10" t="str">
        <f t="shared" si="2"/>
        <v>17-1913 - Corporations; Fail or neglect to keep station open or deliver messages as required</v>
      </c>
      <c r="O697" s="10" t="str">
        <f t="shared" si="3"/>
        <v>Corporations</v>
      </c>
    </row>
    <row r="698">
      <c r="A698" s="7" t="s">
        <v>1322</v>
      </c>
      <c r="B698" s="8" t="s">
        <v>1323</v>
      </c>
      <c r="C698" s="8" t="s">
        <v>18</v>
      </c>
      <c r="D698" s="8" t="s">
        <v>18</v>
      </c>
      <c r="E698" s="8" t="s">
        <v>19</v>
      </c>
      <c r="F698" s="8" t="s">
        <v>20</v>
      </c>
      <c r="G698" s="8" t="s">
        <v>21</v>
      </c>
      <c r="H698" s="9"/>
      <c r="I698" s="9"/>
      <c r="J698" s="10">
        <f t="shared" ref="J698:M698" si="445">ifs(OR($H698="R",$I698="N"),"N/A",OR(C698="A",C698="B",C698="C",C698="U"),3,TRUE,"FLAG")</f>
        <v>3</v>
      </c>
      <c r="K698" s="10">
        <f t="shared" si="445"/>
        <v>3</v>
      </c>
      <c r="L698" s="10">
        <f t="shared" si="445"/>
        <v>3</v>
      </c>
      <c r="M698" s="10" t="str">
        <f t="shared" si="445"/>
        <v>FLAG</v>
      </c>
      <c r="N698" s="10" t="str">
        <f t="shared" si="2"/>
        <v>17-1907 - Corporations; Intentional / willful injury to telegraph, telephone or power line property</v>
      </c>
      <c r="O698" s="10" t="str">
        <f t="shared" si="3"/>
        <v>Corporations</v>
      </c>
    </row>
    <row r="699">
      <c r="A699" s="7" t="s">
        <v>1324</v>
      </c>
      <c r="B699" s="8" t="s">
        <v>1325</v>
      </c>
      <c r="C699" s="8" t="s">
        <v>18</v>
      </c>
      <c r="D699" s="8" t="s">
        <v>18</v>
      </c>
      <c r="E699" s="8" t="s">
        <v>19</v>
      </c>
      <c r="F699" s="8" t="s">
        <v>20</v>
      </c>
      <c r="G699" s="8" t="s">
        <v>21</v>
      </c>
      <c r="H699" s="9"/>
      <c r="I699" s="9"/>
      <c r="J699" s="10">
        <f t="shared" ref="J699:M699" si="446">ifs(OR($H699="R",$I699="N"),"N/A",OR(C699="A",C699="B",C699="C",C699="U"),3,TRUE,"FLAG")</f>
        <v>3</v>
      </c>
      <c r="K699" s="10">
        <f t="shared" si="446"/>
        <v>3</v>
      </c>
      <c r="L699" s="10">
        <f t="shared" si="446"/>
        <v>3</v>
      </c>
      <c r="M699" s="10" t="str">
        <f t="shared" si="446"/>
        <v>FLAG</v>
      </c>
      <c r="N699" s="10" t="str">
        <f t="shared" si="2"/>
        <v>17-1908 - Corporations; Intentional / willful interference with lines</v>
      </c>
      <c r="O699" s="10" t="str">
        <f t="shared" si="3"/>
        <v>Corporations</v>
      </c>
    </row>
    <row r="700">
      <c r="A700" s="7" t="s">
        <v>1326</v>
      </c>
      <c r="B700" s="8" t="s">
        <v>1327</v>
      </c>
      <c r="C700" s="8" t="s">
        <v>18</v>
      </c>
      <c r="D700" s="8" t="s">
        <v>18</v>
      </c>
      <c r="E700" s="8" t="s">
        <v>19</v>
      </c>
      <c r="F700" s="8" t="s">
        <v>20</v>
      </c>
      <c r="G700" s="8" t="s">
        <v>21</v>
      </c>
      <c r="H700" s="9"/>
      <c r="I700" s="9"/>
      <c r="J700" s="10">
        <f t="shared" ref="J700:M700" si="447">ifs(OR($H700="R",$I700="N"),"N/A",OR(C700="A",C700="B",C700="C",C700="U"),3,TRUE,"FLAG")</f>
        <v>3</v>
      </c>
      <c r="K700" s="10">
        <f t="shared" si="447"/>
        <v>3</v>
      </c>
      <c r="L700" s="10">
        <f t="shared" si="447"/>
        <v>3</v>
      </c>
      <c r="M700" s="10" t="str">
        <f t="shared" si="447"/>
        <v>FLAG</v>
      </c>
      <c r="N700" s="10" t="str">
        <f t="shared" si="2"/>
        <v>17-1918 - Corporations; Unlawful for mover to move or interfere with lines or facilities</v>
      </c>
      <c r="O700" s="10" t="str">
        <f t="shared" si="3"/>
        <v>Corporations</v>
      </c>
    </row>
    <row r="701">
      <c r="A701" s="7" t="s">
        <v>1328</v>
      </c>
      <c r="B701" s="8" t="s">
        <v>1329</v>
      </c>
      <c r="C701" s="8" t="s">
        <v>27</v>
      </c>
      <c r="D701" s="8" t="s">
        <v>28</v>
      </c>
      <c r="E701" s="8" t="s">
        <v>19</v>
      </c>
      <c r="F701" s="8" t="s">
        <v>20</v>
      </c>
      <c r="G701" s="8" t="s">
        <v>21</v>
      </c>
      <c r="H701" s="9"/>
      <c r="I701" s="9"/>
      <c r="J701" s="10">
        <f t="shared" ref="J701:M701" si="448">ifs(OR($H701="R",$I701="N"),"N/A",OR(C701="A",C701="B",C701="C",C701="U"),3,TRUE,"FLAG")</f>
        <v>3</v>
      </c>
      <c r="K701" s="10">
        <f t="shared" si="448"/>
        <v>3</v>
      </c>
      <c r="L701" s="10">
        <f t="shared" si="448"/>
        <v>3</v>
      </c>
      <c r="M701" s="10" t="str">
        <f t="shared" si="448"/>
        <v>FLAG</v>
      </c>
      <c r="N701" s="10" t="str">
        <f t="shared" si="2"/>
        <v>65-1942(a)(3) - Cosmetology; Alter materially a license with fraudulent intent</v>
      </c>
      <c r="O701" s="10" t="str">
        <f t="shared" si="3"/>
        <v>Cosmetology</v>
      </c>
    </row>
    <row r="702">
      <c r="A702" s="7" t="s">
        <v>1330</v>
      </c>
      <c r="B702" s="8" t="s">
        <v>1331</v>
      </c>
      <c r="C702" s="8" t="s">
        <v>19</v>
      </c>
      <c r="D702" s="8" t="s">
        <v>19</v>
      </c>
      <c r="E702" s="8" t="s">
        <v>19</v>
      </c>
      <c r="F702" s="8" t="s">
        <v>20</v>
      </c>
      <c r="G702" s="8" t="s">
        <v>21</v>
      </c>
      <c r="H702" s="9"/>
      <c r="I702" s="9"/>
      <c r="J702" s="10">
        <f t="shared" ref="J702:M702" si="449">ifs(OR($H702="R",$I702="N"),"N/A",OR(C702="A",C702="B",C702="C",C702="U"),3,TRUE,"FLAG")</f>
        <v>3</v>
      </c>
      <c r="K702" s="10">
        <f t="shared" si="449"/>
        <v>3</v>
      </c>
      <c r="L702" s="10">
        <f t="shared" si="449"/>
        <v>3</v>
      </c>
      <c r="M702" s="10" t="str">
        <f t="shared" si="449"/>
        <v>FLAG</v>
      </c>
      <c r="N702" s="10" t="str">
        <f t="shared" si="2"/>
        <v>65-1902(a)(2) - Cosmetology; Conduct a school for teaching cosmetology without holding a valid license to conduct the school</v>
      </c>
      <c r="O702" s="10" t="str">
        <f t="shared" si="3"/>
        <v>Cosmetology</v>
      </c>
    </row>
    <row r="703">
      <c r="A703" s="7" t="s">
        <v>1332</v>
      </c>
      <c r="B703" s="8" t="s">
        <v>1333</v>
      </c>
      <c r="C703" s="8" t="s">
        <v>19</v>
      </c>
      <c r="D703" s="8" t="s">
        <v>19</v>
      </c>
      <c r="E703" s="8" t="s">
        <v>19</v>
      </c>
      <c r="F703" s="8" t="s">
        <v>20</v>
      </c>
      <c r="G703" s="8" t="s">
        <v>21</v>
      </c>
      <c r="H703" s="9"/>
      <c r="I703" s="9"/>
      <c r="J703" s="10">
        <f t="shared" ref="J703:M703" si="450">ifs(OR($H703="R",$I703="N"),"N/A",OR(C703="A",C703="B",C703="C",C703="U"),3,TRUE,"FLAG")</f>
        <v>3</v>
      </c>
      <c r="K703" s="10">
        <f t="shared" si="450"/>
        <v>3</v>
      </c>
      <c r="L703" s="10">
        <f t="shared" si="450"/>
        <v>3</v>
      </c>
      <c r="M703" s="10" t="str">
        <f t="shared" si="450"/>
        <v>FLAG</v>
      </c>
      <c r="N703" s="10" t="str">
        <f t="shared" si="2"/>
        <v>65-1902(a)(6) - Cosmetology; Conduct a school for teaching electrology without holding a valid license to conduct the school</v>
      </c>
      <c r="O703" s="10" t="str">
        <f t="shared" si="3"/>
        <v>Cosmetology</v>
      </c>
    </row>
    <row r="704">
      <c r="A704" s="7" t="s">
        <v>1334</v>
      </c>
      <c r="B704" s="8" t="s">
        <v>1335</v>
      </c>
      <c r="C704" s="8" t="s">
        <v>19</v>
      </c>
      <c r="D704" s="8" t="s">
        <v>19</v>
      </c>
      <c r="E704" s="8" t="s">
        <v>19</v>
      </c>
      <c r="F704" s="8" t="s">
        <v>20</v>
      </c>
      <c r="G704" s="8" t="s">
        <v>21</v>
      </c>
      <c r="H704" s="9"/>
      <c r="I704" s="9"/>
      <c r="J704" s="10">
        <f t="shared" ref="J704:M704" si="451">ifs(OR($H704="R",$I704="N"),"N/A",OR(C704="A",C704="B",C704="C",C704="U"),3,TRUE,"FLAG")</f>
        <v>3</v>
      </c>
      <c r="K704" s="10">
        <f t="shared" si="451"/>
        <v>3</v>
      </c>
      <c r="L704" s="10">
        <f t="shared" si="451"/>
        <v>3</v>
      </c>
      <c r="M704" s="10" t="str">
        <f t="shared" si="451"/>
        <v>FLAG</v>
      </c>
      <c r="N704" s="10" t="str">
        <f t="shared" si="2"/>
        <v>65-1902(a)(8) - Cosmetology; Conduct a school for teaching esthetics without holding a valid license to conduct the school</v>
      </c>
      <c r="O704" s="10" t="str">
        <f t="shared" si="3"/>
        <v>Cosmetology</v>
      </c>
    </row>
    <row r="705">
      <c r="A705" s="7" t="s">
        <v>1336</v>
      </c>
      <c r="B705" s="8" t="s">
        <v>1337</v>
      </c>
      <c r="C705" s="8" t="s">
        <v>19</v>
      </c>
      <c r="D705" s="8" t="s">
        <v>19</v>
      </c>
      <c r="E705" s="8" t="s">
        <v>19</v>
      </c>
      <c r="F705" s="8" t="s">
        <v>20</v>
      </c>
      <c r="G705" s="8" t="s">
        <v>21</v>
      </c>
      <c r="H705" s="9"/>
      <c r="I705" s="9"/>
      <c r="J705" s="10">
        <f t="shared" ref="J705:M705" si="452">ifs(OR($H705="R",$I705="N"),"N/A",OR(C705="A",C705="B",C705="C",C705="U"),3,TRUE,"FLAG")</f>
        <v>3</v>
      </c>
      <c r="K705" s="10">
        <f t="shared" si="452"/>
        <v>3</v>
      </c>
      <c r="L705" s="10">
        <f t="shared" si="452"/>
        <v>3</v>
      </c>
      <c r="M705" s="10" t="str">
        <f t="shared" si="452"/>
        <v>FLAG</v>
      </c>
      <c r="N705" s="10" t="str">
        <f t="shared" si="2"/>
        <v>65-1902(a)(4) - Cosmetology; Conduct a school for teaching nail technology without holding a valid license to conduct the school</v>
      </c>
      <c r="O705" s="10" t="str">
        <f t="shared" si="3"/>
        <v>Cosmetology</v>
      </c>
    </row>
    <row r="706">
      <c r="A706" s="7" t="s">
        <v>1338</v>
      </c>
      <c r="B706" s="8" t="s">
        <v>1339</v>
      </c>
      <c r="C706" s="8" t="s">
        <v>18</v>
      </c>
      <c r="D706" s="8" t="s">
        <v>18</v>
      </c>
      <c r="E706" s="8" t="s">
        <v>19</v>
      </c>
      <c r="F706" s="8" t="s">
        <v>20</v>
      </c>
      <c r="G706" s="8" t="s">
        <v>21</v>
      </c>
      <c r="H706" s="9"/>
      <c r="I706" s="9"/>
      <c r="J706" s="10">
        <f t="shared" ref="J706:M706" si="453">ifs(OR($H706="R",$I706="N"),"N/A",OR(C706="A",C706="B",C706="C",C706="U"),3,TRUE,"FLAG")</f>
        <v>3</v>
      </c>
      <c r="K706" s="10">
        <f t="shared" si="453"/>
        <v>3</v>
      </c>
      <c r="L706" s="10">
        <f t="shared" si="453"/>
        <v>3</v>
      </c>
      <c r="M706" s="10" t="str">
        <f t="shared" si="453"/>
        <v>FLAG</v>
      </c>
      <c r="N706" s="10" t="str">
        <f t="shared" si="2"/>
        <v>65-1909(a)(1) - Cosmetology; Employing an individual to engage in any activity requiring a license pursuant to K.S.A. 65-1902, without a such individual holding a currently valid license</v>
      </c>
      <c r="O706" s="10" t="str">
        <f t="shared" si="3"/>
        <v>Cosmetology</v>
      </c>
    </row>
    <row r="707">
      <c r="A707" s="7" t="s">
        <v>1340</v>
      </c>
      <c r="B707" s="8" t="s">
        <v>1341</v>
      </c>
      <c r="C707" s="8" t="s">
        <v>18</v>
      </c>
      <c r="D707" s="8" t="s">
        <v>18</v>
      </c>
      <c r="E707" s="8" t="s">
        <v>19</v>
      </c>
      <c r="F707" s="8" t="s">
        <v>20</v>
      </c>
      <c r="G707" s="8" t="s">
        <v>21</v>
      </c>
      <c r="H707" s="9"/>
      <c r="I707" s="9"/>
      <c r="J707" s="10">
        <f t="shared" ref="J707:M707" si="454">ifs(OR($H707="R",$I707="N"),"N/A",OR(C707="A",C707="B",C707="C",C707="U"),3,TRUE,"FLAG")</f>
        <v>3</v>
      </c>
      <c r="K707" s="10">
        <f t="shared" si="454"/>
        <v>3</v>
      </c>
      <c r="L707" s="10">
        <f t="shared" si="454"/>
        <v>3</v>
      </c>
      <c r="M707" s="10" t="str">
        <f t="shared" si="454"/>
        <v>FLAG</v>
      </c>
      <c r="N707" s="10" t="str">
        <f t="shared" si="2"/>
        <v>65-1909(a)(3) - Cosmetology; Fail or refuse to comply with rules and regulations prescribed by the board or applicable sanitation standards adopted by the secretary of health and environment pursuant to K.S.A. 65-1,148</v>
      </c>
      <c r="O707" s="10" t="str">
        <f t="shared" si="3"/>
        <v>Cosmetology</v>
      </c>
    </row>
    <row r="708">
      <c r="A708" s="7" t="s">
        <v>1342</v>
      </c>
      <c r="B708" s="8" t="s">
        <v>1343</v>
      </c>
      <c r="C708" s="8" t="s">
        <v>19</v>
      </c>
      <c r="D708" s="8" t="s">
        <v>19</v>
      </c>
      <c r="E708" s="8" t="s">
        <v>19</v>
      </c>
      <c r="F708" s="8" t="s">
        <v>20</v>
      </c>
      <c r="G708" s="8" t="s">
        <v>21</v>
      </c>
      <c r="H708" s="9"/>
      <c r="I708" s="9"/>
      <c r="J708" s="10">
        <f t="shared" ref="J708:M708" si="455">ifs(OR($H708="R",$I708="N"),"N/A",OR(C708="A",C708="B",C708="C",C708="U"),3,TRUE,"FLAG")</f>
        <v>3</v>
      </c>
      <c r="K708" s="10">
        <f t="shared" si="455"/>
        <v>3</v>
      </c>
      <c r="L708" s="10">
        <f t="shared" si="455"/>
        <v>3</v>
      </c>
      <c r="M708" s="10" t="str">
        <f t="shared" si="455"/>
        <v>FLAG</v>
      </c>
      <c r="N708" s="10" t="str">
        <f t="shared" si="2"/>
        <v>65-1902(a)(10) - Cosmetology; Own or operate a school, salon or clinic where cosmetology, esthetics, nail technology or electrology is taught or practiced without holding a valid license</v>
      </c>
      <c r="O708" s="10" t="str">
        <f t="shared" si="3"/>
        <v>Cosmetology</v>
      </c>
    </row>
    <row r="709">
      <c r="A709" s="7" t="s">
        <v>1344</v>
      </c>
      <c r="B709" s="8" t="s">
        <v>1345</v>
      </c>
      <c r="C709" s="8" t="s">
        <v>19</v>
      </c>
      <c r="D709" s="8" t="s">
        <v>19</v>
      </c>
      <c r="E709" s="8" t="s">
        <v>19</v>
      </c>
      <c r="F709" s="8" t="s">
        <v>20</v>
      </c>
      <c r="G709" s="8" t="s">
        <v>21</v>
      </c>
      <c r="H709" s="9"/>
      <c r="I709" s="9"/>
      <c r="J709" s="10">
        <f t="shared" ref="J709:M709" si="456">ifs(OR($H709="R",$I709="N"),"N/A",OR(C709="A",C709="B",C709="C",C709="U"),3,TRUE,"FLAG")</f>
        <v>3</v>
      </c>
      <c r="K709" s="10">
        <f t="shared" si="456"/>
        <v>3</v>
      </c>
      <c r="L709" s="10">
        <f t="shared" si="456"/>
        <v>3</v>
      </c>
      <c r="M709" s="10" t="str">
        <f t="shared" si="456"/>
        <v>FLAG</v>
      </c>
      <c r="N709" s="10" t="str">
        <f t="shared" si="2"/>
        <v>65-1902(a)(1) - Cosmetology; Practice cosmetology, esthetics, nail technology or electrology without a valid license for such practice</v>
      </c>
      <c r="O709" s="10" t="str">
        <f t="shared" si="3"/>
        <v>Cosmetology</v>
      </c>
    </row>
    <row r="710">
      <c r="A710" s="7" t="s">
        <v>1346</v>
      </c>
      <c r="B710" s="8" t="s">
        <v>1347</v>
      </c>
      <c r="C710" s="8" t="s">
        <v>27</v>
      </c>
      <c r="D710" s="8" t="s">
        <v>28</v>
      </c>
      <c r="E710" s="8" t="s">
        <v>19</v>
      </c>
      <c r="F710" s="8" t="s">
        <v>20</v>
      </c>
      <c r="G710" s="8" t="s">
        <v>21</v>
      </c>
      <c r="H710" s="9"/>
      <c r="I710" s="9"/>
      <c r="J710" s="10">
        <f t="shared" ref="J710:M710" si="457">ifs(OR($H710="R",$I710="N"),"N/A",OR(C710="A",C710="B",C710="C",C710="U"),3,TRUE,"FLAG")</f>
        <v>3</v>
      </c>
      <c r="K710" s="10">
        <f t="shared" si="457"/>
        <v>3</v>
      </c>
      <c r="L710" s="10">
        <f t="shared" si="457"/>
        <v>3</v>
      </c>
      <c r="M710" s="10" t="str">
        <f t="shared" si="457"/>
        <v>FLAG</v>
      </c>
      <c r="N710" s="10" t="str">
        <f t="shared" si="2"/>
        <v>65-1942(c) - Cosmetology; Produce indelible mark using scalpel, hot iron, or any instrument other than a needle</v>
      </c>
      <c r="O710" s="10" t="str">
        <f t="shared" si="3"/>
        <v>Cosmetology</v>
      </c>
    </row>
    <row r="711">
      <c r="A711" s="7" t="s">
        <v>1348</v>
      </c>
      <c r="B711" s="8" t="s">
        <v>1349</v>
      </c>
      <c r="C711" s="8" t="s">
        <v>27</v>
      </c>
      <c r="D711" s="8" t="s">
        <v>28</v>
      </c>
      <c r="E711" s="8" t="s">
        <v>19</v>
      </c>
      <c r="F711" s="8" t="s">
        <v>20</v>
      </c>
      <c r="G711" s="8" t="s">
        <v>21</v>
      </c>
      <c r="H711" s="9"/>
      <c r="I711" s="9"/>
      <c r="J711" s="10">
        <f t="shared" ref="J711:M711" si="458">ifs(OR($H711="R",$I711="N"),"N/A",OR(C711="A",C711="B",C711="C",C711="U"),3,TRUE,"FLAG")</f>
        <v>3</v>
      </c>
      <c r="K711" s="10">
        <f t="shared" si="458"/>
        <v>3</v>
      </c>
      <c r="L711" s="10">
        <f t="shared" si="458"/>
        <v>3</v>
      </c>
      <c r="M711" s="10" t="str">
        <f t="shared" si="458"/>
        <v>FLAG</v>
      </c>
      <c r="N711" s="10" t="str">
        <f t="shared" si="2"/>
        <v>65-1942(a)(2) - Cosmetology; Purchase or procure by barter a license with intent to use it as evidence of the person's qualification to practice tattooing or body piercing</v>
      </c>
      <c r="O711" s="10" t="str">
        <f t="shared" si="3"/>
        <v>Cosmetology</v>
      </c>
    </row>
    <row r="712">
      <c r="A712" s="7" t="s">
        <v>1350</v>
      </c>
      <c r="B712" s="8" t="s">
        <v>1351</v>
      </c>
      <c r="C712" s="8" t="s">
        <v>27</v>
      </c>
      <c r="D712" s="8" t="s">
        <v>28</v>
      </c>
      <c r="E712" s="8" t="s">
        <v>19</v>
      </c>
      <c r="F712" s="8" t="s">
        <v>20</v>
      </c>
      <c r="G712" s="8" t="s">
        <v>21</v>
      </c>
      <c r="H712" s="9"/>
      <c r="I712" s="9"/>
      <c r="J712" s="10">
        <f t="shared" ref="J712:M712" si="459">ifs(OR($H712="R",$I712="N"),"N/A",OR(C712="A",C712="B",C712="C",C712="U"),3,TRUE,"FLAG")</f>
        <v>3</v>
      </c>
      <c r="K712" s="10">
        <f t="shared" si="459"/>
        <v>3</v>
      </c>
      <c r="L712" s="10">
        <f t="shared" si="459"/>
        <v>3</v>
      </c>
      <c r="M712" s="10" t="str">
        <f t="shared" si="459"/>
        <v>FLAG</v>
      </c>
      <c r="N712" s="10" t="str">
        <f t="shared" si="2"/>
        <v>65-1942(a)(1) - Cosmetology; Sell, barter, offer to sell or barter a license</v>
      </c>
      <c r="O712" s="10" t="str">
        <f t="shared" si="3"/>
        <v>Cosmetology</v>
      </c>
    </row>
    <row r="713">
      <c r="A713" s="7" t="s">
        <v>1352</v>
      </c>
      <c r="B713" s="8" t="s">
        <v>1353</v>
      </c>
      <c r="C713" s="8" t="s">
        <v>19</v>
      </c>
      <c r="D713" s="8" t="s">
        <v>19</v>
      </c>
      <c r="E713" s="8" t="s">
        <v>19</v>
      </c>
      <c r="F713" s="8" t="s">
        <v>20</v>
      </c>
      <c r="G713" s="8" t="s">
        <v>21</v>
      </c>
      <c r="H713" s="9"/>
      <c r="I713" s="9"/>
      <c r="J713" s="10">
        <f t="shared" ref="J713:M713" si="460">ifs(OR($H713="R",$I713="N"),"N/A",OR(C713="A",C713="B",C713="C",C713="U"),3,TRUE,"FLAG")</f>
        <v>3</v>
      </c>
      <c r="K713" s="10">
        <f t="shared" si="460"/>
        <v>3</v>
      </c>
      <c r="L713" s="10">
        <f t="shared" si="460"/>
        <v>3</v>
      </c>
      <c r="M713" s="10" t="str">
        <f t="shared" si="460"/>
        <v>FLAG</v>
      </c>
      <c r="N713" s="10" t="str">
        <f t="shared" si="2"/>
        <v>65-1926(a) - Cosmetology; Tanning facility license required</v>
      </c>
      <c r="O713" s="10" t="str">
        <f t="shared" si="3"/>
        <v>Cosmetology</v>
      </c>
    </row>
    <row r="714">
      <c r="A714" s="7" t="s">
        <v>1354</v>
      </c>
      <c r="B714" s="8" t="s">
        <v>1355</v>
      </c>
      <c r="C714" s="8" t="s">
        <v>27</v>
      </c>
      <c r="D714" s="8" t="s">
        <v>28</v>
      </c>
      <c r="E714" s="8" t="s">
        <v>19</v>
      </c>
      <c r="F714" s="8" t="s">
        <v>20</v>
      </c>
      <c r="G714" s="8" t="s">
        <v>21</v>
      </c>
      <c r="H714" s="9"/>
      <c r="I714" s="9"/>
      <c r="J714" s="10">
        <f t="shared" ref="J714:M714" si="461">ifs(OR($H714="R",$I714="N"),"N/A",OR(C714="A",C714="B",C714="C",C714="U"),3,TRUE,"FLAG")</f>
        <v>3</v>
      </c>
      <c r="K714" s="10">
        <f t="shared" si="461"/>
        <v>3</v>
      </c>
      <c r="L714" s="10">
        <f t="shared" si="461"/>
        <v>3</v>
      </c>
      <c r="M714" s="10" t="str">
        <f t="shared" si="461"/>
        <v>FLAG</v>
      </c>
      <c r="N714" s="10" t="str">
        <f t="shared" si="2"/>
        <v>65-1953 - Cosmetology; Tattooing or body piercing of persons under 18 without parental consent</v>
      </c>
      <c r="O714" s="10" t="str">
        <f t="shared" si="3"/>
        <v>Cosmetology</v>
      </c>
    </row>
    <row r="715">
      <c r="A715" s="7" t="s">
        <v>1356</v>
      </c>
      <c r="B715" s="8" t="s">
        <v>1357</v>
      </c>
      <c r="C715" s="8" t="s">
        <v>27</v>
      </c>
      <c r="D715" s="8" t="s">
        <v>28</v>
      </c>
      <c r="E715" s="8" t="s">
        <v>19</v>
      </c>
      <c r="F715" s="8" t="s">
        <v>20</v>
      </c>
      <c r="G715" s="8" t="s">
        <v>21</v>
      </c>
      <c r="H715" s="9"/>
      <c r="I715" s="9"/>
      <c r="J715" s="10">
        <f t="shared" ref="J715:M715" si="462">ifs(OR($H715="R",$I715="N"),"N/A",OR(C715="A",C715="B",C715="C",C715="U"),3,TRUE,"FLAG")</f>
        <v>3</v>
      </c>
      <c r="K715" s="10">
        <f t="shared" si="462"/>
        <v>3</v>
      </c>
      <c r="L715" s="10">
        <f t="shared" si="462"/>
        <v>3</v>
      </c>
      <c r="M715" s="10" t="str">
        <f t="shared" si="462"/>
        <v>FLAG</v>
      </c>
      <c r="N715" s="10" t="str">
        <f t="shared" si="2"/>
        <v>65-1941(a) - Cosmetology; Tattooing or body piercing without license; purporting to be a technician without a license</v>
      </c>
      <c r="O715" s="10" t="str">
        <f t="shared" si="3"/>
        <v>Cosmetology</v>
      </c>
    </row>
    <row r="716">
      <c r="A716" s="7" t="s">
        <v>1358</v>
      </c>
      <c r="B716" s="8" t="s">
        <v>1359</v>
      </c>
      <c r="C716" s="8" t="s">
        <v>19</v>
      </c>
      <c r="D716" s="8" t="s">
        <v>19</v>
      </c>
      <c r="E716" s="8" t="s">
        <v>19</v>
      </c>
      <c r="F716" s="8" t="s">
        <v>20</v>
      </c>
      <c r="G716" s="8" t="s">
        <v>21</v>
      </c>
      <c r="H716" s="9"/>
      <c r="I716" s="9"/>
      <c r="J716" s="10">
        <f t="shared" ref="J716:M716" si="463">ifs(OR($H716="R",$I716="N"),"N/A",OR(C716="A",C716="B",C716="C",C716="U"),3,TRUE,"FLAG")</f>
        <v>3</v>
      </c>
      <c r="K716" s="10">
        <f t="shared" si="463"/>
        <v>3</v>
      </c>
      <c r="L716" s="10">
        <f t="shared" si="463"/>
        <v>3</v>
      </c>
      <c r="M716" s="10" t="str">
        <f t="shared" si="463"/>
        <v>FLAG</v>
      </c>
      <c r="N716" s="10" t="str">
        <f t="shared" si="2"/>
        <v>65-1902(a)(3) - Cosmetology; Teach cosmetology in a licensed school without holding a valid cosmetology instructor's license</v>
      </c>
      <c r="O716" s="10" t="str">
        <f t="shared" si="3"/>
        <v>Cosmetology</v>
      </c>
    </row>
    <row r="717">
      <c r="A717" s="7" t="s">
        <v>1360</v>
      </c>
      <c r="B717" s="8" t="s">
        <v>1361</v>
      </c>
      <c r="C717" s="8" t="s">
        <v>19</v>
      </c>
      <c r="D717" s="8" t="s">
        <v>19</v>
      </c>
      <c r="E717" s="8" t="s">
        <v>19</v>
      </c>
      <c r="F717" s="8" t="s">
        <v>20</v>
      </c>
      <c r="G717" s="8" t="s">
        <v>21</v>
      </c>
      <c r="H717" s="9"/>
      <c r="I717" s="9"/>
      <c r="J717" s="10">
        <f t="shared" ref="J717:M717" si="464">ifs(OR($H717="R",$I717="N"),"N/A",OR(C717="A",C717="B",C717="C",C717="U"),3,TRUE,"FLAG")</f>
        <v>3</v>
      </c>
      <c r="K717" s="10">
        <f t="shared" si="464"/>
        <v>3</v>
      </c>
      <c r="L717" s="10">
        <f t="shared" si="464"/>
        <v>3</v>
      </c>
      <c r="M717" s="10" t="str">
        <f t="shared" si="464"/>
        <v>FLAG</v>
      </c>
      <c r="N717" s="10" t="str">
        <f t="shared" si="2"/>
        <v>65-1902(a)(7) - Cosmetology; Teach electrology in a licensed school or clinic without holding a valid electrology instructor's license</v>
      </c>
      <c r="O717" s="10" t="str">
        <f t="shared" si="3"/>
        <v>Cosmetology</v>
      </c>
    </row>
    <row r="718">
      <c r="A718" s="7" t="s">
        <v>1362</v>
      </c>
      <c r="B718" s="8" t="s">
        <v>1363</v>
      </c>
      <c r="C718" s="8" t="s">
        <v>19</v>
      </c>
      <c r="D718" s="8" t="s">
        <v>19</v>
      </c>
      <c r="E718" s="8" t="s">
        <v>19</v>
      </c>
      <c r="F718" s="8" t="s">
        <v>20</v>
      </c>
      <c r="G718" s="8" t="s">
        <v>21</v>
      </c>
      <c r="H718" s="9"/>
      <c r="I718" s="9"/>
      <c r="J718" s="10">
        <f t="shared" ref="J718:M718" si="465">ifs(OR($H718="R",$I718="N"),"N/A",OR(C718="A",C718="B",C718="C",C718="U"),3,TRUE,"FLAG")</f>
        <v>3</v>
      </c>
      <c r="K718" s="10">
        <f t="shared" si="465"/>
        <v>3</v>
      </c>
      <c r="L718" s="10">
        <f t="shared" si="465"/>
        <v>3</v>
      </c>
      <c r="M718" s="10" t="str">
        <f t="shared" si="465"/>
        <v>FLAG</v>
      </c>
      <c r="N718" s="10" t="str">
        <f t="shared" si="2"/>
        <v>65-1902(a)(9) - Cosmetology; Teach esthetics in a licensed school without holding a valid cosmetology or esthetics instructor's license</v>
      </c>
      <c r="O718" s="10" t="str">
        <f t="shared" si="3"/>
        <v>Cosmetology</v>
      </c>
    </row>
    <row r="719">
      <c r="A719" s="7" t="s">
        <v>1364</v>
      </c>
      <c r="B719" s="8" t="s">
        <v>1365</v>
      </c>
      <c r="C719" s="8" t="s">
        <v>19</v>
      </c>
      <c r="D719" s="8" t="s">
        <v>19</v>
      </c>
      <c r="E719" s="8" t="s">
        <v>19</v>
      </c>
      <c r="F719" s="8" t="s">
        <v>20</v>
      </c>
      <c r="G719" s="8" t="s">
        <v>21</v>
      </c>
      <c r="H719" s="9"/>
      <c r="I719" s="9"/>
      <c r="J719" s="10">
        <f t="shared" ref="J719:M719" si="466">ifs(OR($H719="R",$I719="N"),"N/A",OR(C719="A",C719="B",C719="C",C719="U"),3,TRUE,"FLAG")</f>
        <v>3</v>
      </c>
      <c r="K719" s="10">
        <f t="shared" si="466"/>
        <v>3</v>
      </c>
      <c r="L719" s="10">
        <f t="shared" si="466"/>
        <v>3</v>
      </c>
      <c r="M719" s="10" t="str">
        <f t="shared" si="466"/>
        <v>FLAG</v>
      </c>
      <c r="N719" s="10" t="str">
        <f t="shared" si="2"/>
        <v>65-1902(a)(5) - Cosmetology; Teach nail technology in a licensed school without holding a valid cosmetology or manicuring instructor's license</v>
      </c>
      <c r="O719" s="10" t="str">
        <f t="shared" si="3"/>
        <v>Cosmetology</v>
      </c>
    </row>
    <row r="720">
      <c r="A720" s="7" t="s">
        <v>1366</v>
      </c>
      <c r="B720" s="8" t="s">
        <v>1367</v>
      </c>
      <c r="C720" s="8" t="s">
        <v>19</v>
      </c>
      <c r="D720" s="8" t="s">
        <v>19</v>
      </c>
      <c r="E720" s="8" t="s">
        <v>19</v>
      </c>
      <c r="F720" s="8" t="s">
        <v>20</v>
      </c>
      <c r="G720" s="8" t="s">
        <v>21</v>
      </c>
      <c r="H720" s="9"/>
      <c r="I720" s="9"/>
      <c r="J720" s="10">
        <f t="shared" ref="J720:M720" si="467">ifs(OR($H720="R",$I720="N"),"N/A",OR(C720="A",C720="B",C720="C",C720="U"),3,TRUE,"FLAG")</f>
        <v>3</v>
      </c>
      <c r="K720" s="10">
        <f t="shared" si="467"/>
        <v>3</v>
      </c>
      <c r="L720" s="10">
        <f t="shared" si="467"/>
        <v>3</v>
      </c>
      <c r="M720" s="10" t="str">
        <f t="shared" si="467"/>
        <v>FLAG</v>
      </c>
      <c r="N720" s="10" t="str">
        <f t="shared" si="2"/>
        <v>65-1902(a)(11) - Cosmetology; Teaching or practicing cosmetology, esthetics, nail technology or electrology in a school, salon or clinic where the owner or operator of the school, salon or clinic does not hold a valid school, salon or clinic license</v>
      </c>
      <c r="O720" s="10" t="str">
        <f t="shared" si="3"/>
        <v>Cosmetology</v>
      </c>
    </row>
    <row r="721">
      <c r="A721" s="7" t="s">
        <v>1368</v>
      </c>
      <c r="B721" s="8" t="s">
        <v>1369</v>
      </c>
      <c r="C721" s="8" t="s">
        <v>27</v>
      </c>
      <c r="D721" s="8" t="s">
        <v>28</v>
      </c>
      <c r="E721" s="8" t="s">
        <v>19</v>
      </c>
      <c r="F721" s="8" t="s">
        <v>20</v>
      </c>
      <c r="G721" s="8" t="s">
        <v>21</v>
      </c>
      <c r="H721" s="9"/>
      <c r="I721" s="9"/>
      <c r="J721" s="10">
        <f t="shared" ref="J721:M721" si="468">ifs(OR($H721="R",$I721="N"),"N/A",OR(C721="A",C721="B",C721="C",C721="U"),3,TRUE,"FLAG")</f>
        <v>3</v>
      </c>
      <c r="K721" s="10">
        <f t="shared" si="468"/>
        <v>3</v>
      </c>
      <c r="L721" s="10">
        <f t="shared" si="468"/>
        <v>3</v>
      </c>
      <c r="M721" s="10" t="str">
        <f t="shared" si="468"/>
        <v>FLAG</v>
      </c>
      <c r="N721" s="10" t="str">
        <f t="shared" si="2"/>
        <v>65-1942(a)(4) - Cosmetology; Use or attempt to use as a valid license a license which has been purchased, fraudulently obtained, counterfeited or materially altered</v>
      </c>
      <c r="O721" s="10" t="str">
        <f t="shared" si="3"/>
        <v>Cosmetology</v>
      </c>
    </row>
    <row r="722">
      <c r="A722" s="7" t="s">
        <v>1370</v>
      </c>
      <c r="B722" s="8" t="s">
        <v>1371</v>
      </c>
      <c r="C722" s="8" t="s">
        <v>18</v>
      </c>
      <c r="D722" s="8" t="s">
        <v>18</v>
      </c>
      <c r="E722" s="8" t="s">
        <v>19</v>
      </c>
      <c r="F722" s="8" t="s">
        <v>20</v>
      </c>
      <c r="G722" s="8" t="s">
        <v>21</v>
      </c>
      <c r="H722" s="9"/>
      <c r="I722" s="9"/>
      <c r="J722" s="10">
        <f t="shared" ref="J722:M722" si="469">ifs(OR($H722="R",$I722="N"),"N/A",OR(C722="A",C722="B",C722="C",C722="U"),3,TRUE,"FLAG")</f>
        <v>3</v>
      </c>
      <c r="K722" s="10">
        <f t="shared" si="469"/>
        <v>3</v>
      </c>
      <c r="L722" s="10">
        <f t="shared" si="469"/>
        <v>3</v>
      </c>
      <c r="M722" s="10" t="str">
        <f t="shared" si="469"/>
        <v>FLAG</v>
      </c>
      <c r="N722" s="10" t="str">
        <f t="shared" si="2"/>
        <v>65-1909(a)(4) - Cosmetology; Violate any of the provisions of article 19 of chapter 65 of Kansas Statutes Annotated</v>
      </c>
      <c r="O722" s="10" t="str">
        <f t="shared" si="3"/>
        <v>Cosmetology</v>
      </c>
    </row>
    <row r="723">
      <c r="A723" s="7" t="s">
        <v>1372</v>
      </c>
      <c r="B723" s="8" t="s">
        <v>1373</v>
      </c>
      <c r="C723" s="8" t="s">
        <v>18</v>
      </c>
      <c r="D723" s="8" t="s">
        <v>18</v>
      </c>
      <c r="E723" s="8" t="s">
        <v>19</v>
      </c>
      <c r="F723" s="8" t="s">
        <v>20</v>
      </c>
      <c r="G723" s="8" t="s">
        <v>21</v>
      </c>
      <c r="H723" s="9"/>
      <c r="I723" s="9"/>
      <c r="J723" s="10">
        <f t="shared" ref="J723:M723" si="470">ifs(OR($H723="R",$I723="N"),"N/A",OR(C723="A",C723="B",C723="C",C723="U"),3,TRUE,"FLAG")</f>
        <v>3</v>
      </c>
      <c r="K723" s="10">
        <f t="shared" si="470"/>
        <v>3</v>
      </c>
      <c r="L723" s="10">
        <f t="shared" si="470"/>
        <v>3</v>
      </c>
      <c r="M723" s="10" t="str">
        <f t="shared" si="470"/>
        <v>FLAG</v>
      </c>
      <c r="N723" s="10" t="str">
        <f t="shared" si="2"/>
        <v>65-1909(a)(2) - Cosmetology; Violation of any order or ruling of the state board of cosmetology</v>
      </c>
      <c r="O723" s="10" t="str">
        <f t="shared" si="3"/>
        <v>Cosmetology</v>
      </c>
    </row>
    <row r="724">
      <c r="A724" s="7" t="s">
        <v>1374</v>
      </c>
      <c r="B724" s="8" t="s">
        <v>1375</v>
      </c>
      <c r="C724" s="8" t="s">
        <v>27</v>
      </c>
      <c r="D724" s="8" t="s">
        <v>28</v>
      </c>
      <c r="E724" s="8" t="s">
        <v>19</v>
      </c>
      <c r="F724" s="8" t="s">
        <v>20</v>
      </c>
      <c r="G724" s="8" t="s">
        <v>21</v>
      </c>
      <c r="H724" s="9"/>
      <c r="I724" s="9"/>
      <c r="J724" s="10">
        <f t="shared" ref="J724:M724" si="471">ifs(OR($H724="R",$I724="N"),"N/A",OR(C724="A",C724="B",C724="C",C724="U"),3,TRUE,"FLAG")</f>
        <v>3</v>
      </c>
      <c r="K724" s="10">
        <f t="shared" si="471"/>
        <v>3</v>
      </c>
      <c r="L724" s="10">
        <f t="shared" si="471"/>
        <v>3</v>
      </c>
      <c r="M724" s="10" t="str">
        <f t="shared" si="471"/>
        <v>FLAG</v>
      </c>
      <c r="N724" s="10" t="str">
        <f t="shared" si="2"/>
        <v>65-1942(a)(5) - Cosmetology; Willfully make a false, material statement in an application for licensure or for renewal of a license</v>
      </c>
      <c r="O724" s="10" t="str">
        <f t="shared" si="3"/>
        <v>Cosmetology</v>
      </c>
    </row>
    <row r="725">
      <c r="A725" s="7" t="s">
        <v>1376</v>
      </c>
      <c r="B725" s="8" t="s">
        <v>1377</v>
      </c>
      <c r="C725" s="8">
        <v>7.0</v>
      </c>
      <c r="D725" s="8">
        <v>9.0</v>
      </c>
      <c r="E725" s="8">
        <v>9.0</v>
      </c>
      <c r="F725" s="8">
        <v>10.0</v>
      </c>
      <c r="G725" s="8" t="s">
        <v>21</v>
      </c>
      <c r="H725" s="9"/>
      <c r="I725" s="9"/>
      <c r="N725" s="10" t="str">
        <f t="shared" si="2"/>
        <v>21-5825(a) - Counterfeiting; Retail value $25,000 or more; 1,000 or more items bearing marks; or 3rd or subs. violation</v>
      </c>
      <c r="O725" s="10" t="str">
        <f t="shared" si="3"/>
        <v>Counterfeiting</v>
      </c>
    </row>
    <row r="726">
      <c r="A726" s="7" t="s">
        <v>1378</v>
      </c>
      <c r="B726" s="8" t="s">
        <v>1377</v>
      </c>
      <c r="C726" s="8">
        <v>9.0</v>
      </c>
      <c r="D726" s="8">
        <v>10.0</v>
      </c>
      <c r="E726" s="8">
        <v>10.0</v>
      </c>
      <c r="F726" s="8">
        <v>10.0</v>
      </c>
      <c r="G726" s="8" t="s">
        <v>21</v>
      </c>
      <c r="H726" s="9"/>
      <c r="I726" s="9"/>
      <c r="N726" s="10" t="str">
        <f t="shared" si="2"/>
        <v>21-5825(a) - Counterfeiting; Retail value at least $1000 but less than $25,000; more than 100 but less than 1,000 items bearing marks; or 2nd violation</v>
      </c>
      <c r="O726" s="10" t="str">
        <f t="shared" si="3"/>
        <v>Counterfeiting</v>
      </c>
    </row>
    <row r="727">
      <c r="A727" s="7" t="s">
        <v>1379</v>
      </c>
      <c r="B727" s="8" t="s">
        <v>1377</v>
      </c>
      <c r="C727" s="8" t="s">
        <v>27</v>
      </c>
      <c r="D727" s="8" t="s">
        <v>28</v>
      </c>
      <c r="E727" s="8" t="s">
        <v>19</v>
      </c>
      <c r="F727" s="8" t="s">
        <v>20</v>
      </c>
      <c r="G727" s="8" t="s">
        <v>21</v>
      </c>
      <c r="H727" s="9"/>
      <c r="I727" s="9"/>
      <c r="J727" s="10">
        <f t="shared" ref="J727:M727" si="472">ifs(OR($H727="R",$I727="N"),"N/A",OR(C727="A",C727="B",C727="C",C727="U"),3,TRUE,"FLAG")</f>
        <v>3</v>
      </c>
      <c r="K727" s="10">
        <f t="shared" si="472"/>
        <v>3</v>
      </c>
      <c r="L727" s="10">
        <f t="shared" si="472"/>
        <v>3</v>
      </c>
      <c r="M727" s="10" t="str">
        <f t="shared" si="472"/>
        <v>FLAG</v>
      </c>
      <c r="N727" s="10" t="str">
        <f t="shared" si="2"/>
        <v>21-5825(a) - Counterfeiting; Retail value less than $1000</v>
      </c>
      <c r="O727" s="10" t="str">
        <f t="shared" si="3"/>
        <v>Counterfeiting</v>
      </c>
    </row>
    <row r="728">
      <c r="A728" s="7" t="s">
        <v>1380</v>
      </c>
      <c r="B728" s="8" t="s">
        <v>1381</v>
      </c>
      <c r="C728" s="8">
        <v>9.0</v>
      </c>
      <c r="D728" s="8">
        <v>10.0</v>
      </c>
      <c r="E728" s="8">
        <v>10.0</v>
      </c>
      <c r="F728" s="8">
        <v>10.0</v>
      </c>
      <c r="G728" s="8" t="s">
        <v>21</v>
      </c>
      <c r="H728" s="9"/>
      <c r="I728" s="9"/>
      <c r="N728" s="10" t="str">
        <f t="shared" si="2"/>
        <v>19-3519(b)(2) - Counties &amp; County Officers; Water Supply &amp; Distribution Districts; fraudulent claims $1000 but &lt; $25,000</v>
      </c>
      <c r="O728" s="10" t="str">
        <f t="shared" si="3"/>
        <v>Counties &amp; County Officers</v>
      </c>
    </row>
    <row r="729">
      <c r="A729" s="7" t="s">
        <v>1382</v>
      </c>
      <c r="B729" s="8" t="s">
        <v>1383</v>
      </c>
      <c r="C729" s="8">
        <v>7.0</v>
      </c>
      <c r="D729" s="8">
        <v>9.0</v>
      </c>
      <c r="E729" s="8">
        <v>9.0</v>
      </c>
      <c r="F729" s="8">
        <v>10.0</v>
      </c>
      <c r="G729" s="8" t="s">
        <v>21</v>
      </c>
      <c r="H729" s="9"/>
      <c r="I729" s="9"/>
      <c r="N729" s="10" t="str">
        <f t="shared" si="2"/>
        <v>19-3519(b)(3) - Counties &amp; County Officers; Water Supply &amp; Distribution Districts; fraudulent claims $25,000 or more</v>
      </c>
      <c r="O729" s="10" t="str">
        <f t="shared" si="3"/>
        <v>Counties &amp; County Officers</v>
      </c>
    </row>
    <row r="730">
      <c r="A730" s="7" t="s">
        <v>1384</v>
      </c>
      <c r="B730" s="8" t="s">
        <v>1385</v>
      </c>
      <c r="C730" s="8" t="s">
        <v>18</v>
      </c>
      <c r="D730" s="8" t="s">
        <v>18</v>
      </c>
      <c r="E730" s="8" t="s">
        <v>19</v>
      </c>
      <c r="F730" s="8" t="s">
        <v>20</v>
      </c>
      <c r="G730" s="8" t="s">
        <v>21</v>
      </c>
      <c r="H730" s="9"/>
      <c r="I730" s="9"/>
      <c r="J730" s="10">
        <f t="shared" ref="J730:M730" si="473">ifs(OR($H730="R",$I730="N"),"N/A",OR(C730="A",C730="B",C730="C",C730="U"),3,TRUE,"FLAG")</f>
        <v>3</v>
      </c>
      <c r="K730" s="10">
        <f t="shared" si="473"/>
        <v>3</v>
      </c>
      <c r="L730" s="10">
        <f t="shared" si="473"/>
        <v>3</v>
      </c>
      <c r="M730" s="10" t="str">
        <f t="shared" si="473"/>
        <v>FLAG</v>
      </c>
      <c r="N730" s="10" t="str">
        <f t="shared" si="2"/>
        <v>19-323 - Counties/County Clerks; Failure or refusal to file Biennial list of county officers, their signatures and imprint of seals with secretary of state</v>
      </c>
      <c r="O730" s="10" t="str">
        <f t="shared" si="3"/>
        <v>Counties/County Clerks</v>
      </c>
    </row>
    <row r="731">
      <c r="A731" s="7" t="s">
        <v>1386</v>
      </c>
      <c r="B731" s="8" t="s">
        <v>1387</v>
      </c>
      <c r="C731" s="8" t="s">
        <v>18</v>
      </c>
      <c r="D731" s="8" t="s">
        <v>18</v>
      </c>
      <c r="E731" s="8" t="s">
        <v>19</v>
      </c>
      <c r="F731" s="8" t="s">
        <v>20</v>
      </c>
      <c r="G731" s="8" t="s">
        <v>21</v>
      </c>
      <c r="H731" s="9"/>
      <c r="I731" s="9"/>
      <c r="J731" s="10">
        <f t="shared" ref="J731:M731" si="474">ifs(OR($H731="R",$I731="N"),"N/A",OR(C731="A",C731="B",C731="C",C731="U"),3,TRUE,"FLAG")</f>
        <v>3</v>
      </c>
      <c r="K731" s="10">
        <f t="shared" si="474"/>
        <v>3</v>
      </c>
      <c r="L731" s="10">
        <f t="shared" si="474"/>
        <v>3</v>
      </c>
      <c r="M731" s="10" t="str">
        <f t="shared" si="474"/>
        <v>FLAG</v>
      </c>
      <c r="N731" s="10" t="str">
        <f t="shared" si="2"/>
        <v>19-241 - Counties/County Commissioners; County charges and expenses; tax levy, use of proceeds</v>
      </c>
      <c r="O731" s="10" t="str">
        <f t="shared" si="3"/>
        <v>Counties/County Commissioners</v>
      </c>
    </row>
    <row r="732">
      <c r="A732" s="7" t="s">
        <v>1388</v>
      </c>
      <c r="B732" s="8" t="s">
        <v>1389</v>
      </c>
      <c r="C732" s="8" t="s">
        <v>18</v>
      </c>
      <c r="D732" s="8" t="s">
        <v>18</v>
      </c>
      <c r="E732" s="8" t="s">
        <v>19</v>
      </c>
      <c r="F732" s="8" t="s">
        <v>20</v>
      </c>
      <c r="G732" s="8" t="s">
        <v>21</v>
      </c>
      <c r="H732" s="9"/>
      <c r="I732" s="9"/>
      <c r="J732" s="10">
        <f t="shared" ref="J732:M732" si="475">ifs(OR($H732="R",$I732="N"),"N/A",OR(C732="A",C732="B",C732="C",C732="U"),3,TRUE,"FLAG")</f>
        <v>3</v>
      </c>
      <c r="K732" s="10">
        <f t="shared" si="475"/>
        <v>3</v>
      </c>
      <c r="L732" s="10">
        <f t="shared" si="475"/>
        <v>3</v>
      </c>
      <c r="M732" s="10" t="str">
        <f t="shared" si="475"/>
        <v>FLAG</v>
      </c>
      <c r="N732" s="10" t="str">
        <f t="shared" si="2"/>
        <v>19-242 - Counties/County Commissioners; Issuance of warrants or warrant checks for more than allowed</v>
      </c>
      <c r="O732" s="10" t="str">
        <f t="shared" si="3"/>
        <v>Counties/County Commissioners</v>
      </c>
    </row>
    <row r="733">
      <c r="A733" s="7" t="s">
        <v>1390</v>
      </c>
      <c r="B733" s="8" t="s">
        <v>1391</v>
      </c>
      <c r="C733" s="8" t="s">
        <v>18</v>
      </c>
      <c r="D733" s="8" t="s">
        <v>18</v>
      </c>
      <c r="E733" s="8" t="s">
        <v>19</v>
      </c>
      <c r="F733" s="8" t="s">
        <v>20</v>
      </c>
      <c r="G733" s="8" t="s">
        <v>21</v>
      </c>
      <c r="H733" s="9"/>
      <c r="I733" s="9"/>
      <c r="J733" s="10">
        <f t="shared" ref="J733:M733" si="476">ifs(OR($H733="R",$I733="N"),"N/A",OR(C733="A",C733="B",C733="C",C733="U"),3,TRUE,"FLAG")</f>
        <v>3</v>
      </c>
      <c r="K733" s="10">
        <f t="shared" si="476"/>
        <v>3</v>
      </c>
      <c r="L733" s="10">
        <f t="shared" si="476"/>
        <v>3</v>
      </c>
      <c r="M733" s="10" t="str">
        <f t="shared" si="476"/>
        <v>FLAG</v>
      </c>
      <c r="N733" s="10" t="str">
        <f t="shared" si="2"/>
        <v>19-233 - Counties/County Commissioners; Violation of law by commissioner</v>
      </c>
      <c r="O733" s="10" t="str">
        <f t="shared" si="3"/>
        <v>Counties/County Commissioners</v>
      </c>
    </row>
    <row r="734">
      <c r="A734" s="7" t="s">
        <v>1392</v>
      </c>
      <c r="B734" s="8" t="s">
        <v>1393</v>
      </c>
      <c r="C734" s="8" t="s">
        <v>18</v>
      </c>
      <c r="D734" s="8" t="s">
        <v>18</v>
      </c>
      <c r="E734" s="8" t="s">
        <v>19</v>
      </c>
      <c r="F734" s="8" t="s">
        <v>20</v>
      </c>
      <c r="G734" s="8" t="s">
        <v>21</v>
      </c>
      <c r="H734" s="9"/>
      <c r="I734" s="9"/>
      <c r="J734" s="10">
        <f t="shared" ref="J734:M734" si="477">ifs(OR($H734="R",$I734="N"),"N/A",OR(C734="A",C734="B",C734="C",C734="U"),3,TRUE,"FLAG")</f>
        <v>3</v>
      </c>
      <c r="K734" s="10">
        <f t="shared" si="477"/>
        <v>3</v>
      </c>
      <c r="L734" s="10">
        <f t="shared" si="477"/>
        <v>3</v>
      </c>
      <c r="M734" s="10" t="str">
        <f t="shared" si="477"/>
        <v>FLAG</v>
      </c>
      <c r="N734" s="10" t="str">
        <f t="shared" si="2"/>
        <v>19-1907 - Counties/County Officers; Jails; sheriff, jailer or keeper; intoxicating liquors</v>
      </c>
      <c r="O734" s="10" t="str">
        <f t="shared" si="3"/>
        <v>Counties/County Officers</v>
      </c>
    </row>
    <row r="735">
      <c r="A735" s="7" t="s">
        <v>1394</v>
      </c>
      <c r="B735" s="8" t="s">
        <v>1395</v>
      </c>
      <c r="C735" s="8" t="s">
        <v>18</v>
      </c>
      <c r="D735" s="8" t="s">
        <v>18</v>
      </c>
      <c r="E735" s="8" t="s">
        <v>19</v>
      </c>
      <c r="F735" s="8" t="s">
        <v>20</v>
      </c>
      <c r="G735" s="8" t="s">
        <v>21</v>
      </c>
      <c r="H735" s="9"/>
      <c r="I735" s="9"/>
      <c r="J735" s="10">
        <f t="shared" ref="J735:M735" si="478">ifs(OR($H735="R",$I735="N"),"N/A",OR(C735="A",C735="B",C735="C",C735="U"),3,TRUE,"FLAG")</f>
        <v>3</v>
      </c>
      <c r="K735" s="10">
        <f t="shared" si="478"/>
        <v>3</v>
      </c>
      <c r="L735" s="10">
        <f t="shared" si="478"/>
        <v>3</v>
      </c>
      <c r="M735" s="10" t="str">
        <f t="shared" si="478"/>
        <v>FLAG</v>
      </c>
      <c r="N735" s="10" t="str">
        <f t="shared" si="2"/>
        <v>19-2202 - Counties/County Officers; Licenses; unlicensed itinerant vendors of drugs or appliances; failure to supply license on demand</v>
      </c>
      <c r="O735" s="10" t="str">
        <f t="shared" si="3"/>
        <v>Counties/County Officers</v>
      </c>
    </row>
    <row r="736">
      <c r="A736" s="7" t="s">
        <v>1396</v>
      </c>
      <c r="B736" s="8" t="s">
        <v>1397</v>
      </c>
      <c r="C736" s="8" t="s">
        <v>18</v>
      </c>
      <c r="D736" s="8" t="s">
        <v>18</v>
      </c>
      <c r="E736" s="8" t="s">
        <v>19</v>
      </c>
      <c r="F736" s="8" t="s">
        <v>20</v>
      </c>
      <c r="G736" s="8" t="s">
        <v>21</v>
      </c>
      <c r="H736" s="9"/>
      <c r="I736" s="9"/>
      <c r="J736" s="10">
        <f t="shared" ref="J736:M736" si="479">ifs(OR($H736="R",$I736="N"),"N/A",OR(C736="A",C736="B",C736="C",C736="U"),3,TRUE,"FLAG")</f>
        <v>3</v>
      </c>
      <c r="K736" s="10">
        <f t="shared" si="479"/>
        <v>3</v>
      </c>
      <c r="L736" s="10">
        <f t="shared" si="479"/>
        <v>3</v>
      </c>
      <c r="M736" s="10" t="str">
        <f t="shared" si="479"/>
        <v>FLAG</v>
      </c>
      <c r="N736" s="10" t="str">
        <f t="shared" si="2"/>
        <v>19-2207 - Counties/County Officers; Licenses; unlicensed peddler or failure of peddler to pay required tax</v>
      </c>
      <c r="O736" s="10" t="str">
        <f t="shared" si="3"/>
        <v>Counties/County Officers</v>
      </c>
    </row>
    <row r="737">
      <c r="A737" s="7" t="s">
        <v>1398</v>
      </c>
      <c r="B737" s="8" t="s">
        <v>1399</v>
      </c>
      <c r="C737" s="8" t="s">
        <v>18</v>
      </c>
      <c r="D737" s="8" t="s">
        <v>18</v>
      </c>
      <c r="E737" s="8" t="s">
        <v>19</v>
      </c>
      <c r="F737" s="8" t="s">
        <v>20</v>
      </c>
      <c r="G737" s="8" t="s">
        <v>21</v>
      </c>
      <c r="H737" s="9"/>
      <c r="I737" s="9"/>
      <c r="J737" s="10">
        <f t="shared" ref="J737:M737" si="480">ifs(OR($H737="R",$I737="N"),"N/A",OR(C737="A",C737="B",C737="C",C737="U"),3,TRUE,"FLAG")</f>
        <v>3</v>
      </c>
      <c r="K737" s="10">
        <f t="shared" si="480"/>
        <v>3</v>
      </c>
      <c r="L737" s="10">
        <f t="shared" si="480"/>
        <v>3</v>
      </c>
      <c r="M737" s="10" t="str">
        <f t="shared" si="480"/>
        <v>FLAG</v>
      </c>
      <c r="N737" s="10" t="str">
        <f t="shared" si="2"/>
        <v>19-1215 - Counties/County Officers; Register of Deeds; penalty for any violation of act</v>
      </c>
      <c r="O737" s="10" t="str">
        <f t="shared" si="3"/>
        <v>Counties/County Officers</v>
      </c>
    </row>
    <row r="738">
      <c r="A738" s="7" t="s">
        <v>1400</v>
      </c>
      <c r="B738" s="8" t="s">
        <v>1401</v>
      </c>
      <c r="C738" s="8" t="s">
        <v>27</v>
      </c>
      <c r="D738" s="8" t="s">
        <v>28</v>
      </c>
      <c r="E738" s="8" t="s">
        <v>19</v>
      </c>
      <c r="F738" s="8" t="s">
        <v>20</v>
      </c>
      <c r="G738" s="8" t="s">
        <v>21</v>
      </c>
      <c r="H738" s="9"/>
      <c r="I738" s="9"/>
      <c r="J738" s="10">
        <f t="shared" ref="J738:M738" si="481">ifs(OR($H738="R",$I738="N"),"N/A",OR(C738="A",C738="B",C738="C",C738="U"),3,TRUE,"FLAG")</f>
        <v>3</v>
      </c>
      <c r="K738" s="10">
        <f t="shared" si="481"/>
        <v>3</v>
      </c>
      <c r="L738" s="10">
        <f t="shared" si="481"/>
        <v>3</v>
      </c>
      <c r="M738" s="10" t="str">
        <f t="shared" si="481"/>
        <v>FLAG</v>
      </c>
      <c r="N738" s="10" t="str">
        <f t="shared" si="2"/>
        <v>19-2240 - Counties/County Officers; Transient Merchant licensing act; penalty for any violation of act</v>
      </c>
      <c r="O738" s="10" t="str">
        <f t="shared" si="3"/>
        <v>Counties/County Officers</v>
      </c>
    </row>
    <row r="739">
      <c r="A739" s="7" t="s">
        <v>1402</v>
      </c>
      <c r="B739" s="8" t="s">
        <v>1403</v>
      </c>
      <c r="C739" s="8" t="s">
        <v>18</v>
      </c>
      <c r="D739" s="8" t="s">
        <v>18</v>
      </c>
      <c r="E739" s="8" t="s">
        <v>19</v>
      </c>
      <c r="F739" s="8" t="s">
        <v>20</v>
      </c>
      <c r="G739" s="8" t="s">
        <v>21</v>
      </c>
      <c r="H739" s="9"/>
      <c r="I739" s="9"/>
      <c r="J739" s="10">
        <f t="shared" ref="J739:M739" si="482">ifs(OR($H739="R",$I739="N"),"N/A",OR(C739="A",C739="B",C739="C",C739="U"),3,TRUE,"FLAG")</f>
        <v>3</v>
      </c>
      <c r="K739" s="10">
        <f t="shared" si="482"/>
        <v>3</v>
      </c>
      <c r="L739" s="10">
        <f t="shared" si="482"/>
        <v>3</v>
      </c>
      <c r="M739" s="10" t="str">
        <f t="shared" si="482"/>
        <v>FLAG</v>
      </c>
      <c r="N739" s="10" t="str">
        <f t="shared" si="2"/>
        <v>19-2620 - Counties/County Officers; Unauthorized change or altering of water mains</v>
      </c>
      <c r="O739" s="10" t="str">
        <f t="shared" si="3"/>
        <v>Counties/County Officers</v>
      </c>
    </row>
    <row r="740">
      <c r="A740" s="7" t="s">
        <v>1404</v>
      </c>
      <c r="B740" s="8" t="s">
        <v>1405</v>
      </c>
      <c r="C740" s="8" t="s">
        <v>18</v>
      </c>
      <c r="D740" s="8" t="s">
        <v>18</v>
      </c>
      <c r="E740" s="8" t="s">
        <v>19</v>
      </c>
      <c r="F740" s="8" t="s">
        <v>20</v>
      </c>
      <c r="G740" s="8" t="s">
        <v>21</v>
      </c>
      <c r="H740" s="9"/>
      <c r="I740" s="9"/>
      <c r="J740" s="10">
        <f t="shared" ref="J740:M740" si="483">ifs(OR($H740="R",$I740="N"),"N/A",OR(C740="A",C740="B",C740="C",C740="U"),3,TRUE,"FLAG")</f>
        <v>3</v>
      </c>
      <c r="K740" s="10">
        <f t="shared" si="483"/>
        <v>3</v>
      </c>
      <c r="L740" s="10">
        <f t="shared" si="483"/>
        <v>3</v>
      </c>
      <c r="M740" s="10" t="str">
        <f t="shared" si="483"/>
        <v>FLAG</v>
      </c>
      <c r="N740" s="10" t="str">
        <f t="shared" si="2"/>
        <v>19-2621 - Counties/County Officers; Unauthorized interference with water mains</v>
      </c>
      <c r="O740" s="10" t="str">
        <f t="shared" si="3"/>
        <v>Counties/County Officers</v>
      </c>
    </row>
    <row r="741">
      <c r="A741" s="7" t="s">
        <v>1406</v>
      </c>
      <c r="B741" s="8" t="s">
        <v>1407</v>
      </c>
      <c r="C741" s="8" t="s">
        <v>18</v>
      </c>
      <c r="D741" s="8" t="s">
        <v>18</v>
      </c>
      <c r="E741" s="8" t="s">
        <v>19</v>
      </c>
      <c r="F741" s="8" t="s">
        <v>20</v>
      </c>
      <c r="G741" s="8" t="s">
        <v>21</v>
      </c>
      <c r="H741" s="9"/>
      <c r="I741" s="9"/>
      <c r="J741" s="10">
        <f t="shared" ref="J741:M741" si="484">ifs(OR($H741="R",$I741="N"),"N/A",OR(C741="A",C741="B",C741="C",C741="U"),3,TRUE,"FLAG")</f>
        <v>3</v>
      </c>
      <c r="K741" s="10">
        <f t="shared" si="484"/>
        <v>3</v>
      </c>
      <c r="L741" s="10">
        <f t="shared" si="484"/>
        <v>3</v>
      </c>
      <c r="M741" s="10" t="str">
        <f t="shared" si="484"/>
        <v>FLAG</v>
      </c>
      <c r="N741" s="10" t="str">
        <f t="shared" si="2"/>
        <v>19-537 - Counties/County Treasurers; Penalty for willful violation of K.S.A. 19-531 to 19-537</v>
      </c>
      <c r="O741" s="10" t="str">
        <f t="shared" si="3"/>
        <v>Counties/County Treasurers</v>
      </c>
    </row>
    <row r="742">
      <c r="A742" s="7" t="s">
        <v>1408</v>
      </c>
      <c r="B742" s="8" t="s">
        <v>1409</v>
      </c>
      <c r="C742" s="8" t="s">
        <v>18</v>
      </c>
      <c r="D742" s="8" t="s">
        <v>18</v>
      </c>
      <c r="E742" s="8" t="s">
        <v>19</v>
      </c>
      <c r="F742" s="8" t="s">
        <v>20</v>
      </c>
      <c r="G742" s="8" t="s">
        <v>21</v>
      </c>
      <c r="H742" s="9"/>
      <c r="I742" s="9"/>
      <c r="J742" s="10">
        <f t="shared" ref="J742:M742" si="485">ifs(OR($H742="R",$I742="N"),"N/A",OR(C742="A",C742="B",C742="C",C742="U"),3,TRUE,"FLAG")</f>
        <v>3</v>
      </c>
      <c r="K742" s="10">
        <f t="shared" si="485"/>
        <v>3</v>
      </c>
      <c r="L742" s="10">
        <f t="shared" si="485"/>
        <v>3</v>
      </c>
      <c r="M742" s="10" t="str">
        <f t="shared" si="485"/>
        <v>FLAG</v>
      </c>
      <c r="N742" s="10" t="str">
        <f t="shared" si="2"/>
        <v>20-911 - Court Reporters; District Courts; false certificate or omission of portion of notes</v>
      </c>
      <c r="O742" s="10" t="str">
        <f t="shared" si="3"/>
        <v>Court Reporters</v>
      </c>
    </row>
    <row r="743">
      <c r="A743" s="7" t="s">
        <v>1410</v>
      </c>
      <c r="B743" s="8" t="s">
        <v>1411</v>
      </c>
      <c r="C743" s="8" t="s">
        <v>28</v>
      </c>
      <c r="D743" s="8" t="s">
        <v>19</v>
      </c>
      <c r="E743" s="8" t="s">
        <v>19</v>
      </c>
      <c r="F743" s="8" t="s">
        <v>20</v>
      </c>
      <c r="G743" s="8" t="s">
        <v>21</v>
      </c>
      <c r="H743" s="9"/>
      <c r="I743" s="9"/>
      <c r="J743" s="10">
        <f t="shared" ref="J743:M743" si="486">ifs(OR($H743="R",$I743="N"),"N/A",OR(C743="A",C743="B",C743="C",C743="U"),3,TRUE,"FLAG")</f>
        <v>3</v>
      </c>
      <c r="K743" s="10">
        <f t="shared" si="486"/>
        <v>3</v>
      </c>
      <c r="L743" s="10">
        <f t="shared" si="486"/>
        <v>3</v>
      </c>
      <c r="M743" s="10" t="str">
        <f t="shared" si="486"/>
        <v>FLAG</v>
      </c>
      <c r="N743" s="10" t="str">
        <f t="shared" si="2"/>
        <v>21-6318(a)(3) - Creating a Hazard; Recklessly exposing, abandoning or otherwise leaving any explosive or dangerous substance in a place accessible to children</v>
      </c>
      <c r="O743" s="10" t="str">
        <f t="shared" si="3"/>
        <v>Creating a Hazard</v>
      </c>
    </row>
    <row r="744">
      <c r="A744" s="7" t="s">
        <v>1412</v>
      </c>
      <c r="B744" s="8" t="s">
        <v>1413</v>
      </c>
      <c r="C744" s="8" t="s">
        <v>28</v>
      </c>
      <c r="D744" s="8" t="s">
        <v>19</v>
      </c>
      <c r="E744" s="8" t="s">
        <v>19</v>
      </c>
      <c r="F744" s="8" t="s">
        <v>20</v>
      </c>
      <c r="G744" s="8" t="s">
        <v>21</v>
      </c>
      <c r="H744" s="9"/>
      <c r="I744" s="9"/>
      <c r="J744" s="10">
        <f t="shared" ref="J744:M744" si="487">ifs(OR($H744="R",$I744="N"),"N/A",OR(C744="A",C744="B",C744="C",C744="U"),3,TRUE,"FLAG")</f>
        <v>3</v>
      </c>
      <c r="K744" s="10">
        <f t="shared" si="487"/>
        <v>3</v>
      </c>
      <c r="L744" s="10">
        <f t="shared" si="487"/>
        <v>3</v>
      </c>
      <c r="M744" s="10" t="str">
        <f t="shared" si="487"/>
        <v>FLAG</v>
      </c>
      <c r="N744" s="10" t="str">
        <f t="shared" si="2"/>
        <v>21-6318(a)(2) - Creating a Hazard; Recklessly owning or possessing property upon which a cistern, well or cesspool is located and failing to cover the same with protective covering of sufficient strength and quality to exclude human beings and domestic animals therefrom</v>
      </c>
      <c r="O744" s="10" t="str">
        <f t="shared" si="3"/>
        <v>Creating a Hazard</v>
      </c>
    </row>
    <row r="745">
      <c r="A745" s="7" t="s">
        <v>1414</v>
      </c>
      <c r="B745" s="8" t="s">
        <v>1415</v>
      </c>
      <c r="C745" s="8" t="s">
        <v>28</v>
      </c>
      <c r="D745" s="8" t="s">
        <v>19</v>
      </c>
      <c r="E745" s="8" t="s">
        <v>19</v>
      </c>
      <c r="F745" s="8" t="s">
        <v>20</v>
      </c>
      <c r="G745" s="8" t="s">
        <v>21</v>
      </c>
      <c r="H745" s="9"/>
      <c r="I745" s="9"/>
      <c r="J745" s="10">
        <f t="shared" ref="J745:M745" si="488">ifs(OR($H745="R",$I745="N"),"N/A",OR(C745="A",C745="B",C745="C",C745="U"),3,TRUE,"FLAG")</f>
        <v>3</v>
      </c>
      <c r="K745" s="10">
        <f t="shared" si="488"/>
        <v>3</v>
      </c>
      <c r="L745" s="10">
        <f t="shared" si="488"/>
        <v>3</v>
      </c>
      <c r="M745" s="10" t="str">
        <f t="shared" si="488"/>
        <v>FLAG</v>
      </c>
      <c r="N745" s="10" t="str">
        <f t="shared" si="2"/>
        <v>21-6318(a)(1) - Creating a Hazard; Recklessly storing or abandoning, in a place accessible to children, a container with a compartment of more than 1.5 cubic feet capacity and a door/lid which locks or fastens automatically when closed and cannot be easily opened from the inside, and failing to remove the door, lock, lid or fastening device on such container</v>
      </c>
      <c r="O745" s="10" t="str">
        <f t="shared" si="3"/>
        <v>Creating a Hazard</v>
      </c>
    </row>
    <row r="746">
      <c r="A746" s="7" t="s">
        <v>1416</v>
      </c>
      <c r="B746" s="8" t="s">
        <v>1417</v>
      </c>
      <c r="C746" s="8">
        <v>10.0</v>
      </c>
      <c r="D746" s="8">
        <v>10.0</v>
      </c>
      <c r="E746" s="8">
        <v>10.0</v>
      </c>
      <c r="F746" s="8">
        <v>10.0</v>
      </c>
      <c r="G746" s="8" t="s">
        <v>21</v>
      </c>
      <c r="H746" s="9"/>
      <c r="I746" s="9"/>
      <c r="N746" s="10" t="str">
        <f t="shared" si="2"/>
        <v>16-843 - Credit Cards; Using a forged, lost, stolen,or fraudulently obtained credit card in a transaction affecting intrastate commerce to obtain goods or services over $5,000</v>
      </c>
      <c r="O746" s="10" t="str">
        <f t="shared" si="3"/>
        <v>Credit Cards</v>
      </c>
    </row>
    <row r="747">
      <c r="A747" s="7" t="s">
        <v>1418</v>
      </c>
      <c r="B747" s="8" t="s">
        <v>1419</v>
      </c>
      <c r="C747" s="8" t="s">
        <v>28</v>
      </c>
      <c r="D747" s="8" t="s">
        <v>19</v>
      </c>
      <c r="E747" s="8" t="s">
        <v>19</v>
      </c>
      <c r="F747" s="8" t="s">
        <v>20</v>
      </c>
      <c r="G747" s="8" t="s">
        <v>21</v>
      </c>
      <c r="H747" s="9"/>
      <c r="I747" s="9"/>
      <c r="J747" s="10">
        <f t="shared" ref="J747:M747" si="489">ifs(OR($H747="R",$I747="N"),"N/A",OR(C747="A",C747="B",C747="C",C747="U"),3,TRUE,"FLAG")</f>
        <v>3</v>
      </c>
      <c r="K747" s="10">
        <f t="shared" si="489"/>
        <v>3</v>
      </c>
      <c r="L747" s="10">
        <f t="shared" si="489"/>
        <v>3</v>
      </c>
      <c r="M747" s="10" t="str">
        <f t="shared" si="489"/>
        <v>FLAG</v>
      </c>
      <c r="N747" s="10" t="str">
        <f t="shared" si="2"/>
        <v>50-1131 - Credit Services Organization Act; Violation act or any rule and regulation promulgated thereunder</v>
      </c>
      <c r="O747" s="10" t="str">
        <f t="shared" si="3"/>
        <v>Credit Services Organization Act</v>
      </c>
    </row>
    <row r="748">
      <c r="A748" s="7" t="s">
        <v>1420</v>
      </c>
      <c r="B748" s="8" t="s">
        <v>1421</v>
      </c>
      <c r="C748" s="8" t="s">
        <v>19</v>
      </c>
      <c r="D748" s="8" t="s">
        <v>19</v>
      </c>
      <c r="E748" s="8" t="s">
        <v>19</v>
      </c>
      <c r="F748" s="8" t="s">
        <v>20</v>
      </c>
      <c r="G748" s="8" t="s">
        <v>21</v>
      </c>
      <c r="H748" s="9"/>
      <c r="I748" s="9"/>
      <c r="J748" s="10">
        <f t="shared" ref="J748:M748" si="490">ifs(OR($H748="R",$I748="N"),"N/A",OR(C748="A",C748="B",C748="C",C748="U"),3,TRUE,"FLAG")</f>
        <v>3</v>
      </c>
      <c r="K748" s="10">
        <f t="shared" si="490"/>
        <v>3</v>
      </c>
      <c r="L748" s="10">
        <f t="shared" si="490"/>
        <v>3</v>
      </c>
      <c r="M748" s="10" t="str">
        <f t="shared" si="490"/>
        <v>FLAG</v>
      </c>
      <c r="N748" s="10" t="str">
        <f t="shared" si="2"/>
        <v>17-2261 - Credit Unions; Penalty for any violation of K.S.A. 17-2252 through 17-2257</v>
      </c>
      <c r="O748" s="10" t="str">
        <f t="shared" si="3"/>
        <v>Credit Unions</v>
      </c>
    </row>
    <row r="749">
      <c r="A749" s="7" t="s">
        <v>1422</v>
      </c>
      <c r="B749" s="8" t="s">
        <v>1423</v>
      </c>
      <c r="C749" s="8" t="s">
        <v>27</v>
      </c>
      <c r="D749" s="8" t="s">
        <v>28</v>
      </c>
      <c r="E749" s="8" t="s">
        <v>19</v>
      </c>
      <c r="F749" s="8" t="s">
        <v>20</v>
      </c>
      <c r="G749" s="8" t="s">
        <v>21</v>
      </c>
      <c r="H749" s="9"/>
      <c r="I749" s="9"/>
      <c r="J749" s="10">
        <f t="shared" ref="J749:M749" si="491">ifs(OR($H749="R",$I749="N"),"N/A",OR(C749="A",C749="B",C749="C",C749="U"),3,TRUE,"FLAG")</f>
        <v>3</v>
      </c>
      <c r="K749" s="10">
        <f t="shared" si="491"/>
        <v>3</v>
      </c>
      <c r="L749" s="10">
        <f t="shared" si="491"/>
        <v>3</v>
      </c>
      <c r="M749" s="10" t="str">
        <f t="shared" si="491"/>
        <v>FLAG</v>
      </c>
      <c r="N749" s="10" t="str">
        <f t="shared" si="2"/>
        <v>17-2203(a) - Credit Unions; Unauthorized use of the words "credit union" in any name or title</v>
      </c>
      <c r="O749" s="10" t="str">
        <f t="shared" si="3"/>
        <v>Credit Unions</v>
      </c>
    </row>
    <row r="750">
      <c r="A750" s="7" t="s">
        <v>1424</v>
      </c>
      <c r="B750" s="8" t="s">
        <v>1425</v>
      </c>
      <c r="C750" s="8">
        <v>9.0</v>
      </c>
      <c r="D750" s="8">
        <v>10.0</v>
      </c>
      <c r="E750" s="8">
        <v>10.0</v>
      </c>
      <c r="F750" s="8">
        <v>10.0</v>
      </c>
      <c r="G750" s="8" t="s">
        <v>21</v>
      </c>
      <c r="H750" s="9"/>
      <c r="I750" s="9"/>
      <c r="N750" s="10" t="str">
        <f t="shared" si="2"/>
        <v>21-6302(a)(5) - Criminal Carrying of a Weapon; Knowingly carrying a shotgun with a barrel less than 18 inches in length or any automatic weapons</v>
      </c>
      <c r="O750" s="10" t="str">
        <f t="shared" si="3"/>
        <v>Criminal Carrying of a Weapon</v>
      </c>
    </row>
    <row r="751">
      <c r="A751" s="7" t="s">
        <v>1426</v>
      </c>
      <c r="B751" s="8" t="s">
        <v>1427</v>
      </c>
      <c r="C751" s="8" t="s">
        <v>27</v>
      </c>
      <c r="D751" s="8" t="s">
        <v>28</v>
      </c>
      <c r="E751" s="8" t="s">
        <v>19</v>
      </c>
      <c r="F751" s="8" t="s">
        <v>20</v>
      </c>
      <c r="G751" s="8" t="s">
        <v>21</v>
      </c>
      <c r="H751" s="9"/>
      <c r="I751" s="9"/>
      <c r="J751" s="10">
        <f t="shared" ref="J751:M751" si="492">ifs(OR($H751="R",$I751="N"),"N/A",OR(C751="A",C751="B",C751="C",C751="U"),3,TRUE,"FLAG")</f>
        <v>3</v>
      </c>
      <c r="K751" s="10">
        <f t="shared" si="492"/>
        <v>3</v>
      </c>
      <c r="L751" s="10">
        <f t="shared" si="492"/>
        <v>3</v>
      </c>
      <c r="M751" s="10" t="str">
        <f t="shared" si="492"/>
        <v>FLAG</v>
      </c>
      <c r="N751" s="10" t="str">
        <f t="shared" si="2"/>
        <v>21-6302(a)(1) - Criminal Carrying of a Weapon; Knowingly carrying bludgeon, sand club, switch-blade, throwing stars, metal knuckles</v>
      </c>
      <c r="O751" s="10" t="str">
        <f t="shared" si="3"/>
        <v>Criminal Carrying of a Weapon</v>
      </c>
    </row>
    <row r="752">
      <c r="A752" s="7" t="s">
        <v>1428</v>
      </c>
      <c r="B752" s="8" t="s">
        <v>1429</v>
      </c>
      <c r="C752" s="8" t="s">
        <v>27</v>
      </c>
      <c r="D752" s="8" t="s">
        <v>28</v>
      </c>
      <c r="E752" s="8" t="s">
        <v>19</v>
      </c>
      <c r="F752" s="8" t="s">
        <v>20</v>
      </c>
      <c r="G752" s="8" t="s">
        <v>21</v>
      </c>
      <c r="H752" s="9"/>
      <c r="I752" s="9"/>
      <c r="J752" s="10">
        <f t="shared" ref="J752:M752" si="493">ifs(OR($H752="R",$I752="N"),"N/A",OR(C752="A",C752="B",C752="C",C752="U"),3,TRUE,"FLAG")</f>
        <v>3</v>
      </c>
      <c r="K752" s="10">
        <f t="shared" si="493"/>
        <v>3</v>
      </c>
      <c r="L752" s="10">
        <f t="shared" si="493"/>
        <v>3</v>
      </c>
      <c r="M752" s="10" t="str">
        <f t="shared" si="493"/>
        <v>FLAG</v>
      </c>
      <c r="N752" s="10" t="str">
        <f t="shared" si="2"/>
        <v>21-6302(a)(2) - Criminal Carrying of a Weapon; Knowingly carrying concealed on one's person, a dagger, dirk, billy, blackjack, slingshot, dangerous knife, straight-edge razor, stiletto, or other dangerous or deadly weapon; except ordinary pocket knife</v>
      </c>
      <c r="O752" s="10" t="str">
        <f t="shared" si="3"/>
        <v>Criminal Carrying of a Weapon</v>
      </c>
    </row>
    <row r="753">
      <c r="A753" s="7" t="s">
        <v>1430</v>
      </c>
      <c r="B753" s="8" t="s">
        <v>1431</v>
      </c>
      <c r="C753" s="8" t="s">
        <v>27</v>
      </c>
      <c r="D753" s="8" t="s">
        <v>28</v>
      </c>
      <c r="E753" s="8" t="s">
        <v>19</v>
      </c>
      <c r="F753" s="8" t="s">
        <v>20</v>
      </c>
      <c r="G753" s="8" t="s">
        <v>21</v>
      </c>
      <c r="H753" s="9"/>
      <c r="I753" s="9"/>
      <c r="J753" s="10">
        <f t="shared" ref="J753:M753" si="494">ifs(OR($H753="R",$I753="N"),"N/A",OR(C753="A",C753="B",C753="C",C753="U"),3,TRUE,"FLAG")</f>
        <v>3</v>
      </c>
      <c r="K753" s="10">
        <f t="shared" si="494"/>
        <v>3</v>
      </c>
      <c r="L753" s="10">
        <f t="shared" si="494"/>
        <v>3</v>
      </c>
      <c r="M753" s="10" t="str">
        <f t="shared" si="494"/>
        <v>FLAG</v>
      </c>
      <c r="N753" s="10" t="str">
        <f t="shared" si="2"/>
        <v>21-6302(a)(4) - Criminal Carrying of a Weapon; Knowingly carrying firearm concealed on one's person if under 21, except when on one's land or in one's abode or fixed place of business</v>
      </c>
      <c r="O753" s="10" t="str">
        <f t="shared" si="3"/>
        <v>Criminal Carrying of a Weapon</v>
      </c>
    </row>
    <row r="754">
      <c r="A754" s="7" t="s">
        <v>1432</v>
      </c>
      <c r="B754" s="8" t="s">
        <v>1433</v>
      </c>
      <c r="C754" s="8" t="s">
        <v>27</v>
      </c>
      <c r="D754" s="8" t="s">
        <v>28</v>
      </c>
      <c r="E754" s="8" t="s">
        <v>19</v>
      </c>
      <c r="F754" s="8" t="s">
        <v>20</v>
      </c>
      <c r="G754" s="8" t="s">
        <v>21</v>
      </c>
      <c r="H754" s="9"/>
      <c r="I754" s="9"/>
      <c r="J754" s="10">
        <f t="shared" ref="J754:M754" si="495">ifs(OR($H754="R",$I754="N"),"N/A",OR(C754="A",C754="B",C754="C",C754="U"),3,TRUE,"FLAG")</f>
        <v>3</v>
      </c>
      <c r="K754" s="10">
        <f t="shared" si="495"/>
        <v>3</v>
      </c>
      <c r="L754" s="10">
        <f t="shared" si="495"/>
        <v>3</v>
      </c>
      <c r="M754" s="10" t="str">
        <f t="shared" si="495"/>
        <v>FLAG</v>
      </c>
      <c r="N754" s="10" t="str">
        <f t="shared" si="2"/>
        <v>21-6302(a)(3) - Criminal Carrying of a Weapon; Knowingly carrying on one's person or in any land, water or air vehicle, with intent to unlawfully use, tear gas or smoke bomb or projector or any object containing a noxious liquid, gas or substance</v>
      </c>
      <c r="O754" s="10" t="str">
        <f t="shared" si="3"/>
        <v>Criminal Carrying of a Weapon</v>
      </c>
    </row>
    <row r="755">
      <c r="A755" s="7" t="s">
        <v>1434</v>
      </c>
      <c r="B755" s="8" t="s">
        <v>1435</v>
      </c>
      <c r="C755" s="8">
        <v>7.0</v>
      </c>
      <c r="D755" s="8">
        <v>9.0</v>
      </c>
      <c r="E755" s="8">
        <v>9.0</v>
      </c>
      <c r="F755" s="8">
        <v>10.0</v>
      </c>
      <c r="G755" s="8" t="s">
        <v>21</v>
      </c>
      <c r="H755" s="9"/>
      <c r="I755" s="9"/>
      <c r="N755" s="10" t="str">
        <f t="shared" si="2"/>
        <v>21-5813(a)(2) - Criminal Damage to Property; By means other than fire or explosive; Damage, deface, destroy, or substantially impair the use of any property with intent to injure or defraud an insurer or lien holder; damage $25,000 or more</v>
      </c>
      <c r="O755" s="10" t="str">
        <f t="shared" si="3"/>
        <v>Criminal Damage to Property</v>
      </c>
    </row>
    <row r="756">
      <c r="A756" s="7" t="s">
        <v>1436</v>
      </c>
      <c r="B756" s="8" t="s">
        <v>1435</v>
      </c>
      <c r="C756" s="8">
        <v>9.0</v>
      </c>
      <c r="D756" s="8">
        <v>10.0</v>
      </c>
      <c r="E756" s="8">
        <v>10.0</v>
      </c>
      <c r="F756" s="8">
        <v>10.0</v>
      </c>
      <c r="G756" s="8" t="s">
        <v>21</v>
      </c>
      <c r="H756" s="9"/>
      <c r="I756" s="9"/>
      <c r="N756" s="10" t="str">
        <f t="shared" si="2"/>
        <v>21-5813(a)(2) - Criminal Damage to Property; By means other than fire or explosive; Damage, deface, destroy, or substantially impair the use of any property with intent to injure or defraud an insurer or lien holder; damage at least $1,000 but less than $25,000</v>
      </c>
      <c r="O756" s="10" t="str">
        <f t="shared" si="3"/>
        <v>Criminal Damage to Property</v>
      </c>
    </row>
    <row r="757">
      <c r="A757" s="7" t="s">
        <v>1437</v>
      </c>
      <c r="B757" s="8" t="s">
        <v>1435</v>
      </c>
      <c r="C757" s="8" t="s">
        <v>28</v>
      </c>
      <c r="D757" s="8" t="s">
        <v>19</v>
      </c>
      <c r="E757" s="8" t="s">
        <v>19</v>
      </c>
      <c r="F757" s="8" t="s">
        <v>20</v>
      </c>
      <c r="G757" s="8" t="s">
        <v>21</v>
      </c>
      <c r="H757" s="9"/>
      <c r="I757" s="9"/>
      <c r="J757" s="10">
        <f t="shared" ref="J757:M757" si="496">ifs(OR($H757="R",$I757="N"),"N/A",OR(C757="A",C757="B",C757="C",C757="U"),3,TRUE,"FLAG")</f>
        <v>3</v>
      </c>
      <c r="K757" s="10">
        <f t="shared" si="496"/>
        <v>3</v>
      </c>
      <c r="L757" s="10">
        <f t="shared" si="496"/>
        <v>3</v>
      </c>
      <c r="M757" s="10" t="str">
        <f t="shared" si="496"/>
        <v>FLAG</v>
      </c>
      <c r="N757" s="10" t="str">
        <f t="shared" si="2"/>
        <v>21-5813(a)(2) - Criminal Damage to Property; By means other than fire or explosive; Damage, deface, destroy, or substantially impair the use of any property with intent to injure or defraud; value less than $1,000 or damaged less than $1,000</v>
      </c>
      <c r="O757" s="10" t="str">
        <f t="shared" si="3"/>
        <v>Criminal Damage to Property</v>
      </c>
    </row>
    <row r="758">
      <c r="A758" s="7" t="s">
        <v>1438</v>
      </c>
      <c r="B758" s="8" t="s">
        <v>1439</v>
      </c>
      <c r="C758" s="8" t="s">
        <v>28</v>
      </c>
      <c r="D758" s="8" t="s">
        <v>19</v>
      </c>
      <c r="E758" s="8" t="s">
        <v>19</v>
      </c>
      <c r="F758" s="8" t="s">
        <v>20</v>
      </c>
      <c r="G758" s="8" t="s">
        <v>21</v>
      </c>
      <c r="H758" s="9"/>
      <c r="I758" s="9"/>
      <c r="J758" s="10">
        <f t="shared" ref="J758:M758" si="497">ifs(OR($H758="R",$I758="N"),"N/A",OR(C758="A",C758="B",C758="C",C758="U"),3,TRUE,"FLAG")</f>
        <v>3</v>
      </c>
      <c r="K758" s="10">
        <f t="shared" si="497"/>
        <v>3</v>
      </c>
      <c r="L758" s="10">
        <f t="shared" si="497"/>
        <v>3</v>
      </c>
      <c r="M758" s="10" t="str">
        <f t="shared" si="497"/>
        <v>FLAG</v>
      </c>
      <c r="N758" s="10" t="str">
        <f t="shared" si="2"/>
        <v>21-5813(a)(1) - Criminal Damage to Property; By means other than fire or explosive; Knowingly damage, deface, destroy, or substantially impair the use of any property without consent; value less than $1,000 or damaged less than $1,000</v>
      </c>
      <c r="O758" s="10" t="str">
        <f t="shared" si="3"/>
        <v>Criminal Damage to Property</v>
      </c>
    </row>
    <row r="759">
      <c r="A759" s="7" t="s">
        <v>1440</v>
      </c>
      <c r="B759" s="8" t="s">
        <v>1439</v>
      </c>
      <c r="C759" s="8">
        <v>7.0</v>
      </c>
      <c r="D759" s="8">
        <v>9.0</v>
      </c>
      <c r="E759" s="8">
        <v>9.0</v>
      </c>
      <c r="F759" s="8">
        <v>10.0</v>
      </c>
      <c r="G759" s="8" t="s">
        <v>21</v>
      </c>
      <c r="H759" s="9"/>
      <c r="I759" s="9"/>
      <c r="N759" s="10" t="str">
        <f t="shared" si="2"/>
        <v>21-5813(a)(1) - Criminal Damage to Property; By means other than fire or explosive; Knowingly injure, damage, deface, destroy, or substantially impair the use of property without consent; damage $25,000 or more</v>
      </c>
      <c r="O759" s="10" t="str">
        <f t="shared" si="3"/>
        <v>Criminal Damage to Property</v>
      </c>
    </row>
    <row r="760">
      <c r="A760" s="7" t="s">
        <v>1441</v>
      </c>
      <c r="B760" s="8" t="s">
        <v>1439</v>
      </c>
      <c r="C760" s="8">
        <v>9.0</v>
      </c>
      <c r="D760" s="8">
        <v>10.0</v>
      </c>
      <c r="E760" s="8">
        <v>10.0</v>
      </c>
      <c r="F760" s="8">
        <v>10.0</v>
      </c>
      <c r="G760" s="8" t="s">
        <v>21</v>
      </c>
      <c r="H760" s="9"/>
      <c r="I760" s="9"/>
      <c r="N760" s="10" t="str">
        <f t="shared" si="2"/>
        <v>21-5813(a)(1) - Criminal Damage to Property; By means other than fire or explosive; Knowingly injure, damage, deface, destroy, or substantially impair the use of property without consent; damage at least $1,000 but less than $25,000</v>
      </c>
      <c r="O760" s="10" t="str">
        <f t="shared" si="3"/>
        <v>Criminal Damage to Property</v>
      </c>
    </row>
    <row r="761">
      <c r="A761" s="7" t="s">
        <v>1442</v>
      </c>
      <c r="B761" s="8" t="s">
        <v>1443</v>
      </c>
      <c r="C761" s="8" t="s">
        <v>27</v>
      </c>
      <c r="D761" s="8" t="s">
        <v>28</v>
      </c>
      <c r="E761" s="8" t="s">
        <v>19</v>
      </c>
      <c r="F761" s="8" t="s">
        <v>20</v>
      </c>
      <c r="G761" s="8" t="s">
        <v>21</v>
      </c>
      <c r="H761" s="9"/>
      <c r="I761" s="9"/>
      <c r="J761" s="10">
        <f t="shared" ref="J761:M761" si="498">ifs(OR($H761="R",$I761="N"),"N/A",OR(C761="A",C761="B",C761="C",C761="U"),3,TRUE,"FLAG")</f>
        <v>3</v>
      </c>
      <c r="K761" s="10">
        <f t="shared" si="498"/>
        <v>3</v>
      </c>
      <c r="L761" s="10">
        <f t="shared" si="498"/>
        <v>3</v>
      </c>
      <c r="M761" s="10" t="str">
        <f t="shared" si="498"/>
        <v>FLAG</v>
      </c>
      <c r="N761" s="10" t="str">
        <f t="shared" si="2"/>
        <v>21-5803(a) - Criminal Deprivation of Property; Motor vehicle; 1st or 2nd conviction</v>
      </c>
      <c r="O761" s="10" t="str">
        <f t="shared" si="3"/>
        <v>Criminal Deprivation of Property</v>
      </c>
    </row>
    <row r="762">
      <c r="A762" s="7" t="s">
        <v>1444</v>
      </c>
      <c r="B762" s="8" t="s">
        <v>1443</v>
      </c>
      <c r="C762" s="8">
        <v>9.0</v>
      </c>
      <c r="D762" s="8">
        <v>10.0</v>
      </c>
      <c r="E762" s="8">
        <v>10.0</v>
      </c>
      <c r="F762" s="8">
        <v>10.0</v>
      </c>
      <c r="G762" s="8" t="s">
        <v>21</v>
      </c>
      <c r="H762" s="9"/>
      <c r="I762" s="9"/>
      <c r="N762" s="10" t="str">
        <f t="shared" si="2"/>
        <v>21-5803(a) - Criminal Deprivation of Property; Motor vehicle; 3rd or subs. conviction</v>
      </c>
      <c r="O762" s="10" t="str">
        <f t="shared" si="3"/>
        <v>Criminal Deprivation of Property</v>
      </c>
    </row>
    <row r="763">
      <c r="A763" s="7" t="s">
        <v>1445</v>
      </c>
      <c r="B763" s="8" t="s">
        <v>1443</v>
      </c>
      <c r="C763" s="8" t="s">
        <v>27</v>
      </c>
      <c r="D763" s="8" t="s">
        <v>28</v>
      </c>
      <c r="E763" s="8" t="s">
        <v>19</v>
      </c>
      <c r="F763" s="8" t="s">
        <v>20</v>
      </c>
      <c r="G763" s="8" t="s">
        <v>21</v>
      </c>
      <c r="H763" s="9"/>
      <c r="I763" s="9"/>
      <c r="J763" s="10">
        <f t="shared" ref="J763:M763" si="499">ifs(OR($H763="R",$I763="N"),"N/A",OR(C763="A",C763="B",C763="C",C763="U"),3,TRUE,"FLAG")</f>
        <v>3</v>
      </c>
      <c r="K763" s="10">
        <f t="shared" si="499"/>
        <v>3</v>
      </c>
      <c r="L763" s="10">
        <f t="shared" si="499"/>
        <v>3</v>
      </c>
      <c r="M763" s="10" t="str">
        <f t="shared" si="499"/>
        <v>FLAG</v>
      </c>
      <c r="N763" s="10" t="str">
        <f t="shared" si="2"/>
        <v>21-5803(a) - Criminal Deprivation of Property; Property other than a motor vehicle</v>
      </c>
      <c r="O763" s="10" t="str">
        <f t="shared" si="3"/>
        <v>Criminal Deprivation of Property</v>
      </c>
    </row>
    <row r="764">
      <c r="A764" s="7" t="s">
        <v>1446</v>
      </c>
      <c r="B764" s="8" t="s">
        <v>1447</v>
      </c>
      <c r="C764" s="8" t="s">
        <v>27</v>
      </c>
      <c r="D764" s="8" t="s">
        <v>28</v>
      </c>
      <c r="E764" s="8" t="s">
        <v>19</v>
      </c>
      <c r="F764" s="8" t="s">
        <v>20</v>
      </c>
      <c r="G764" s="8" t="s">
        <v>21</v>
      </c>
      <c r="H764" s="9"/>
      <c r="I764" s="9"/>
      <c r="J764" s="10">
        <f t="shared" ref="J764:M764" si="500">ifs(OR($H764="R",$I764="N"),"N/A",OR(C764="A",C764="B",C764="C",C764="U"),3,TRUE,"FLAG")</f>
        <v>3</v>
      </c>
      <c r="K764" s="10">
        <f t="shared" si="500"/>
        <v>3</v>
      </c>
      <c r="L764" s="10">
        <f t="shared" si="500"/>
        <v>3</v>
      </c>
      <c r="M764" s="10" t="str">
        <f t="shared" si="500"/>
        <v>FLAG</v>
      </c>
      <c r="N764" s="10" t="str">
        <f t="shared" si="2"/>
        <v>21-6205(a)(1) - Criminal Desecration; Knowingly obtain or attempt to obtain remains of dead body, urn, etc. without authorization</v>
      </c>
      <c r="O764" s="10" t="str">
        <f t="shared" si="3"/>
        <v>Criminal Desecration</v>
      </c>
    </row>
    <row r="765">
      <c r="A765" s="7" t="s">
        <v>1448</v>
      </c>
      <c r="B765" s="8" t="s">
        <v>1449</v>
      </c>
      <c r="C765" s="8">
        <v>7.0</v>
      </c>
      <c r="D765" s="8">
        <v>9.0</v>
      </c>
      <c r="E765" s="8">
        <v>9.0</v>
      </c>
      <c r="F765" s="8">
        <v>10.0</v>
      </c>
      <c r="G765" s="8" t="s">
        <v>21</v>
      </c>
      <c r="H765" s="9"/>
      <c r="I765" s="9"/>
      <c r="N765" s="10" t="str">
        <f t="shared" si="2"/>
        <v>21-6205(a)(2)(D) - Criminal Desecration; Recklessly, by means other than by fire or explosive; damage, deface or destroy any place of worship; damage $25,000 or more</v>
      </c>
      <c r="O765" s="10" t="str">
        <f t="shared" si="3"/>
        <v>Criminal Desecration</v>
      </c>
    </row>
    <row r="766">
      <c r="A766" s="7" t="s">
        <v>1450</v>
      </c>
      <c r="B766" s="8" t="s">
        <v>1449</v>
      </c>
      <c r="C766" s="8">
        <v>9.0</v>
      </c>
      <c r="D766" s="8">
        <v>10.0</v>
      </c>
      <c r="E766" s="8">
        <v>10.0</v>
      </c>
      <c r="F766" s="8">
        <v>10.0</v>
      </c>
      <c r="G766" s="8" t="s">
        <v>21</v>
      </c>
      <c r="H766" s="9"/>
      <c r="I766" s="9"/>
      <c r="N766" s="10" t="str">
        <f t="shared" si="2"/>
        <v>21-6205(a)(2)(D) - Criminal Desecration; Recklessly, by means other than by fire or explosive; damage, deface or destroy any place of worship; damage at least $1,000 but less than $25,000</v>
      </c>
      <c r="O766" s="10" t="str">
        <f t="shared" si="3"/>
        <v>Criminal Desecration</v>
      </c>
    </row>
    <row r="767">
      <c r="A767" s="7" t="s">
        <v>1451</v>
      </c>
      <c r="B767" s="8" t="s">
        <v>1449</v>
      </c>
      <c r="C767" s="8" t="s">
        <v>27</v>
      </c>
      <c r="D767" s="8" t="s">
        <v>28</v>
      </c>
      <c r="E767" s="8" t="s">
        <v>19</v>
      </c>
      <c r="F767" s="8" t="s">
        <v>20</v>
      </c>
      <c r="G767" s="8" t="s">
        <v>21</v>
      </c>
      <c r="H767" s="9"/>
      <c r="I767" s="9"/>
      <c r="J767" s="10">
        <f t="shared" ref="J767:M767" si="501">ifs(OR($H767="R",$I767="N"),"N/A",OR(C767="A",C767="B",C767="C",C767="U"),3,TRUE,"FLAG")</f>
        <v>3</v>
      </c>
      <c r="K767" s="10">
        <f t="shared" si="501"/>
        <v>3</v>
      </c>
      <c r="L767" s="10">
        <f t="shared" si="501"/>
        <v>3</v>
      </c>
      <c r="M767" s="10" t="str">
        <f t="shared" si="501"/>
        <v>FLAG</v>
      </c>
      <c r="N767" s="10" t="str">
        <f t="shared" si="2"/>
        <v>21-6205(a)(2)(D) - Criminal Desecration; Recklessly, by means other than by fire or explosive; damage, deface or destroy any place of worship; property damaged less than $1,000</v>
      </c>
      <c r="O767" s="10" t="str">
        <f t="shared" si="3"/>
        <v>Criminal Desecration</v>
      </c>
    </row>
    <row r="768">
      <c r="A768" s="7" t="s">
        <v>1452</v>
      </c>
      <c r="B768" s="8" t="s">
        <v>1453</v>
      </c>
      <c r="C768" s="8">
        <v>7.0</v>
      </c>
      <c r="D768" s="8">
        <v>9.0</v>
      </c>
      <c r="E768" s="8">
        <v>9.0</v>
      </c>
      <c r="F768" s="8">
        <v>10.0</v>
      </c>
      <c r="G768" s="8" t="s">
        <v>21</v>
      </c>
      <c r="H768" s="9"/>
      <c r="I768" s="9"/>
      <c r="N768" s="10" t="str">
        <f t="shared" si="2"/>
        <v>21-6205(a)(2)(B) - Criminal Desecration; Recklessly, by means other than by fire or explosive; damage, deface or destroy any public monument or structure; damage $25,000 or more</v>
      </c>
      <c r="O768" s="10" t="str">
        <f t="shared" si="3"/>
        <v>Criminal Desecration</v>
      </c>
    </row>
    <row r="769">
      <c r="A769" s="7" t="s">
        <v>1454</v>
      </c>
      <c r="B769" s="8" t="s">
        <v>1453</v>
      </c>
      <c r="C769" s="8">
        <v>9.0</v>
      </c>
      <c r="D769" s="8">
        <v>10.0</v>
      </c>
      <c r="E769" s="8">
        <v>10.0</v>
      </c>
      <c r="F769" s="8">
        <v>10.0</v>
      </c>
      <c r="G769" s="8" t="s">
        <v>21</v>
      </c>
      <c r="H769" s="9"/>
      <c r="I769" s="9"/>
      <c r="N769" s="10" t="str">
        <f t="shared" si="2"/>
        <v>21-6205(a)(2)(B) - Criminal Desecration; Recklessly, by means other than by fire or explosive; damage, deface or destroy any public monument or structure; damage at least $1,000 but less than $25,000</v>
      </c>
      <c r="O769" s="10" t="str">
        <f t="shared" si="3"/>
        <v>Criminal Desecration</v>
      </c>
    </row>
    <row r="770">
      <c r="A770" s="7" t="s">
        <v>1455</v>
      </c>
      <c r="B770" s="8" t="s">
        <v>1453</v>
      </c>
      <c r="C770" s="8" t="s">
        <v>27</v>
      </c>
      <c r="D770" s="8" t="s">
        <v>28</v>
      </c>
      <c r="E770" s="8" t="s">
        <v>19</v>
      </c>
      <c r="F770" s="8" t="s">
        <v>20</v>
      </c>
      <c r="G770" s="8" t="s">
        <v>21</v>
      </c>
      <c r="H770" s="9"/>
      <c r="I770" s="9"/>
      <c r="J770" s="10">
        <f t="shared" ref="J770:M770" si="502">ifs(OR($H770="R",$I770="N"),"N/A",OR(C770="A",C770="B",C770="C",C770="U"),3,TRUE,"FLAG")</f>
        <v>3</v>
      </c>
      <c r="K770" s="10">
        <f t="shared" si="502"/>
        <v>3</v>
      </c>
      <c r="L770" s="10">
        <f t="shared" si="502"/>
        <v>3</v>
      </c>
      <c r="M770" s="10" t="str">
        <f t="shared" si="502"/>
        <v>FLAG</v>
      </c>
      <c r="N770" s="10" t="str">
        <f t="shared" si="2"/>
        <v>21-6205(a)(2)(B) - Criminal Desecration; Recklessly, by means other than by fire or explosive; damage, deface or destroy any public monument or structure; property damaged less than $1,000</v>
      </c>
      <c r="O770" s="10" t="str">
        <f t="shared" si="3"/>
        <v>Criminal Desecration</v>
      </c>
    </row>
    <row r="771">
      <c r="A771" s="7" t="s">
        <v>1456</v>
      </c>
      <c r="B771" s="8" t="s">
        <v>1457</v>
      </c>
      <c r="C771" s="8">
        <v>7.0</v>
      </c>
      <c r="D771" s="8">
        <v>9.0</v>
      </c>
      <c r="E771" s="8">
        <v>9.0</v>
      </c>
      <c r="F771" s="8">
        <v>10.0</v>
      </c>
      <c r="G771" s="8" t="s">
        <v>21</v>
      </c>
      <c r="H771" s="9"/>
      <c r="I771" s="9"/>
      <c r="N771" s="10" t="str">
        <f t="shared" si="2"/>
        <v>21-6205(a)(2)(C) - Criminal Desecration; Recklessly, by means other than by fire or explosive; damage, deface or destroy any tomb, monument, memorial, marker, grave, vault, crypt gate, tree, shrub, plant or any other property in a cemetery; damage $25,000 or more</v>
      </c>
      <c r="O771" s="10" t="str">
        <f t="shared" si="3"/>
        <v>Criminal Desecration</v>
      </c>
    </row>
    <row r="772">
      <c r="A772" s="7" t="s">
        <v>1458</v>
      </c>
      <c r="B772" s="8" t="s">
        <v>1457</v>
      </c>
      <c r="C772" s="8">
        <v>9.0</v>
      </c>
      <c r="D772" s="8">
        <v>10.0</v>
      </c>
      <c r="E772" s="8">
        <v>10.0</v>
      </c>
      <c r="F772" s="8">
        <v>10.0</v>
      </c>
      <c r="G772" s="8" t="s">
        <v>21</v>
      </c>
      <c r="H772" s="9"/>
      <c r="I772" s="9"/>
      <c r="N772" s="10" t="str">
        <f t="shared" si="2"/>
        <v>21-6205(a)(2)(C) - Criminal Desecration; Recklessly, by means other than by fire or explosive; damage, deface or destroy any tomb, monument, memorial, marker, grave, vault, crypt gate, tree, shrub, plant or any other property in a cemetery; damage at least $1,000 but less than $25,000</v>
      </c>
      <c r="O772" s="10" t="str">
        <f t="shared" si="3"/>
        <v>Criminal Desecration</v>
      </c>
    </row>
    <row r="773">
      <c r="A773" s="7" t="s">
        <v>1459</v>
      </c>
      <c r="B773" s="8" t="s">
        <v>1457</v>
      </c>
      <c r="C773" s="8" t="s">
        <v>27</v>
      </c>
      <c r="D773" s="8" t="s">
        <v>28</v>
      </c>
      <c r="E773" s="8" t="s">
        <v>19</v>
      </c>
      <c r="F773" s="8" t="s">
        <v>20</v>
      </c>
      <c r="G773" s="8" t="s">
        <v>21</v>
      </c>
      <c r="H773" s="9"/>
      <c r="I773" s="9"/>
      <c r="J773" s="10">
        <f t="shared" ref="J773:M773" si="503">ifs(OR($H773="R",$I773="N"),"N/A",OR(C773="A",C773="B",C773="C",C773="U"),3,TRUE,"FLAG")</f>
        <v>3</v>
      </c>
      <c r="K773" s="10">
        <f t="shared" si="503"/>
        <v>3</v>
      </c>
      <c r="L773" s="10">
        <f t="shared" si="503"/>
        <v>3</v>
      </c>
      <c r="M773" s="10" t="str">
        <f t="shared" si="503"/>
        <v>FLAG</v>
      </c>
      <c r="N773" s="10" t="str">
        <f t="shared" si="2"/>
        <v>21-6205(a)(2)(C) - Criminal Desecration; Recklessly, by means other than by fire or explosive; damage, deface or destroy any tomb, monument, memorial, marker, grave, vault, crypt gate, tree, shrub, plant or any other property in a cemetery; property damaged less than $1,000</v>
      </c>
      <c r="O773" s="10" t="str">
        <f t="shared" si="3"/>
        <v>Criminal Desecration</v>
      </c>
    </row>
    <row r="774">
      <c r="A774" s="7" t="s">
        <v>1460</v>
      </c>
      <c r="B774" s="8" t="s">
        <v>1461</v>
      </c>
      <c r="C774" s="8" t="s">
        <v>27</v>
      </c>
      <c r="D774" s="8" t="s">
        <v>28</v>
      </c>
      <c r="E774" s="8" t="s">
        <v>19</v>
      </c>
      <c r="F774" s="8" t="s">
        <v>20</v>
      </c>
      <c r="G774" s="8" t="s">
        <v>21</v>
      </c>
      <c r="H774" s="9"/>
      <c r="I774" s="9"/>
      <c r="J774" s="10">
        <f t="shared" ref="J774:M774" si="504">ifs(OR($H774="R",$I774="N"),"N/A",OR(C774="A",C774="B",C774="C",C774="U"),3,TRUE,"FLAG")</f>
        <v>3</v>
      </c>
      <c r="K774" s="10">
        <f t="shared" si="504"/>
        <v>3</v>
      </c>
      <c r="L774" s="10">
        <f t="shared" si="504"/>
        <v>3</v>
      </c>
      <c r="M774" s="10" t="str">
        <f t="shared" si="504"/>
        <v>FLAG</v>
      </c>
      <c r="N774" s="10" t="str">
        <f t="shared" si="2"/>
        <v>21-6205(a)(2)(A) - Criminal Desecration; Recklessly, by means other than by fire or explosive; damage, destroy or deface US or state flag or insignia</v>
      </c>
      <c r="O774" s="10" t="str">
        <f t="shared" si="3"/>
        <v>Criminal Desecration</v>
      </c>
    </row>
    <row r="775">
      <c r="A775" s="7" t="s">
        <v>1462</v>
      </c>
      <c r="B775" s="8" t="s">
        <v>1463</v>
      </c>
      <c r="C775" s="8">
        <v>5.0</v>
      </c>
      <c r="D775" s="8">
        <v>7.0</v>
      </c>
      <c r="E775" s="8">
        <v>7.0</v>
      </c>
      <c r="F775" s="8">
        <v>8.0</v>
      </c>
      <c r="G775" s="8" t="s">
        <v>24</v>
      </c>
      <c r="H775" s="9"/>
      <c r="I775" s="9"/>
      <c r="N775" s="10" t="str">
        <f t="shared" si="2"/>
        <v>21-6308(a)(1)(A) - Criminal Discharge of Firearm; Reckless and unauthorized discharge at an occupied building resulting in bodily harm</v>
      </c>
      <c r="O775" s="10" t="str">
        <f t="shared" si="3"/>
        <v>Criminal Discharge of Firearm</v>
      </c>
    </row>
    <row r="776">
      <c r="A776" s="7" t="s">
        <v>1464</v>
      </c>
      <c r="B776" s="8" t="s">
        <v>1463</v>
      </c>
      <c r="C776" s="8">
        <v>3.0</v>
      </c>
      <c r="D776" s="8">
        <v>5.0</v>
      </c>
      <c r="E776" s="8">
        <v>5.0</v>
      </c>
      <c r="F776" s="8">
        <v>6.0</v>
      </c>
      <c r="G776" s="8" t="s">
        <v>24</v>
      </c>
      <c r="H776" s="9"/>
      <c r="I776" s="9"/>
      <c r="N776" s="10" t="str">
        <f t="shared" si="2"/>
        <v>21-6308(a)(1)(A) - Criminal Discharge of Firearm; Reckless and unauthorized discharge at an occupied building resulting in great bodily harm</v>
      </c>
      <c r="O776" s="10" t="str">
        <f t="shared" si="3"/>
        <v>Criminal Discharge of Firearm</v>
      </c>
    </row>
    <row r="777">
      <c r="A777" s="7" t="s">
        <v>1465</v>
      </c>
      <c r="B777" s="8" t="s">
        <v>1463</v>
      </c>
      <c r="C777" s="8">
        <v>7.0</v>
      </c>
      <c r="D777" s="8">
        <v>9.0</v>
      </c>
      <c r="E777" s="8">
        <v>9.0</v>
      </c>
      <c r="F777" s="8">
        <v>10.0</v>
      </c>
      <c r="G777" s="8" t="s">
        <v>24</v>
      </c>
      <c r="H777" s="9"/>
      <c r="I777" s="9"/>
      <c r="N777" s="10" t="str">
        <f t="shared" si="2"/>
        <v>21-6308(a)(1)(A) - Criminal Discharge of Firearm; Reckless and unauthorized discharge at an occupied building, dwelling, or structure</v>
      </c>
      <c r="O777" s="10" t="str">
        <f t="shared" si="3"/>
        <v>Criminal Discharge of Firearm</v>
      </c>
    </row>
    <row r="778">
      <c r="A778" s="7" t="s">
        <v>1466</v>
      </c>
      <c r="B778" s="8" t="s">
        <v>1467</v>
      </c>
      <c r="C778" s="8">
        <v>7.0</v>
      </c>
      <c r="D778" s="8">
        <v>9.0</v>
      </c>
      <c r="E778" s="8">
        <v>9.0</v>
      </c>
      <c r="F778" s="8">
        <v>10.0</v>
      </c>
      <c r="G778" s="8" t="s">
        <v>24</v>
      </c>
      <c r="H778" s="9"/>
      <c r="I778" s="9"/>
      <c r="N778" s="10" t="str">
        <f t="shared" si="2"/>
        <v>21-6308(a)(1)(B) - Criminal Discharge of Firearm; Reckless and unauthorized discharge at an occupied motor vehicle or other conveyance</v>
      </c>
      <c r="O778" s="10" t="str">
        <f t="shared" si="3"/>
        <v>Criminal Discharge of Firearm</v>
      </c>
    </row>
    <row r="779">
      <c r="A779" s="7" t="s">
        <v>1468</v>
      </c>
      <c r="B779" s="8" t="s">
        <v>1467</v>
      </c>
      <c r="C779" s="8">
        <v>5.0</v>
      </c>
      <c r="D779" s="8">
        <v>7.0</v>
      </c>
      <c r="E779" s="8">
        <v>7.0</v>
      </c>
      <c r="F779" s="8">
        <v>8.0</v>
      </c>
      <c r="G779" s="8" t="s">
        <v>24</v>
      </c>
      <c r="H779" s="9"/>
      <c r="I779" s="9"/>
      <c r="N779" s="10" t="str">
        <f t="shared" si="2"/>
        <v>21-6308(a)(1)(B) - Criminal Discharge of Firearm; Reckless and unauthorized discharge at an occupied motor vehicle resulting in bodily harm</v>
      </c>
      <c r="O779" s="10" t="str">
        <f t="shared" si="3"/>
        <v>Criminal Discharge of Firearm</v>
      </c>
    </row>
    <row r="780">
      <c r="A780" s="7" t="s">
        <v>1469</v>
      </c>
      <c r="B780" s="8" t="s">
        <v>1467</v>
      </c>
      <c r="C780" s="8">
        <v>3.0</v>
      </c>
      <c r="D780" s="8">
        <v>5.0</v>
      </c>
      <c r="E780" s="8">
        <v>5.0</v>
      </c>
      <c r="F780" s="8">
        <v>6.0</v>
      </c>
      <c r="G780" s="8" t="s">
        <v>24</v>
      </c>
      <c r="H780" s="9"/>
      <c r="I780" s="9"/>
      <c r="N780" s="10" t="str">
        <f t="shared" si="2"/>
        <v>21-6308(a)(1)(B) - Criminal Discharge of Firearm; Reckless and unauthorized discharge at an occupied motor vehicle resulting in great bodily harm</v>
      </c>
      <c r="O780" s="10" t="str">
        <f t="shared" si="3"/>
        <v>Criminal Discharge of Firearm</v>
      </c>
    </row>
    <row r="781">
      <c r="A781" s="7" t="s">
        <v>1470</v>
      </c>
      <c r="B781" s="8" t="s">
        <v>1471</v>
      </c>
      <c r="C781" s="8">
        <v>8.0</v>
      </c>
      <c r="D781" s="8">
        <v>10.0</v>
      </c>
      <c r="E781" s="8">
        <v>10.0</v>
      </c>
      <c r="F781" s="8">
        <v>10.0</v>
      </c>
      <c r="G781" s="8" t="s">
        <v>24</v>
      </c>
      <c r="H781" s="9"/>
      <c r="I781" s="9"/>
      <c r="N781" s="10" t="str">
        <f t="shared" si="2"/>
        <v>21-6308(a)(2) - Criminal Discharge of Firearm; Reckless and unauthorized discharge at unoccupied dwelling</v>
      </c>
      <c r="O781" s="10" t="str">
        <f t="shared" si="3"/>
        <v>Criminal Discharge of Firearm</v>
      </c>
    </row>
    <row r="782">
      <c r="A782" s="7" t="s">
        <v>1472</v>
      </c>
      <c r="B782" s="8" t="s">
        <v>1473</v>
      </c>
      <c r="C782" s="8" t="s">
        <v>19</v>
      </c>
      <c r="D782" s="8" t="s">
        <v>19</v>
      </c>
      <c r="E782" s="8" t="s">
        <v>19</v>
      </c>
      <c r="F782" s="8" t="s">
        <v>20</v>
      </c>
      <c r="G782" s="8" t="s">
        <v>21</v>
      </c>
      <c r="H782" s="9"/>
      <c r="I782" s="9"/>
      <c r="J782" s="10">
        <f t="shared" ref="J782:M782" si="505">ifs(OR($H782="R",$I782="N"),"N/A",OR(C782="A",C782="B",C782="C",C782="U"),3,TRUE,"FLAG")</f>
        <v>3</v>
      </c>
      <c r="K782" s="10">
        <f t="shared" si="505"/>
        <v>3</v>
      </c>
      <c r="L782" s="10">
        <f t="shared" si="505"/>
        <v>3</v>
      </c>
      <c r="M782" s="10" t="str">
        <f t="shared" si="505"/>
        <v>FLAG</v>
      </c>
      <c r="N782" s="10" t="str">
        <f t="shared" si="2"/>
        <v>21-6308(a)(3)(A) - Criminal Discharge of Firearm; Upon land or non-navigable body of water without permission of the owner or possessor</v>
      </c>
      <c r="O782" s="10" t="str">
        <f t="shared" si="3"/>
        <v>Criminal Discharge of Firearm</v>
      </c>
    </row>
    <row r="783">
      <c r="A783" s="7" t="s">
        <v>1474</v>
      </c>
      <c r="B783" s="8" t="s">
        <v>1475</v>
      </c>
      <c r="C783" s="8" t="s">
        <v>19</v>
      </c>
      <c r="D783" s="8" t="s">
        <v>19</v>
      </c>
      <c r="E783" s="8" t="s">
        <v>19</v>
      </c>
      <c r="F783" s="8" t="s">
        <v>20</v>
      </c>
      <c r="G783" s="8" t="s">
        <v>21</v>
      </c>
      <c r="H783" s="9"/>
      <c r="I783" s="9"/>
      <c r="J783" s="10">
        <f t="shared" ref="J783:M783" si="506">ifs(OR($H783="R",$I783="N"),"N/A",OR(C783="A",C783="B",C783="C",C783="U"),3,TRUE,"FLAG")</f>
        <v>3</v>
      </c>
      <c r="K783" s="10">
        <f t="shared" si="506"/>
        <v>3</v>
      </c>
      <c r="L783" s="10">
        <f t="shared" si="506"/>
        <v>3</v>
      </c>
      <c r="M783" s="10" t="str">
        <f t="shared" si="506"/>
        <v>FLAG</v>
      </c>
      <c r="N783" s="10" t="str">
        <f t="shared" si="2"/>
        <v>21-6308(a)(3)(B) - Criminal Discharge of Firearm; Upon or from any public road, public road right-of-way or railroad right-of-way</v>
      </c>
      <c r="O783" s="10" t="str">
        <f t="shared" si="3"/>
        <v>Criminal Discharge of Firearm</v>
      </c>
    </row>
    <row r="784">
      <c r="A784" s="7" t="s">
        <v>1476</v>
      </c>
      <c r="B784" s="8" t="s">
        <v>1477</v>
      </c>
      <c r="C784" s="8" t="s">
        <v>28</v>
      </c>
      <c r="D784" s="8" t="s">
        <v>19</v>
      </c>
      <c r="E784" s="8" t="s">
        <v>19</v>
      </c>
      <c r="F784" s="8" t="s">
        <v>20</v>
      </c>
      <c r="G784" s="8" t="s">
        <v>21</v>
      </c>
      <c r="H784" s="9"/>
      <c r="I784" s="9"/>
      <c r="J784" s="10">
        <f t="shared" ref="J784:M784" si="507">ifs(OR($H784="R",$I784="N"),"N/A",OR(C784="A",C784="B",C784="C",C784="U"),3,TRUE,"FLAG")</f>
        <v>3</v>
      </c>
      <c r="K784" s="10">
        <f t="shared" si="507"/>
        <v>3</v>
      </c>
      <c r="L784" s="10">
        <f t="shared" si="507"/>
        <v>3</v>
      </c>
      <c r="M784" s="10" t="str">
        <f t="shared" si="507"/>
        <v>FLAG</v>
      </c>
      <c r="N784" s="10" t="str">
        <f t="shared" si="2"/>
        <v>21-5906(a)(1) - Criminal Disclosure of a Warrant; Recklessly make public the application or issuance of a warrant</v>
      </c>
      <c r="O784" s="10" t="str">
        <f t="shared" si="3"/>
        <v>Criminal Disclosure of a Warrant</v>
      </c>
    </row>
    <row r="785">
      <c r="A785" s="7" t="s">
        <v>1478</v>
      </c>
      <c r="B785" s="8" t="s">
        <v>1479</v>
      </c>
      <c r="C785" s="8" t="s">
        <v>28</v>
      </c>
      <c r="D785" s="8" t="s">
        <v>19</v>
      </c>
      <c r="E785" s="8" t="s">
        <v>19</v>
      </c>
      <c r="F785" s="8" t="s">
        <v>20</v>
      </c>
      <c r="G785" s="8" t="s">
        <v>21</v>
      </c>
      <c r="H785" s="9"/>
      <c r="I785" s="9"/>
      <c r="J785" s="10">
        <f t="shared" ref="J785:M785" si="508">ifs(OR($H785="R",$I785="N"),"N/A",OR(C785="A",C785="B",C785="C",C785="U"),3,TRUE,"FLAG")</f>
        <v>3</v>
      </c>
      <c r="K785" s="10">
        <f t="shared" si="508"/>
        <v>3</v>
      </c>
      <c r="L785" s="10">
        <f t="shared" si="508"/>
        <v>3</v>
      </c>
      <c r="M785" s="10" t="str">
        <f t="shared" si="508"/>
        <v>FLAG</v>
      </c>
      <c r="N785" s="10" t="str">
        <f t="shared" si="2"/>
        <v>21-5906(a)(2) - Criminal Disclosure of a Warrant; Recklessly make public the contents of affidavit or testimony supporting a warrant</v>
      </c>
      <c r="O785" s="10" t="str">
        <f t="shared" si="3"/>
        <v>Criminal Disclosure of a Warrant</v>
      </c>
    </row>
    <row r="786">
      <c r="A786" s="7" t="s">
        <v>1480</v>
      </c>
      <c r="B786" s="8" t="s">
        <v>1481</v>
      </c>
      <c r="C786" s="8">
        <v>10.0</v>
      </c>
      <c r="D786" s="8">
        <v>10.0</v>
      </c>
      <c r="E786" s="8">
        <v>10.0</v>
      </c>
      <c r="F786" s="8">
        <v>10.0</v>
      </c>
      <c r="G786" s="8" t="s">
        <v>24</v>
      </c>
      <c r="H786" s="9"/>
      <c r="I786" s="9"/>
      <c r="N786" s="10" t="str">
        <f t="shared" si="2"/>
        <v>21-6312(b)(1) - Criminal Disposal of Explosives; Knowingly and without lawful authority distribute to a person under 21 regardless of knowledge of the buyer, donee, or transferee's age</v>
      </c>
      <c r="O786" s="10" t="str">
        <f t="shared" si="3"/>
        <v>Criminal Disposal of Explosives</v>
      </c>
    </row>
    <row r="787">
      <c r="A787" s="7" t="s">
        <v>1482</v>
      </c>
      <c r="B787" s="8" t="s">
        <v>1483</v>
      </c>
      <c r="C787" s="8">
        <v>10.0</v>
      </c>
      <c r="D787" s="8">
        <v>10.0</v>
      </c>
      <c r="E787" s="8">
        <v>10.0</v>
      </c>
      <c r="F787" s="8">
        <v>10.0</v>
      </c>
      <c r="G787" s="8" t="s">
        <v>24</v>
      </c>
      <c r="H787" s="9"/>
      <c r="I787" s="9"/>
      <c r="N787" s="10" t="str">
        <f t="shared" si="2"/>
        <v>21-6312(b)(2) - Criminal Disposal of Explosives; Knowingly and without lawful authority distribute to a person who is both addicted to and an unlawful user of a controlled substance</v>
      </c>
      <c r="O787" s="10" t="str">
        <f t="shared" si="3"/>
        <v>Criminal Disposal of Explosives</v>
      </c>
    </row>
    <row r="788">
      <c r="A788" s="7" t="s">
        <v>1484</v>
      </c>
      <c r="B788" s="8" t="s">
        <v>1485</v>
      </c>
      <c r="C788" s="8">
        <v>10.0</v>
      </c>
      <c r="D788" s="8">
        <v>10.0</v>
      </c>
      <c r="E788" s="8">
        <v>10.0</v>
      </c>
      <c r="F788" s="8">
        <v>10.0</v>
      </c>
      <c r="G788" s="8" t="s">
        <v>24</v>
      </c>
      <c r="H788" s="9"/>
      <c r="I788" s="9"/>
      <c r="N788" s="10" t="str">
        <f t="shared" si="2"/>
        <v>21-6312(b)(3) - Criminal Disposal of Explosives; Knowingly and without lawful authority distribute to a person who, within preceding 5 yrs, has been convicted of a felony or has been released from imprisonment for a felony</v>
      </c>
      <c r="O788" s="10" t="str">
        <f t="shared" si="3"/>
        <v>Criminal Disposal of Explosives</v>
      </c>
    </row>
    <row r="789">
      <c r="A789" s="7" t="s">
        <v>1486</v>
      </c>
      <c r="B789" s="8" t="s">
        <v>1487</v>
      </c>
      <c r="C789" s="8" t="s">
        <v>27</v>
      </c>
      <c r="D789" s="8" t="s">
        <v>28</v>
      </c>
      <c r="E789" s="8" t="s">
        <v>19</v>
      </c>
      <c r="F789" s="8" t="s">
        <v>20</v>
      </c>
      <c r="G789" s="8" t="s">
        <v>21</v>
      </c>
      <c r="H789" s="9"/>
      <c r="I789" s="9"/>
      <c r="J789" s="10">
        <f t="shared" ref="J789:M789" si="509">ifs(OR($H789="R",$I789="N"),"N/A",OR(C789="A",C789="B",C789="C",C789="U"),3,TRUE,"FLAG")</f>
        <v>3</v>
      </c>
      <c r="K789" s="10">
        <f t="shared" si="509"/>
        <v>3</v>
      </c>
      <c r="L789" s="10">
        <f t="shared" si="509"/>
        <v>3</v>
      </c>
      <c r="M789" s="10" t="str">
        <f t="shared" si="509"/>
        <v>FLAG</v>
      </c>
      <c r="N789" s="10" t="str">
        <f t="shared" si="2"/>
        <v>21-6303(a)(3) - Criminal Distribution of Firearms to a Felon; Knowingly transferring any firearm to any person who has been convicted of a felony and who was found to have been in possession of a firearm at the time of the commission of the felony</v>
      </c>
      <c r="O789" s="10" t="str">
        <f t="shared" si="3"/>
        <v>Criminal Distribution of Firearms to a Felon</v>
      </c>
    </row>
    <row r="790">
      <c r="A790" s="7" t="s">
        <v>1488</v>
      </c>
      <c r="B790" s="8" t="s">
        <v>1489</v>
      </c>
      <c r="C790" s="8" t="s">
        <v>27</v>
      </c>
      <c r="D790" s="8" t="s">
        <v>28</v>
      </c>
      <c r="E790" s="8" t="s">
        <v>19</v>
      </c>
      <c r="F790" s="8" t="s">
        <v>20</v>
      </c>
      <c r="G790" s="8" t="s">
        <v>21</v>
      </c>
      <c r="H790" s="9"/>
      <c r="I790" s="9"/>
      <c r="J790" s="10">
        <f t="shared" ref="J790:M790" si="510">ifs(OR($H790="R",$I790="N"),"N/A",OR(C790="A",C790="B",C790="C",C790="U"),3,TRUE,"FLAG")</f>
        <v>3</v>
      </c>
      <c r="K790" s="10">
        <f t="shared" si="510"/>
        <v>3</v>
      </c>
      <c r="L790" s="10">
        <f t="shared" si="510"/>
        <v>3</v>
      </c>
      <c r="M790" s="10" t="str">
        <f t="shared" si="510"/>
        <v>FLAG</v>
      </c>
      <c r="N790" s="10" t="str">
        <f t="shared" si="2"/>
        <v>21-6303(a)(2) - Criminal Distribution of Firearms to a Felon; Knowingly transferring any firearm to any person who, within the preceding 10 yrs, has been convicted of a felony to which this subsection applies but was NOT found to have been in possession of a firearm at the commission of the felony or has been released from imprisonment for such a crime, and has not had the conviction of such crime expunged or been pardoned</v>
      </c>
      <c r="O790" s="10" t="str">
        <f t="shared" si="3"/>
        <v>Criminal Distribution of Firearms to a Felon</v>
      </c>
    </row>
    <row r="791">
      <c r="A791" s="7" t="s">
        <v>1490</v>
      </c>
      <c r="B791" s="8" t="s">
        <v>1491</v>
      </c>
      <c r="C791" s="8" t="s">
        <v>27</v>
      </c>
      <c r="D791" s="8" t="s">
        <v>28</v>
      </c>
      <c r="E791" s="8" t="s">
        <v>19</v>
      </c>
      <c r="F791" s="8" t="s">
        <v>20</v>
      </c>
      <c r="G791" s="8" t="s">
        <v>21</v>
      </c>
      <c r="H791" s="9"/>
      <c r="I791" s="9"/>
      <c r="J791" s="10">
        <f t="shared" ref="J791:M791" si="511">ifs(OR($H791="R",$I791="N"),"N/A",OR(C791="A",C791="B",C791="C",C791="U"),3,TRUE,"FLAG")</f>
        <v>3</v>
      </c>
      <c r="K791" s="10">
        <f t="shared" si="511"/>
        <v>3</v>
      </c>
      <c r="L791" s="10">
        <f t="shared" si="511"/>
        <v>3</v>
      </c>
      <c r="M791" s="10" t="str">
        <f t="shared" si="511"/>
        <v>FLAG</v>
      </c>
      <c r="N791" s="10" t="str">
        <f t="shared" si="2"/>
        <v>21-6303(a)(1) - Criminal Distribution of Firearms to a Felon; Knowingly transferring any firearm to any person who, within the preceding 5 yrs, has been convicted of a felony other than those in subsection (c) or has been released from imprisonment for a felony and was NOT found to have been in possession of a firearm at the commission of the felony</v>
      </c>
      <c r="O791" s="10" t="str">
        <f t="shared" si="3"/>
        <v>Criminal Distribution of Firearms to a Felon</v>
      </c>
    </row>
    <row r="792">
      <c r="A792" s="7" t="s">
        <v>1492</v>
      </c>
      <c r="B792" s="8" t="s">
        <v>1493</v>
      </c>
      <c r="C792" s="8" t="s">
        <v>27</v>
      </c>
      <c r="D792" s="8" t="s">
        <v>28</v>
      </c>
      <c r="E792" s="8" t="s">
        <v>19</v>
      </c>
      <c r="F792" s="8" t="s">
        <v>20</v>
      </c>
      <c r="G792" s="8" t="s">
        <v>21</v>
      </c>
      <c r="H792" s="9"/>
      <c r="I792" s="9"/>
      <c r="J792" s="10">
        <f t="shared" ref="J792:M792" si="512">ifs(OR($H792="R",$I792="N"),"N/A",OR(C792="A",C792="B",C792="C",C792="U"),3,TRUE,"FLAG")</f>
        <v>3</v>
      </c>
      <c r="K792" s="10">
        <f t="shared" si="512"/>
        <v>3</v>
      </c>
      <c r="L792" s="10">
        <f t="shared" si="512"/>
        <v>3</v>
      </c>
      <c r="M792" s="10" t="str">
        <f t="shared" si="512"/>
        <v>FLAG</v>
      </c>
      <c r="N792" s="10" t="str">
        <f t="shared" si="2"/>
        <v>21-6103(a)(1)(C) - Criminal False Communication; Knowingly communicating to another, false information that will tend to degrade and vilify the memory of one who is dead and to scandalize or provoke surviving relatives and friends</v>
      </c>
      <c r="O792" s="10" t="str">
        <f t="shared" si="3"/>
        <v>Criminal False Communication</v>
      </c>
    </row>
    <row r="793">
      <c r="A793" s="7" t="s">
        <v>1494</v>
      </c>
      <c r="B793" s="8" t="s">
        <v>1495</v>
      </c>
      <c r="C793" s="8" t="s">
        <v>27</v>
      </c>
      <c r="D793" s="8" t="s">
        <v>28</v>
      </c>
      <c r="E793" s="8" t="s">
        <v>19</v>
      </c>
      <c r="F793" s="8" t="s">
        <v>20</v>
      </c>
      <c r="G793" s="8" t="s">
        <v>21</v>
      </c>
      <c r="H793" s="9"/>
      <c r="I793" s="9"/>
      <c r="J793" s="10">
        <f t="shared" ref="J793:M793" si="513">ifs(OR($H793="R",$I793="N"),"N/A",OR(C793="A",C793="B",C793="C",C793="U"),3,TRUE,"FLAG")</f>
        <v>3</v>
      </c>
      <c r="K793" s="10">
        <f t="shared" si="513"/>
        <v>3</v>
      </c>
      <c r="L793" s="10">
        <f t="shared" si="513"/>
        <v>3</v>
      </c>
      <c r="M793" s="10" t="str">
        <f t="shared" si="513"/>
        <v>FLAG</v>
      </c>
      <c r="N793" s="10" t="str">
        <f t="shared" si="2"/>
        <v>21-6103(a)(1)(B) - Criminal False Communication; Knowingly communicating to another, false information that will tend to deprive such person of the benefits of public confidence and social acceptance</v>
      </c>
      <c r="O793" s="10" t="str">
        <f t="shared" si="3"/>
        <v>Criminal False Communication</v>
      </c>
    </row>
    <row r="794">
      <c r="A794" s="7" t="s">
        <v>1496</v>
      </c>
      <c r="B794" s="8" t="s">
        <v>1497</v>
      </c>
      <c r="C794" s="8" t="s">
        <v>27</v>
      </c>
      <c r="D794" s="8" t="s">
        <v>28</v>
      </c>
      <c r="E794" s="8" t="s">
        <v>19</v>
      </c>
      <c r="F794" s="8" t="s">
        <v>20</v>
      </c>
      <c r="G794" s="8" t="s">
        <v>21</v>
      </c>
      <c r="H794" s="9"/>
      <c r="I794" s="9"/>
      <c r="J794" s="10">
        <f t="shared" ref="J794:M794" si="514">ifs(OR($H794="R",$I794="N"),"N/A",OR(C794="A",C794="B",C794="C",C794="U"),3,TRUE,"FLAG")</f>
        <v>3</v>
      </c>
      <c r="K794" s="10">
        <f t="shared" si="514"/>
        <v>3</v>
      </c>
      <c r="L794" s="10">
        <f t="shared" si="514"/>
        <v>3</v>
      </c>
      <c r="M794" s="10" t="str">
        <f t="shared" si="514"/>
        <v>FLAG</v>
      </c>
      <c r="N794" s="10" t="str">
        <f t="shared" si="2"/>
        <v>21-6103(a)(1)(A) - Criminal False Communication; Knowingly communicating to another, false information that will tend to expose another living person to public hatred, contempt or ridicule</v>
      </c>
      <c r="O794" s="10" t="str">
        <f t="shared" si="3"/>
        <v>Criminal False Communication</v>
      </c>
    </row>
    <row r="795">
      <c r="A795" s="7" t="s">
        <v>1498</v>
      </c>
      <c r="B795" s="8" t="s">
        <v>1499</v>
      </c>
      <c r="C795" s="8" t="s">
        <v>27</v>
      </c>
      <c r="D795" s="8" t="s">
        <v>28</v>
      </c>
      <c r="E795" s="8" t="s">
        <v>19</v>
      </c>
      <c r="F795" s="8" t="s">
        <v>20</v>
      </c>
      <c r="G795" s="8" t="s">
        <v>21</v>
      </c>
      <c r="H795" s="9"/>
      <c r="I795" s="9"/>
      <c r="J795" s="10">
        <f t="shared" ref="J795:M795" si="515">ifs(OR($H795="R",$I795="N"),"N/A",OR(C795="A",C795="B",C795="C",C795="U"),3,TRUE,"FLAG")</f>
        <v>3</v>
      </c>
      <c r="K795" s="10">
        <f t="shared" si="515"/>
        <v>3</v>
      </c>
      <c r="L795" s="10">
        <f t="shared" si="515"/>
        <v>3</v>
      </c>
      <c r="M795" s="10" t="str">
        <f t="shared" si="515"/>
        <v>FLAG</v>
      </c>
      <c r="N795" s="10" t="str">
        <f t="shared" si="2"/>
        <v>21-6103(a)(2) - Criminal False Communication; Recklessly circulating false information or rumors with intent to injure financial standing or reputation of business or individual</v>
      </c>
      <c r="O795" s="10" t="str">
        <f t="shared" si="3"/>
        <v>Criminal False Communication</v>
      </c>
    </row>
    <row r="796">
      <c r="A796" s="7" t="s">
        <v>1500</v>
      </c>
      <c r="B796" s="8" t="s">
        <v>1501</v>
      </c>
      <c r="C796" s="8" t="s">
        <v>28</v>
      </c>
      <c r="D796" s="8" t="s">
        <v>19</v>
      </c>
      <c r="E796" s="8" t="s">
        <v>19</v>
      </c>
      <c r="F796" s="8" t="s">
        <v>20</v>
      </c>
      <c r="G796" s="8" t="s">
        <v>21</v>
      </c>
      <c r="H796" s="9"/>
      <c r="I796" s="9"/>
      <c r="J796" s="10">
        <f t="shared" ref="J796:M796" si="516">ifs(OR($H796="R",$I796="N"),"N/A",OR(C796="A",C796="B",C796="C",C796="U"),3,TRUE,"FLAG")</f>
        <v>3</v>
      </c>
      <c r="K796" s="10">
        <f t="shared" si="516"/>
        <v>3</v>
      </c>
      <c r="L796" s="10">
        <f t="shared" si="516"/>
        <v>3</v>
      </c>
      <c r="M796" s="10" t="str">
        <f t="shared" si="516"/>
        <v>FLAG</v>
      </c>
      <c r="N796" s="10" t="str">
        <f t="shared" si="2"/>
        <v>21-5810(a)(3)(A) - Criminal Hunting; Knowing and unauthorized hunting, shooting, fur harvesting, pursuing any bird or animal, or fishing upon any land or non-navigable body of water of another and in defiance of an order not to enter or to leave</v>
      </c>
      <c r="O796" s="10" t="str">
        <f t="shared" si="3"/>
        <v>Criminal Hunting</v>
      </c>
    </row>
    <row r="797">
      <c r="A797" s="7" t="s">
        <v>1502</v>
      </c>
      <c r="B797" s="8" t="s">
        <v>1503</v>
      </c>
      <c r="C797" s="8" t="s">
        <v>28</v>
      </c>
      <c r="D797" s="8" t="s">
        <v>19</v>
      </c>
      <c r="E797" s="8" t="s">
        <v>19</v>
      </c>
      <c r="F797" s="8" t="s">
        <v>20</v>
      </c>
      <c r="G797" s="8" t="s">
        <v>21</v>
      </c>
      <c r="H797" s="9"/>
      <c r="I797" s="9"/>
      <c r="J797" s="10">
        <f t="shared" ref="J797:M797" si="517">ifs(OR($H797="R",$I797="N"),"N/A",OR(C797="A",C797="B",C797="C",C797="U"),3,TRUE,"FLAG")</f>
        <v>3</v>
      </c>
      <c r="K797" s="10">
        <f t="shared" si="517"/>
        <v>3</v>
      </c>
      <c r="L797" s="10">
        <f t="shared" si="517"/>
        <v>3</v>
      </c>
      <c r="M797" s="10" t="str">
        <f t="shared" si="517"/>
        <v>FLAG</v>
      </c>
      <c r="N797" s="10" t="str">
        <f t="shared" si="2"/>
        <v>21-5810(a)(3)(B) - Criminal Hunting; Knowing and unauthorized hunting, shooting, fur harvesting, pursuing any bird or animal, or fishing upon any land or non-navigable body of water of another where such premises or property are posted in a manner consistent with K.S.A. 32-1013</v>
      </c>
      <c r="O797" s="10" t="str">
        <f t="shared" si="3"/>
        <v>Criminal Hunting</v>
      </c>
    </row>
    <row r="798">
      <c r="A798" s="7" t="s">
        <v>1504</v>
      </c>
      <c r="B798" s="8" t="s">
        <v>1505</v>
      </c>
      <c r="C798" s="8" t="s">
        <v>19</v>
      </c>
      <c r="D798" s="8" t="s">
        <v>19</v>
      </c>
      <c r="E798" s="8" t="s">
        <v>19</v>
      </c>
      <c r="F798" s="8" t="s">
        <v>20</v>
      </c>
      <c r="G798" s="8" t="s">
        <v>21</v>
      </c>
      <c r="H798" s="9"/>
      <c r="I798" s="9"/>
      <c r="J798" s="10">
        <f t="shared" ref="J798:M798" si="518">ifs(OR($H798="R",$I798="N"),"N/A",OR(C798="A",C798="B",C798="C",C798="U"),3,TRUE,"FLAG")</f>
        <v>3</v>
      </c>
      <c r="K798" s="10">
        <f t="shared" si="518"/>
        <v>3</v>
      </c>
      <c r="L798" s="10">
        <f t="shared" si="518"/>
        <v>3</v>
      </c>
      <c r="M798" s="10" t="str">
        <f t="shared" si="518"/>
        <v>FLAG</v>
      </c>
      <c r="N798" s="10" t="str">
        <f t="shared" si="2"/>
        <v>21-5810(a)(1) - Criminal Hunting; Knowingly hunting, shooting, fur harvesting, pursuing any bird or animal, or fishing upon any land or non-navigable body of water of another without consent</v>
      </c>
      <c r="O798" s="10" t="str">
        <f t="shared" si="3"/>
        <v>Criminal Hunting</v>
      </c>
    </row>
    <row r="799">
      <c r="A799" s="7" t="s">
        <v>1506</v>
      </c>
      <c r="B799" s="8" t="s">
        <v>1507</v>
      </c>
      <c r="C799" s="8" t="s">
        <v>19</v>
      </c>
      <c r="D799" s="8" t="s">
        <v>19</v>
      </c>
      <c r="E799" s="8" t="s">
        <v>19</v>
      </c>
      <c r="F799" s="8" t="s">
        <v>20</v>
      </c>
      <c r="G799" s="8" t="s">
        <v>21</v>
      </c>
      <c r="H799" s="9"/>
      <c r="I799" s="9"/>
      <c r="J799" s="10">
        <f t="shared" ref="J799:M799" si="519">ifs(OR($H799="R",$I799="N"),"N/A",OR(C799="A",C799="B",C799="C",C799="U"),3,TRUE,"FLAG")</f>
        <v>3</v>
      </c>
      <c r="K799" s="10">
        <f t="shared" si="519"/>
        <v>3</v>
      </c>
      <c r="L799" s="10">
        <f t="shared" si="519"/>
        <v>3</v>
      </c>
      <c r="M799" s="10" t="str">
        <f t="shared" si="519"/>
        <v>FLAG</v>
      </c>
      <c r="N799" s="10" t="str">
        <f t="shared" si="2"/>
        <v>21-5810(a)(2) - Criminal Hunting; Knowingly hunting, shooting, fur harvesting, pursuing any bird or animal, or fishing upon or from any public road, public road right-of-way or railroad right-of-way that adjoins occupied or improved premises without consent</v>
      </c>
      <c r="O799" s="10" t="str">
        <f t="shared" si="3"/>
        <v>Criminal Hunting</v>
      </c>
    </row>
    <row r="800">
      <c r="A800" s="7" t="s">
        <v>1508</v>
      </c>
      <c r="B800" s="8" t="s">
        <v>1509</v>
      </c>
      <c r="C800" s="8" t="s">
        <v>18</v>
      </c>
      <c r="D800" s="8" t="s">
        <v>18</v>
      </c>
      <c r="E800" s="8" t="s">
        <v>19</v>
      </c>
      <c r="F800" s="8" t="s">
        <v>20</v>
      </c>
      <c r="G800" s="8" t="s">
        <v>21</v>
      </c>
      <c r="H800" s="9"/>
      <c r="I800" s="9"/>
      <c r="J800" s="10">
        <f t="shared" ref="J800:M800" si="520">ifs(OR($H800="R",$I800="N"),"N/A",OR(C800="A",C800="B",C800="C",C800="U"),3,TRUE,"FLAG")</f>
        <v>3</v>
      </c>
      <c r="K800" s="10">
        <f t="shared" si="520"/>
        <v>3</v>
      </c>
      <c r="L800" s="10">
        <f t="shared" si="520"/>
        <v>3</v>
      </c>
      <c r="M800" s="10" t="str">
        <f t="shared" si="520"/>
        <v>FLAG</v>
      </c>
      <c r="N800" s="10" t="str">
        <f t="shared" si="2"/>
        <v>21-5815(a)(2) - Criminal Littering; Recklessly deposit or cause to be deposited any object or substance into, upon or about: Any private property without consent</v>
      </c>
      <c r="O800" s="10" t="str">
        <f t="shared" si="3"/>
        <v>Criminal Littering</v>
      </c>
    </row>
    <row r="801">
      <c r="A801" s="7" t="s">
        <v>1510</v>
      </c>
      <c r="B801" s="8" t="s">
        <v>1511</v>
      </c>
      <c r="C801" s="8" t="s">
        <v>18</v>
      </c>
      <c r="D801" s="8" t="s">
        <v>18</v>
      </c>
      <c r="E801" s="8" t="s">
        <v>19</v>
      </c>
      <c r="F801" s="8" t="s">
        <v>20</v>
      </c>
      <c r="G801" s="8" t="s">
        <v>21</v>
      </c>
      <c r="H801" s="9"/>
      <c r="I801" s="9"/>
      <c r="J801" s="10">
        <f t="shared" ref="J801:M801" si="521">ifs(OR($H801="R",$I801="N"),"N/A",OR(C801="A",C801="B",C801="C",C801="U"),3,TRUE,"FLAG")</f>
        <v>3</v>
      </c>
      <c r="K801" s="10">
        <f t="shared" si="521"/>
        <v>3</v>
      </c>
      <c r="L801" s="10">
        <f t="shared" si="521"/>
        <v>3</v>
      </c>
      <c r="M801" s="10" t="str">
        <f t="shared" si="521"/>
        <v>FLAG</v>
      </c>
      <c r="N801" s="10" t="str">
        <f t="shared" si="2"/>
        <v>21-5815(a)(1) - Criminal Littering; Recklessly deposit or cause to be deposited any object or substance into, upon or about: Any public street, highway, alley, road, right-of-way, park or other public place, or any lake, stream, watercourse, or other body of water</v>
      </c>
      <c r="O801" s="10" t="str">
        <f t="shared" si="3"/>
        <v>Criminal Littering</v>
      </c>
    </row>
    <row r="802">
      <c r="A802" s="7" t="s">
        <v>1512</v>
      </c>
      <c r="B802" s="8" t="s">
        <v>1513</v>
      </c>
      <c r="C802" s="8">
        <v>7.0</v>
      </c>
      <c r="D802" s="8">
        <v>9.0</v>
      </c>
      <c r="E802" s="8">
        <v>9.0</v>
      </c>
      <c r="F802" s="8">
        <v>10.0</v>
      </c>
      <c r="G802" s="8" t="s">
        <v>24</v>
      </c>
      <c r="H802" s="9"/>
      <c r="I802" s="9"/>
      <c r="N802" s="10" t="str">
        <f t="shared" si="2"/>
        <v>21-6312(a) - Criminal Possession of Explosives; Possession of explosive or detonating substance by one who, within 5 yrs preceding such possession, has been convicted of a felony or has been released from imprisonment for a felony</v>
      </c>
      <c r="O802" s="10" t="str">
        <f t="shared" si="3"/>
        <v>Criminal Possession of Explosives</v>
      </c>
    </row>
    <row r="803">
      <c r="A803" s="7" t="s">
        <v>1514</v>
      </c>
      <c r="B803" s="8" t="s">
        <v>1515</v>
      </c>
      <c r="C803" s="8" t="s">
        <v>27</v>
      </c>
      <c r="D803" s="8" t="s">
        <v>28</v>
      </c>
      <c r="E803" s="8" t="s">
        <v>19</v>
      </c>
      <c r="F803" s="8" t="s">
        <v>20</v>
      </c>
      <c r="G803" s="8" t="s">
        <v>21</v>
      </c>
      <c r="H803" s="9"/>
      <c r="I803" s="9"/>
      <c r="J803" s="10">
        <f t="shared" ref="J803:M803" si="522">ifs(OR($H803="R",$I803="N"),"N/A",OR(C803="A",C803="B",C803="C",C803="U"),3,TRUE,"FLAG")</f>
        <v>3</v>
      </c>
      <c r="K803" s="10">
        <f t="shared" si="522"/>
        <v>3</v>
      </c>
      <c r="L803" s="10">
        <f t="shared" si="522"/>
        <v>3</v>
      </c>
      <c r="M803" s="10" t="str">
        <f t="shared" si="522"/>
        <v>FLAG</v>
      </c>
      <c r="N803" s="10" t="str">
        <f t="shared" si="2"/>
        <v>21-6309(a)(3) - Criminal Possession of Firearm; Possession on the grounds of or in any building on the grounds of the governor's residence</v>
      </c>
      <c r="O803" s="10" t="str">
        <f t="shared" si="3"/>
        <v>Criminal Possession of Firearm</v>
      </c>
    </row>
    <row r="804">
      <c r="A804" s="7" t="s">
        <v>1516</v>
      </c>
      <c r="B804" s="8" t="s">
        <v>1517</v>
      </c>
      <c r="C804" s="8" t="s">
        <v>27</v>
      </c>
      <c r="D804" s="8" t="s">
        <v>28</v>
      </c>
      <c r="E804" s="8" t="s">
        <v>19</v>
      </c>
      <c r="F804" s="8" t="s">
        <v>20</v>
      </c>
      <c r="G804" s="8" t="s">
        <v>21</v>
      </c>
      <c r="H804" s="9"/>
      <c r="I804" s="9"/>
      <c r="J804" s="10">
        <f t="shared" ref="J804:M804" si="523">ifs(OR($H804="R",$I804="N"),"N/A",OR(C804="A",C804="B",C804="C",C804="U"),3,TRUE,"FLAG")</f>
        <v>3</v>
      </c>
      <c r="K804" s="10">
        <f t="shared" si="523"/>
        <v>3</v>
      </c>
      <c r="L804" s="10">
        <f t="shared" si="523"/>
        <v>3</v>
      </c>
      <c r="M804" s="10" t="str">
        <f t="shared" si="523"/>
        <v>FLAG</v>
      </c>
      <c r="N804" s="10" t="str">
        <f t="shared" si="2"/>
        <v>21-6309(a)(5) - Criminal Possession of Firearm; Possession within any county courthouse, unless authorized by county resolution</v>
      </c>
      <c r="O804" s="10" t="str">
        <f t="shared" si="3"/>
        <v>Criminal Possession of Firearm</v>
      </c>
    </row>
    <row r="805">
      <c r="A805" s="7" t="s">
        <v>1518</v>
      </c>
      <c r="B805" s="8" t="s">
        <v>1519</v>
      </c>
      <c r="C805" s="8" t="s">
        <v>27</v>
      </c>
      <c r="D805" s="8" t="s">
        <v>28</v>
      </c>
      <c r="E805" s="8" t="s">
        <v>19</v>
      </c>
      <c r="F805" s="8" t="s">
        <v>20</v>
      </c>
      <c r="G805" s="8" t="s">
        <v>21</v>
      </c>
      <c r="H805" s="9"/>
      <c r="I805" s="9"/>
      <c r="J805" s="10">
        <f t="shared" ref="J805:M805" si="524">ifs(OR($H805="R",$I805="N"),"N/A",OR(C805="A",C805="B",C805="C",C805="U"),3,TRUE,"FLAG")</f>
        <v>3</v>
      </c>
      <c r="K805" s="10">
        <f t="shared" si="524"/>
        <v>3</v>
      </c>
      <c r="L805" s="10">
        <f t="shared" si="524"/>
        <v>3</v>
      </c>
      <c r="M805" s="10" t="str">
        <f t="shared" si="524"/>
        <v>FLAG</v>
      </c>
      <c r="N805" s="10" t="str">
        <f t="shared" si="2"/>
        <v>21-6309(a)(4) - Criminal Possession of Firearm; Possession within any other state-owned or leased building if so designated and signs conspicuously posted</v>
      </c>
      <c r="O805" s="10" t="str">
        <f t="shared" si="3"/>
        <v>Criminal Possession of Firearm</v>
      </c>
    </row>
    <row r="806">
      <c r="A806" s="7" t="s">
        <v>1520</v>
      </c>
      <c r="B806" s="8" t="s">
        <v>1521</v>
      </c>
      <c r="C806" s="8" t="s">
        <v>27</v>
      </c>
      <c r="D806" s="8" t="s">
        <v>28</v>
      </c>
      <c r="E806" s="8" t="s">
        <v>19</v>
      </c>
      <c r="F806" s="8" t="s">
        <v>20</v>
      </c>
      <c r="G806" s="8" t="s">
        <v>21</v>
      </c>
      <c r="H806" s="9"/>
      <c r="I806" s="9"/>
      <c r="J806" s="10">
        <f t="shared" ref="J806:M806" si="525">ifs(OR($H806="R",$I806="N"),"N/A",OR(C806="A",C806="B",C806="C",C806="U"),3,TRUE,"FLAG")</f>
        <v>3</v>
      </c>
      <c r="K806" s="10">
        <f t="shared" si="525"/>
        <v>3</v>
      </c>
      <c r="L806" s="10">
        <f t="shared" si="525"/>
        <v>3</v>
      </c>
      <c r="M806" s="10" t="str">
        <f t="shared" si="525"/>
        <v>FLAG</v>
      </c>
      <c r="N806" s="10" t="str">
        <f t="shared" si="2"/>
        <v>21-6309(a)(2) - Criminal Possession of Firearm; Possession within the governor's residence</v>
      </c>
      <c r="O806" s="10" t="str">
        <f t="shared" si="3"/>
        <v>Criminal Possession of Firearm</v>
      </c>
    </row>
    <row r="807">
      <c r="A807" s="7" t="s">
        <v>1522</v>
      </c>
      <c r="B807" s="8" t="s">
        <v>1523</v>
      </c>
      <c r="C807" s="8">
        <v>8.0</v>
      </c>
      <c r="D807" s="8">
        <v>10.0</v>
      </c>
      <c r="E807" s="8">
        <v>10.0</v>
      </c>
      <c r="F807" s="8">
        <v>10.0</v>
      </c>
      <c r="G807" s="8" t="s">
        <v>21</v>
      </c>
      <c r="H807" s="9"/>
      <c r="I807" s="9"/>
      <c r="N807" s="10" t="str">
        <f t="shared" si="2"/>
        <v>21-6304(a)(1) - Criminal Possession of Weapon by a Convicted Felon; By a person who has been convicted of a person felony or violation of the uniform controlled substances act or adjudicated as a juvenile offender and found to have possession of firearm at the time of the commission of the offense</v>
      </c>
      <c r="O807" s="10" t="str">
        <f t="shared" si="3"/>
        <v>Criminal Possession of Weapon by a Convicted Felon</v>
      </c>
    </row>
    <row r="808">
      <c r="A808" s="7" t="s">
        <v>1524</v>
      </c>
      <c r="B808" s="8" t="s">
        <v>1525</v>
      </c>
      <c r="C808" s="8">
        <v>8.0</v>
      </c>
      <c r="D808" s="8">
        <v>10.0</v>
      </c>
      <c r="E808" s="8">
        <v>10.0</v>
      </c>
      <c r="F808" s="8">
        <v>10.0</v>
      </c>
      <c r="G808" s="8" t="s">
        <v>21</v>
      </c>
      <c r="H808" s="9"/>
      <c r="I808" s="9"/>
      <c r="N808" s="10" t="str">
        <f t="shared" si="2"/>
        <v>21-6304(a)(3)(A) - Criminal Possession of Weapon by a Convicted Felon; By a person who has been convicted, within the preceding 10 yrs, of a felony listed in this statute or an attempt, conspiracy or solicitation of such, or has been released from imprisonment for such, or was adjudicated as a juvenile offender, and was found not to have been in possession of a firearm at the time of the commission of the offense</v>
      </c>
      <c r="O808" s="10" t="str">
        <f t="shared" si="3"/>
        <v>Criminal Possession of Weapon by a Convicted Felon</v>
      </c>
    </row>
    <row r="809">
      <c r="A809" s="7" t="s">
        <v>1526</v>
      </c>
      <c r="B809" s="8" t="s">
        <v>1527</v>
      </c>
      <c r="C809" s="8">
        <v>8.0</v>
      </c>
      <c r="D809" s="8">
        <v>10.0</v>
      </c>
      <c r="E809" s="8">
        <v>10.0</v>
      </c>
      <c r="F809" s="8">
        <v>10.0</v>
      </c>
      <c r="G809" s="8" t="s">
        <v>21</v>
      </c>
      <c r="H809" s="9"/>
      <c r="I809" s="9"/>
      <c r="N809" s="10" t="str">
        <f t="shared" si="2"/>
        <v>21-6304(a)(3)(B) - Criminal Possession of Weapon by a Convicted Felon; By a person who has been convicted, within the preceding 10 yrs, of a nonperson felony, has been released from imprisonment for such or was adjudicated as a juvenile offender, and was found to have been in possession of a firearm at the time of the commission of the offense</v>
      </c>
      <c r="O809" s="10" t="str">
        <f t="shared" si="3"/>
        <v>Criminal Possession of Weapon by a Convicted Felon</v>
      </c>
    </row>
    <row r="810">
      <c r="A810" s="7" t="s">
        <v>1528</v>
      </c>
      <c r="B810" s="8" t="s">
        <v>1529</v>
      </c>
      <c r="C810" s="8">
        <v>8.0</v>
      </c>
      <c r="D810" s="8">
        <v>10.0</v>
      </c>
      <c r="E810" s="8">
        <v>10.0</v>
      </c>
      <c r="F810" s="8">
        <v>10.0</v>
      </c>
      <c r="G810" s="8" t="s">
        <v>21</v>
      </c>
      <c r="H810" s="9"/>
      <c r="I810" s="9"/>
      <c r="N810" s="10" t="str">
        <f t="shared" si="2"/>
        <v>21-6304(a)(2) - Criminal Possession of Weapon by a Convicted Felon; By a person who has been convicted, within the preceding 5 yrs, of a felony other than (a)(3)(A) or violation of the uniform controlled substances act or adjudicated as a juvenile offender and found not to have been in possession of a firearm at the time of commission of offense</v>
      </c>
      <c r="O810" s="10" t="str">
        <f t="shared" si="3"/>
        <v>Criminal Possession of Weapon by a Convicted Felon</v>
      </c>
    </row>
    <row r="811">
      <c r="A811" s="7" t="s">
        <v>1530</v>
      </c>
      <c r="B811" s="8" t="s">
        <v>1531</v>
      </c>
      <c r="C811" s="8" t="s">
        <v>1532</v>
      </c>
      <c r="D811" s="8">
        <v>10.0</v>
      </c>
      <c r="E811" s="8">
        <v>10.0</v>
      </c>
      <c r="F811" s="8">
        <v>10.0</v>
      </c>
      <c r="G811" s="8" t="s">
        <v>21</v>
      </c>
      <c r="H811" s="9"/>
      <c r="I811" s="9"/>
      <c r="N811" s="10" t="str">
        <f t="shared" si="2"/>
        <v>22-4405 - Criminal Procedure; Agreement on Detainers; escape from custody while in state on detainer</v>
      </c>
      <c r="O811" s="10" t="str">
        <f t="shared" si="3"/>
        <v>Criminal Procedure</v>
      </c>
    </row>
    <row r="812">
      <c r="A812" s="7" t="s">
        <v>1533</v>
      </c>
      <c r="B812" s="8" t="s">
        <v>1534</v>
      </c>
      <c r="C812" s="8" t="s">
        <v>27</v>
      </c>
      <c r="D812" s="8" t="s">
        <v>28</v>
      </c>
      <c r="E812" s="8" t="s">
        <v>19</v>
      </c>
      <c r="F812" s="8" t="s">
        <v>20</v>
      </c>
      <c r="G812" s="8" t="s">
        <v>21</v>
      </c>
      <c r="H812" s="9"/>
      <c r="I812" s="9"/>
      <c r="J812" s="10">
        <f t="shared" ref="J812:M812" si="526">ifs(OR($H812="R",$I812="N"),"N/A",OR(C812="A",C812="B",C812="C",C812="U"),3,TRUE,"FLAG")</f>
        <v>3</v>
      </c>
      <c r="K812" s="10">
        <f t="shared" si="526"/>
        <v>3</v>
      </c>
      <c r="L812" s="10">
        <f t="shared" si="526"/>
        <v>3</v>
      </c>
      <c r="M812" s="10" t="str">
        <f t="shared" si="526"/>
        <v>FLAG</v>
      </c>
      <c r="N812" s="10" t="str">
        <f t="shared" si="2"/>
        <v>22-2809a(b) - Criminal Procedure; Conditions of Release; surety or agent thereof; 1st conviction</v>
      </c>
      <c r="O812" s="10" t="str">
        <f t="shared" si="3"/>
        <v>Criminal Procedure</v>
      </c>
    </row>
    <row r="813">
      <c r="A813" s="7" t="s">
        <v>1535</v>
      </c>
      <c r="B813" s="8" t="s">
        <v>1536</v>
      </c>
      <c r="C813" s="8">
        <v>9.0</v>
      </c>
      <c r="D813" s="8">
        <v>10.0</v>
      </c>
      <c r="E813" s="8">
        <v>10.0</v>
      </c>
      <c r="F813" s="8">
        <v>10.0</v>
      </c>
      <c r="G813" s="8" t="s">
        <v>21</v>
      </c>
      <c r="H813" s="9"/>
      <c r="I813" s="9"/>
      <c r="N813" s="10" t="str">
        <f t="shared" si="2"/>
        <v>22-2809a(b),(c) - Criminal Procedure; Conditions of Release; surety or agent thereof; 2nd or subs. offense</v>
      </c>
      <c r="O813" s="10" t="str">
        <f t="shared" si="3"/>
        <v>Criminal Procedure</v>
      </c>
    </row>
    <row r="814">
      <c r="A814" s="7" t="s">
        <v>1537</v>
      </c>
      <c r="B814" s="8" t="s">
        <v>1538</v>
      </c>
      <c r="C814" s="8" t="s">
        <v>19</v>
      </c>
      <c r="D814" s="8" t="s">
        <v>19</v>
      </c>
      <c r="E814" s="8" t="s">
        <v>19</v>
      </c>
      <c r="F814" s="8" t="s">
        <v>20</v>
      </c>
      <c r="G814" s="8" t="s">
        <v>21</v>
      </c>
      <c r="H814" s="9"/>
      <c r="I814" s="9"/>
      <c r="J814" s="10">
        <f t="shared" ref="J814:M814" si="527">ifs(OR($H814="R",$I814="N"),"N/A",OR(C814="A",C814="B",C814="C",C814="U"),3,TRUE,"FLAG")</f>
        <v>3</v>
      </c>
      <c r="K814" s="10">
        <f t="shared" si="527"/>
        <v>3</v>
      </c>
      <c r="L814" s="10">
        <f t="shared" si="527"/>
        <v>3</v>
      </c>
      <c r="M814" s="10" t="str">
        <f t="shared" si="527"/>
        <v>FLAG</v>
      </c>
      <c r="N814" s="10" t="str">
        <f t="shared" si="2"/>
        <v>22-2525(1) - Criminal Procedure; Unauthorized installation or use of pen register or a trap and trace device</v>
      </c>
      <c r="O814" s="10" t="str">
        <f t="shared" si="3"/>
        <v>Criminal Procedure</v>
      </c>
    </row>
    <row r="815">
      <c r="A815" s="7" t="s">
        <v>1539</v>
      </c>
      <c r="B815" s="8" t="s">
        <v>1540</v>
      </c>
      <c r="C815" s="8" t="s">
        <v>28</v>
      </c>
      <c r="D815" s="8" t="s">
        <v>19</v>
      </c>
      <c r="E815" s="8" t="s">
        <v>19</v>
      </c>
      <c r="F815" s="8" t="s">
        <v>20</v>
      </c>
      <c r="G815" s="8" t="s">
        <v>21</v>
      </c>
      <c r="H815" s="9"/>
      <c r="I815" s="9"/>
      <c r="J815" s="10">
        <f t="shared" ref="J815:M815" si="528">ifs(OR($H815="R",$I815="N"),"N/A",OR(C815="A",C815="B",C815="C",C815="U"),3,TRUE,"FLAG")</f>
        <v>3</v>
      </c>
      <c r="K815" s="10">
        <f t="shared" si="528"/>
        <v>3</v>
      </c>
      <c r="L815" s="10">
        <f t="shared" si="528"/>
        <v>3</v>
      </c>
      <c r="M815" s="10" t="str">
        <f t="shared" si="528"/>
        <v>FLAG</v>
      </c>
      <c r="N815" s="10" t="str">
        <f t="shared" si="2"/>
        <v>22-2710 - Criminal Procedure; Uniform Criminal Extradition Act; rights of accused person; application for writ of habeas corpus; notice; failure of officer to comply</v>
      </c>
      <c r="O815" s="10" t="str">
        <f t="shared" si="3"/>
        <v>Criminal Procedure</v>
      </c>
    </row>
    <row r="816">
      <c r="A816" s="7" t="s">
        <v>1541</v>
      </c>
      <c r="B816" s="8" t="s">
        <v>1542</v>
      </c>
      <c r="C816" s="8" t="s">
        <v>27</v>
      </c>
      <c r="D816" s="8" t="s">
        <v>28</v>
      </c>
      <c r="E816" s="8" t="s">
        <v>19</v>
      </c>
      <c r="F816" s="8" t="s">
        <v>20</v>
      </c>
      <c r="G816" s="8" t="s">
        <v>21</v>
      </c>
      <c r="H816" s="9"/>
      <c r="I816" s="9"/>
      <c r="J816" s="10">
        <f t="shared" ref="J816:M816" si="529">ifs(OR($H816="R",$I816="N"),"N/A",OR(C816="A",C816="B",C816="C",C816="U"),3,TRUE,"FLAG")</f>
        <v>3</v>
      </c>
      <c r="K816" s="10">
        <f t="shared" si="529"/>
        <v>3</v>
      </c>
      <c r="L816" s="10">
        <f t="shared" si="529"/>
        <v>3</v>
      </c>
      <c r="M816" s="10" t="str">
        <f t="shared" si="529"/>
        <v>FLAG</v>
      </c>
      <c r="N816" s="10" t="str">
        <f t="shared" si="2"/>
        <v>22-4710(a) - Criminal Procedure; Unlawful for employers to require inspection of or challenge to any criminal history record information for the purpose of obtaining criminal history record to qualify for employment</v>
      </c>
      <c r="O816" s="10" t="str">
        <f t="shared" si="3"/>
        <v>Criminal Procedure</v>
      </c>
    </row>
    <row r="817">
      <c r="A817" s="7" t="s">
        <v>1543</v>
      </c>
      <c r="B817" s="8" t="s">
        <v>1544</v>
      </c>
      <c r="C817" s="8" t="s">
        <v>27</v>
      </c>
      <c r="D817" s="8" t="s">
        <v>28</v>
      </c>
      <c r="E817" s="8" t="s">
        <v>19</v>
      </c>
      <c r="F817" s="8" t="s">
        <v>20</v>
      </c>
      <c r="G817" s="8" t="s">
        <v>21</v>
      </c>
      <c r="H817" s="9"/>
      <c r="I817" s="9"/>
      <c r="J817" s="10">
        <f t="shared" ref="J817:M817" si="530">ifs(OR($H817="R",$I817="N"),"N/A",OR(C817="A",C817="B",C817="C",C817="U"),3,TRUE,"FLAG")</f>
        <v>3</v>
      </c>
      <c r="K817" s="10">
        <f t="shared" si="530"/>
        <v>3</v>
      </c>
      <c r="L817" s="10">
        <f t="shared" si="530"/>
        <v>3</v>
      </c>
      <c r="M817" s="10" t="str">
        <f t="shared" si="530"/>
        <v>FLAG</v>
      </c>
      <c r="N817" s="10" t="str">
        <f t="shared" si="2"/>
        <v>22-4707(a) - Criminal Procedure; Violation of restrictions on dissemination of criminal history record information</v>
      </c>
      <c r="O817" s="10" t="str">
        <f t="shared" si="3"/>
        <v>Criminal Procedure</v>
      </c>
    </row>
    <row r="818">
      <c r="A818" s="7" t="s">
        <v>1545</v>
      </c>
      <c r="B818" s="8" t="s">
        <v>1546</v>
      </c>
      <c r="C818" s="8" t="s">
        <v>27</v>
      </c>
      <c r="D818" s="8" t="s">
        <v>28</v>
      </c>
      <c r="E818" s="8" t="s">
        <v>19</v>
      </c>
      <c r="F818" s="8" t="s">
        <v>20</v>
      </c>
      <c r="G818" s="8" t="s">
        <v>24</v>
      </c>
      <c r="H818" s="8"/>
      <c r="I818" s="9"/>
      <c r="J818" s="10">
        <f t="shared" ref="J818:M818" si="531">ifs(OR($H818="R",$I818="N"),"N/A",OR(C818="A",C818="B",C818="C",C818="U"),3,TRUE,"FLAG")</f>
        <v>3</v>
      </c>
      <c r="K818" s="10">
        <f t="shared" si="531"/>
        <v>3</v>
      </c>
      <c r="L818" s="10">
        <f t="shared" si="531"/>
        <v>3</v>
      </c>
      <c r="M818" s="10" t="str">
        <f t="shared" si="531"/>
        <v>FLAG</v>
      </c>
      <c r="N818" s="10" t="str">
        <f t="shared" si="2"/>
        <v>21-5411(a) - Criminal Restraint; Except by parent and only when victim is less than 18</v>
      </c>
      <c r="O818" s="10" t="str">
        <f t="shared" si="3"/>
        <v>Criminal Restraint</v>
      </c>
    </row>
    <row r="819">
      <c r="A819" s="7" t="s">
        <v>1547</v>
      </c>
      <c r="B819" s="8" t="s">
        <v>1548</v>
      </c>
      <c r="C819" s="8" t="s">
        <v>28</v>
      </c>
      <c r="D819" s="8" t="s">
        <v>19</v>
      </c>
      <c r="E819" s="8" t="s">
        <v>19</v>
      </c>
      <c r="F819" s="8" t="s">
        <v>20</v>
      </c>
      <c r="G819" s="8" t="s">
        <v>21</v>
      </c>
      <c r="H819" s="8" t="s">
        <v>109</v>
      </c>
      <c r="I819" s="8" t="s">
        <v>54</v>
      </c>
      <c r="J819" s="10" t="str">
        <f t="shared" ref="J819:M819" si="532">ifs(OR($H819="R",$I819="N"),"N/A",OR(C819="A",C819="B",C819="C",C819="U"),3,TRUE,"FLAG")</f>
        <v>N/A</v>
      </c>
      <c r="K819" s="10" t="str">
        <f t="shared" si="532"/>
        <v>N/A</v>
      </c>
      <c r="L819" s="10" t="str">
        <f t="shared" si="532"/>
        <v>N/A</v>
      </c>
      <c r="M819" s="10" t="str">
        <f t="shared" si="532"/>
        <v>N/A</v>
      </c>
      <c r="N819" s="10" t="str">
        <f t="shared" si="2"/>
        <v>21-5504(a)(2) - Criminal Sodomy; Between a person and an animal</v>
      </c>
      <c r="O819" s="10" t="str">
        <f t="shared" si="3"/>
        <v>Criminal Sodomy</v>
      </c>
    </row>
    <row r="820">
      <c r="A820" s="7" t="s">
        <v>1549</v>
      </c>
      <c r="B820" s="8" t="s">
        <v>1550</v>
      </c>
      <c r="C820" s="8" t="s">
        <v>28</v>
      </c>
      <c r="D820" s="8" t="s">
        <v>19</v>
      </c>
      <c r="E820" s="8" t="s">
        <v>19</v>
      </c>
      <c r="F820" s="8" t="s">
        <v>20</v>
      </c>
      <c r="G820" s="8" t="s">
        <v>21</v>
      </c>
      <c r="H820" s="8" t="s">
        <v>109</v>
      </c>
      <c r="I820" s="8" t="s">
        <v>54</v>
      </c>
      <c r="J820" s="10" t="str">
        <f t="shared" ref="J820:M820" si="533">ifs(OR($H820="R",$I820="N"),"N/A",OR(C820="A",C820="B",C820="C",C820="U"),3,TRUE,"FLAG")</f>
        <v>N/A</v>
      </c>
      <c r="K820" s="10" t="str">
        <f t="shared" si="533"/>
        <v>N/A</v>
      </c>
      <c r="L820" s="10" t="str">
        <f t="shared" si="533"/>
        <v>N/A</v>
      </c>
      <c r="M820" s="10" t="str">
        <f t="shared" si="533"/>
        <v>N/A</v>
      </c>
      <c r="N820" s="10" t="str">
        <f t="shared" si="2"/>
        <v>21-5504(a)(1) - Criminal Sodomy; Between persons 16 or older and members of same sex</v>
      </c>
      <c r="O820" s="10" t="str">
        <f t="shared" si="3"/>
        <v>Criminal Sodomy</v>
      </c>
    </row>
    <row r="821">
      <c r="A821" s="7" t="s">
        <v>1551</v>
      </c>
      <c r="B821" s="8" t="s">
        <v>1552</v>
      </c>
      <c r="C821" s="8">
        <v>3.0</v>
      </c>
      <c r="D821" s="8">
        <v>5.0</v>
      </c>
      <c r="E821" s="8">
        <v>5.0</v>
      </c>
      <c r="F821" s="8">
        <v>6.0</v>
      </c>
      <c r="G821" s="8" t="s">
        <v>24</v>
      </c>
      <c r="H821" s="8" t="s">
        <v>109</v>
      </c>
      <c r="I821" s="8" t="s">
        <v>54</v>
      </c>
      <c r="N821" s="10" t="str">
        <f t="shared" si="2"/>
        <v>21-5504(a)(4) - Criminal Sodomy; Causing child 14 or more but less than 16 to engage in sodomy with person or animal</v>
      </c>
      <c r="O821" s="10" t="str">
        <f t="shared" si="3"/>
        <v>Criminal Sodomy</v>
      </c>
    </row>
    <row r="822">
      <c r="A822" s="7" t="s">
        <v>1553</v>
      </c>
      <c r="B822" s="8" t="s">
        <v>1554</v>
      </c>
      <c r="C822" s="8">
        <v>3.0</v>
      </c>
      <c r="D822" s="8">
        <v>5.0</v>
      </c>
      <c r="E822" s="8">
        <v>5.0</v>
      </c>
      <c r="F822" s="8">
        <v>6.0</v>
      </c>
      <c r="G822" s="8" t="s">
        <v>24</v>
      </c>
      <c r="H822" s="8" t="s">
        <v>109</v>
      </c>
      <c r="I822" s="8" t="s">
        <v>54</v>
      </c>
      <c r="N822" s="10" t="str">
        <f t="shared" si="2"/>
        <v>21-5504(a)(3) - Criminal Sodomy; Committed with child 14 or more but less than 16</v>
      </c>
      <c r="O822" s="10" t="str">
        <f t="shared" si="3"/>
        <v>Criminal Sodomy</v>
      </c>
    </row>
    <row r="823">
      <c r="A823" s="7" t="s">
        <v>1555</v>
      </c>
      <c r="B823" s="8" t="s">
        <v>1556</v>
      </c>
      <c r="C823" s="8">
        <v>6.0</v>
      </c>
      <c r="D823" s="8">
        <v>8.0</v>
      </c>
      <c r="E823" s="8">
        <v>8.0</v>
      </c>
      <c r="F823" s="8">
        <v>9.0</v>
      </c>
      <c r="G823" s="8" t="s">
        <v>24</v>
      </c>
      <c r="H823" s="9"/>
      <c r="I823" s="9"/>
      <c r="N823" s="10" t="str">
        <f t="shared" si="2"/>
        <v>21-6314(a) - Criminal Street Gangs; Intentionally recruiting criminal street gang membership</v>
      </c>
      <c r="O823" s="10" t="str">
        <f t="shared" si="3"/>
        <v>Criminal Street Gangs</v>
      </c>
    </row>
    <row r="824">
      <c r="A824" s="7" t="s">
        <v>1557</v>
      </c>
      <c r="B824" s="8" t="s">
        <v>1558</v>
      </c>
      <c r="C824" s="8">
        <v>5.0</v>
      </c>
      <c r="D824" s="8">
        <v>7.0</v>
      </c>
      <c r="E824" s="8">
        <v>7.0</v>
      </c>
      <c r="F824" s="8">
        <v>8.0</v>
      </c>
      <c r="G824" s="8" t="s">
        <v>24</v>
      </c>
      <c r="H824" s="9"/>
      <c r="I824" s="9"/>
      <c r="N824" s="10" t="str">
        <f t="shared" si="2"/>
        <v>21-6315(a)(1) - Criminal Street Gangs; Intimidation; threaten injury to or actual injury of, or threaten damage or actual damage to property of, another to deter them from assisting a gang member in withdrawing from the gang</v>
      </c>
      <c r="O824" s="10" t="str">
        <f t="shared" si="3"/>
        <v>Criminal Street Gangs</v>
      </c>
    </row>
    <row r="825">
      <c r="A825" s="7" t="s">
        <v>1559</v>
      </c>
      <c r="B825" s="8" t="s">
        <v>1560</v>
      </c>
      <c r="C825" s="8">
        <v>5.0</v>
      </c>
      <c r="D825" s="8">
        <v>7.0</v>
      </c>
      <c r="E825" s="8">
        <v>7.0</v>
      </c>
      <c r="F825" s="8">
        <v>8.0</v>
      </c>
      <c r="G825" s="8" t="s">
        <v>24</v>
      </c>
      <c r="H825" s="9"/>
      <c r="I825" s="9"/>
      <c r="N825" s="10" t="str">
        <f t="shared" si="2"/>
        <v>21-6315(a)(2) - Criminal Street Gangs; Intimidation; threaten injury to or actual injury of, or threaten damage or actual damage to property of, another to punish or retaliate against such person having withdrawn from a gang</v>
      </c>
      <c r="O825" s="10" t="str">
        <f t="shared" si="3"/>
        <v>Criminal Street Gangs</v>
      </c>
    </row>
    <row r="826">
      <c r="A826" s="7" t="s">
        <v>1561</v>
      </c>
      <c r="B826" s="8" t="s">
        <v>1562</v>
      </c>
      <c r="C826" s="8">
        <v>9.0</v>
      </c>
      <c r="D826" s="8">
        <v>10.0</v>
      </c>
      <c r="E826" s="8">
        <v>10.0</v>
      </c>
      <c r="F826" s="8">
        <v>10.0</v>
      </c>
      <c r="G826" s="8" t="s">
        <v>24</v>
      </c>
      <c r="H826" s="9"/>
      <c r="I826" s="9"/>
      <c r="N826" s="10" t="str">
        <f t="shared" si="2"/>
        <v>21-5415(a)(2) - Criminal Threat; Threaten to adulterate or contaminate any food, raw agricultural commodity, beverage, drug, animal feed, plant or public water supply</v>
      </c>
      <c r="O826" s="10" t="str">
        <f t="shared" si="3"/>
        <v>Criminal Threat</v>
      </c>
    </row>
    <row r="827">
      <c r="A827" s="7" t="s">
        <v>1563</v>
      </c>
      <c r="B827" s="8" t="s">
        <v>1564</v>
      </c>
      <c r="C827" s="8">
        <v>9.0</v>
      </c>
      <c r="D827" s="8">
        <v>10.0</v>
      </c>
      <c r="E827" s="8">
        <v>10.0</v>
      </c>
      <c r="F827" s="8">
        <v>10.0</v>
      </c>
      <c r="G827" s="8" t="s">
        <v>24</v>
      </c>
      <c r="H827" s="9"/>
      <c r="I827" s="9"/>
      <c r="N827" s="10" t="str">
        <f t="shared" si="2"/>
        <v>21-5415(a)(1) - Criminal Threat; Threaten to commit violence with intent to place another in fear, to cause the evacuation, lock down or disruption in regular, ongoing activities of any building, place of assembly or facility of transportation, or in reckless disregard of the risk of causing such  fear or evacuation, lock down or disruption in regular, ongoing activities</v>
      </c>
      <c r="O827" s="10" t="str">
        <f t="shared" si="3"/>
        <v>Criminal Threat</v>
      </c>
    </row>
    <row r="828">
      <c r="A828" s="7" t="s">
        <v>1565</v>
      </c>
      <c r="B828" s="8" t="s">
        <v>1566</v>
      </c>
      <c r="C828" s="8">
        <v>9.0</v>
      </c>
      <c r="D828" s="8">
        <v>10.0</v>
      </c>
      <c r="E828" s="8">
        <v>10.0</v>
      </c>
      <c r="F828" s="8">
        <v>10.0</v>
      </c>
      <c r="G828" s="8" t="s">
        <v>24</v>
      </c>
      <c r="H828" s="9"/>
      <c r="I828" s="9"/>
      <c r="N828" s="10" t="str">
        <f t="shared" si="2"/>
        <v>21-5415(a)(3) - Criminal Threat; Threaten to expose any animal in this state to any contagious or infectious disease</v>
      </c>
      <c r="O828" s="10" t="str">
        <f t="shared" si="3"/>
        <v>Criminal Threat</v>
      </c>
    </row>
    <row r="829">
      <c r="A829" s="7" t="s">
        <v>1567</v>
      </c>
      <c r="B829" s="8" t="s">
        <v>1568</v>
      </c>
      <c r="C829" s="8">
        <v>6.0</v>
      </c>
      <c r="D829" s="8">
        <v>8.0</v>
      </c>
      <c r="E829" s="8">
        <v>8.0</v>
      </c>
      <c r="F829" s="8">
        <v>9.0</v>
      </c>
      <c r="G829" s="8" t="s">
        <v>24</v>
      </c>
      <c r="H829" s="9"/>
      <c r="I829" s="9"/>
      <c r="N829" s="10" t="str">
        <f t="shared" si="2"/>
        <v>66-2303(a)(1) - Criminal Trespass on a Nuclear Generating Facility; Entering/remaining unlawfully in or on facility</v>
      </c>
      <c r="O829" s="10" t="str">
        <f t="shared" si="3"/>
        <v>Criminal Trespass on a Nuclear Generating Facility</v>
      </c>
    </row>
    <row r="830">
      <c r="A830" s="7" t="s">
        <v>1569</v>
      </c>
      <c r="B830" s="8" t="s">
        <v>1570</v>
      </c>
      <c r="C830" s="8">
        <v>6.0</v>
      </c>
      <c r="D830" s="8">
        <v>8.0</v>
      </c>
      <c r="E830" s="8">
        <v>8.0</v>
      </c>
      <c r="F830" s="8">
        <v>9.0</v>
      </c>
      <c r="G830" s="8" t="s">
        <v>24</v>
      </c>
      <c r="H830" s="9"/>
      <c r="I830" s="9"/>
      <c r="N830" s="10" t="str">
        <f t="shared" si="2"/>
        <v>66-2303(a)(2) - Criminal Trespass on a Nuclear Generating Facility; Entering/remaining unlawfully within a structure or fenced yard of a facility</v>
      </c>
      <c r="O830" s="10" t="str">
        <f t="shared" si="3"/>
        <v>Criminal Trespass on a Nuclear Generating Facility</v>
      </c>
    </row>
    <row r="831">
      <c r="A831" s="7" t="s">
        <v>1571</v>
      </c>
      <c r="B831" s="8" t="s">
        <v>1572</v>
      </c>
      <c r="C831" s="8" t="s">
        <v>28</v>
      </c>
      <c r="D831" s="8" t="s">
        <v>19</v>
      </c>
      <c r="E831" s="8" t="s">
        <v>19</v>
      </c>
      <c r="F831" s="8" t="s">
        <v>20</v>
      </c>
      <c r="G831" s="8" t="s">
        <v>21</v>
      </c>
      <c r="H831" s="9"/>
      <c r="I831" s="9"/>
      <c r="J831" s="10">
        <f t="shared" ref="J831:M831" si="534">ifs(OR($H831="R",$I831="N"),"N/A",OR(C831="A",C831="B",C831="C",C831="U"),3,TRUE,"FLAG")</f>
        <v>3</v>
      </c>
      <c r="K831" s="10">
        <f t="shared" si="534"/>
        <v>3</v>
      </c>
      <c r="L831" s="10">
        <f t="shared" si="534"/>
        <v>3</v>
      </c>
      <c r="M831" s="10" t="str">
        <f t="shared" si="534"/>
        <v>FLAG</v>
      </c>
      <c r="N831" s="10" t="str">
        <f t="shared" si="2"/>
        <v>21-5808a(a)(1)(C) - Criminal Trespass; Enter or remain upon or in any land, non-navigable body of water, structure, vehicle, aircraft or watercraft; In defiance of a restraining order</v>
      </c>
      <c r="O831" s="10" t="str">
        <f t="shared" si="3"/>
        <v>Criminal Trespass</v>
      </c>
    </row>
    <row r="832">
      <c r="A832" s="7" t="s">
        <v>1573</v>
      </c>
      <c r="B832" s="8" t="s">
        <v>1574</v>
      </c>
      <c r="C832" s="8" t="s">
        <v>28</v>
      </c>
      <c r="D832" s="8" t="s">
        <v>19</v>
      </c>
      <c r="E832" s="8" t="s">
        <v>19</v>
      </c>
      <c r="F832" s="8" t="s">
        <v>20</v>
      </c>
      <c r="G832" s="8" t="s">
        <v>21</v>
      </c>
      <c r="H832" s="9"/>
      <c r="I832" s="9"/>
      <c r="J832" s="10">
        <f t="shared" ref="J832:M832" si="535">ifs(OR($H832="R",$I832="N"),"N/A",OR(C832="A",C832="B",C832="C",C832="U"),3,TRUE,"FLAG")</f>
        <v>3</v>
      </c>
      <c r="K832" s="10">
        <f t="shared" si="535"/>
        <v>3</v>
      </c>
      <c r="L832" s="10">
        <f t="shared" si="535"/>
        <v>3</v>
      </c>
      <c r="M832" s="10" t="str">
        <f t="shared" si="535"/>
        <v>FLAG</v>
      </c>
      <c r="N832" s="10" t="str">
        <f t="shared" si="2"/>
        <v>21-5808a(a)(1)(A) - Criminal Trespass; Enter or remain upon or in any land, non-navigable body of water, structure, vehicle, aircraft or watercraft; In defiance of an order not to enter or to leave</v>
      </c>
      <c r="O832" s="10" t="str">
        <f t="shared" si="3"/>
        <v>Criminal Trespass</v>
      </c>
    </row>
    <row r="833">
      <c r="A833" s="7" t="s">
        <v>1575</v>
      </c>
      <c r="B833" s="8" t="s">
        <v>1576</v>
      </c>
      <c r="C833" s="8" t="s">
        <v>28</v>
      </c>
      <c r="D833" s="8" t="s">
        <v>19</v>
      </c>
      <c r="E833" s="8" t="s">
        <v>19</v>
      </c>
      <c r="F833" s="8" t="s">
        <v>20</v>
      </c>
      <c r="G833" s="8" t="s">
        <v>21</v>
      </c>
      <c r="H833" s="9"/>
      <c r="I833" s="9"/>
      <c r="J833" s="10">
        <f t="shared" ref="J833:M833" si="536">ifs(OR($H833="R",$I833="N"),"N/A",OR(C833="A",C833="B",C833="C",C833="U"),3,TRUE,"FLAG")</f>
        <v>3</v>
      </c>
      <c r="K833" s="10">
        <f t="shared" si="536"/>
        <v>3</v>
      </c>
      <c r="L833" s="10">
        <f t="shared" si="536"/>
        <v>3</v>
      </c>
      <c r="M833" s="10" t="str">
        <f t="shared" si="536"/>
        <v>FLAG</v>
      </c>
      <c r="N833" s="10" t="str">
        <f t="shared" si="2"/>
        <v>21-5808a(a)(1)(B) - Criminal Trespass; Enter or remain upon or in any land, non-navigable body of water, structure, vehicle, aircraft or watercraft; Premises or property posted as provided in K.S.A. 32-1013 or any other manner reasonably likely to come to the attention of intruders, locked, fenced or otherwise secured against passage or entry</v>
      </c>
      <c r="O833" s="10" t="str">
        <f t="shared" si="3"/>
        <v>Criminal Trespass</v>
      </c>
    </row>
    <row r="834">
      <c r="A834" s="7" t="s">
        <v>1577</v>
      </c>
      <c r="B834" s="8" t="s">
        <v>1578</v>
      </c>
      <c r="C834" s="8" t="s">
        <v>28</v>
      </c>
      <c r="D834" s="8" t="s">
        <v>19</v>
      </c>
      <c r="E834" s="8" t="s">
        <v>19</v>
      </c>
      <c r="F834" s="8" t="s">
        <v>20</v>
      </c>
      <c r="G834" s="8" t="s">
        <v>21</v>
      </c>
      <c r="H834" s="9"/>
      <c r="I834" s="9"/>
      <c r="J834" s="10">
        <f t="shared" ref="J834:M834" si="537">ifs(OR($H834="R",$I834="N"),"N/A",OR(C834="A",C834="B",C834="C",C834="U"),3,TRUE,"FLAG")</f>
        <v>3</v>
      </c>
      <c r="K834" s="10">
        <f t="shared" si="537"/>
        <v>3</v>
      </c>
      <c r="L834" s="10">
        <f t="shared" si="537"/>
        <v>3</v>
      </c>
      <c r="M834" s="10" t="str">
        <f t="shared" si="537"/>
        <v>FLAG</v>
      </c>
      <c r="N834" s="10" t="str">
        <f t="shared" si="2"/>
        <v>21-5808(a)(2) - Criminal Trespass; Enter or remain upon or in public or private land or structure so as to interfere with access to or from any health care facility in defiance of an order not to enter or to leave</v>
      </c>
      <c r="O834" s="10" t="str">
        <f t="shared" si="3"/>
        <v>Criminal Trespass</v>
      </c>
    </row>
    <row r="835">
      <c r="A835" s="7" t="s">
        <v>1579</v>
      </c>
      <c r="B835" s="8" t="s">
        <v>1580</v>
      </c>
      <c r="C835" s="8">
        <v>7.0</v>
      </c>
      <c r="D835" s="8">
        <v>9.0</v>
      </c>
      <c r="E835" s="8">
        <v>9.0</v>
      </c>
      <c r="F835" s="8">
        <v>10.0</v>
      </c>
      <c r="G835" s="8" t="s">
        <v>21</v>
      </c>
      <c r="H835" s="9"/>
      <c r="I835" s="9"/>
      <c r="N835" s="10" t="str">
        <f t="shared" si="2"/>
        <v>21-5828(a)(2) - Criminal Use of  Financial Card; Use a revoked or canceled financial card, or the number or description thereof; $25,000 or more within 7 days</v>
      </c>
      <c r="O835" s="10" t="str">
        <f t="shared" si="3"/>
        <v>Criminal Use of  Financial Card</v>
      </c>
    </row>
    <row r="836">
      <c r="A836" s="7" t="s">
        <v>1581</v>
      </c>
      <c r="B836" s="8" t="s">
        <v>1582</v>
      </c>
      <c r="C836" s="8" t="s">
        <v>27</v>
      </c>
      <c r="D836" s="8" t="s">
        <v>28</v>
      </c>
      <c r="E836" s="8" t="s">
        <v>19</v>
      </c>
      <c r="F836" s="8" t="s">
        <v>20</v>
      </c>
      <c r="G836" s="8" t="s">
        <v>21</v>
      </c>
      <c r="H836" s="9"/>
      <c r="I836" s="9"/>
      <c r="J836" s="10">
        <f t="shared" ref="J836:M836" si="538">ifs(OR($H836="R",$I836="N"),"N/A",OR(C836="A",C836="B",C836="C",C836="U"),3,TRUE,"FLAG")</f>
        <v>3</v>
      </c>
      <c r="K836" s="10">
        <f t="shared" si="538"/>
        <v>3</v>
      </c>
      <c r="L836" s="10">
        <f t="shared" si="538"/>
        <v>3</v>
      </c>
      <c r="M836" s="10" t="str">
        <f t="shared" si="538"/>
        <v>FLAG</v>
      </c>
      <c r="N836" s="10" t="str">
        <f t="shared" si="2"/>
        <v>21-5828(a)(3) - Criminal Use of a Financial Card; Using a falsified, mutilated, altered or nonexistent financial card or a number or description; value at less than $1,000 within 7 days</v>
      </c>
      <c r="O836" s="10" t="str">
        <f t="shared" si="3"/>
        <v>Criminal Use of a Financial Card</v>
      </c>
    </row>
    <row r="837">
      <c r="A837" s="7" t="s">
        <v>1583</v>
      </c>
      <c r="B837" s="8" t="s">
        <v>1584</v>
      </c>
      <c r="C837" s="8" t="s">
        <v>27</v>
      </c>
      <c r="D837" s="8" t="s">
        <v>28</v>
      </c>
      <c r="E837" s="8" t="s">
        <v>19</v>
      </c>
      <c r="F837" s="8" t="s">
        <v>20</v>
      </c>
      <c r="G837" s="8" t="s">
        <v>21</v>
      </c>
      <c r="H837" s="9"/>
      <c r="I837" s="9"/>
      <c r="J837" s="10">
        <f t="shared" ref="J837:M837" si="539">ifs(OR($H837="R",$I837="N"),"N/A",OR(C837="A",C837="B",C837="C",C837="U"),3,TRUE,"FLAG")</f>
        <v>3</v>
      </c>
      <c r="K837" s="10">
        <f t="shared" si="539"/>
        <v>3</v>
      </c>
      <c r="L837" s="10">
        <f t="shared" si="539"/>
        <v>3</v>
      </c>
      <c r="M837" s="10" t="str">
        <f t="shared" si="539"/>
        <v>FLAG</v>
      </c>
      <c r="N837" s="10" t="str">
        <f t="shared" si="2"/>
        <v>21-5828(a)(1) - Criminal Use of a Financial Card; Using a financial card without the consent of the cardholder; value at less than $1,000 within 7 days</v>
      </c>
      <c r="O837" s="10" t="str">
        <f t="shared" si="3"/>
        <v>Criminal Use of a Financial Card</v>
      </c>
    </row>
    <row r="838">
      <c r="A838" s="7" t="s">
        <v>1585</v>
      </c>
      <c r="B838" s="8" t="s">
        <v>1580</v>
      </c>
      <c r="C838" s="8" t="s">
        <v>27</v>
      </c>
      <c r="D838" s="8" t="s">
        <v>28</v>
      </c>
      <c r="E838" s="8" t="s">
        <v>19</v>
      </c>
      <c r="F838" s="8" t="s">
        <v>20</v>
      </c>
      <c r="G838" s="8" t="s">
        <v>21</v>
      </c>
      <c r="H838" s="9"/>
      <c r="I838" s="9"/>
      <c r="J838" s="10">
        <f t="shared" ref="J838:M838" si="540">ifs(OR($H838="R",$I838="N"),"N/A",OR(C838="A",C838="B",C838="C",C838="U"),3,TRUE,"FLAG")</f>
        <v>3</v>
      </c>
      <c r="K838" s="10">
        <f t="shared" si="540"/>
        <v>3</v>
      </c>
      <c r="L838" s="10">
        <f t="shared" si="540"/>
        <v>3</v>
      </c>
      <c r="M838" s="10" t="str">
        <f t="shared" si="540"/>
        <v>FLAG</v>
      </c>
      <c r="N838" s="10" t="str">
        <f t="shared" si="2"/>
        <v>21-5828(a)(2) - Criminal Use of a Financial Card; Using a financial card, or the number or description, which has been revoked or canceled; value at less than $1,000 within 7 days</v>
      </c>
      <c r="O838" s="10" t="str">
        <f t="shared" si="3"/>
        <v>Criminal Use of a Financial Card</v>
      </c>
    </row>
    <row r="839">
      <c r="A839" s="7" t="s">
        <v>1586</v>
      </c>
      <c r="B839" s="8" t="s">
        <v>1587</v>
      </c>
      <c r="C839" s="8">
        <v>8.0</v>
      </c>
      <c r="D839" s="8">
        <v>10.0</v>
      </c>
      <c r="E839" s="8">
        <v>10.0</v>
      </c>
      <c r="F839" s="8">
        <v>10.0</v>
      </c>
      <c r="G839" s="8" t="s">
        <v>24</v>
      </c>
      <c r="H839" s="9"/>
      <c r="I839" s="9"/>
      <c r="N839" s="10" t="str">
        <f t="shared" si="2"/>
        <v>21-5814(a)(2) - Criminal Use of Explosives; Unauthorized possession, creation or construction of a simulated explosive device with the intent to intimidate or cause alarm to another person</v>
      </c>
      <c r="O839" s="10" t="str">
        <f t="shared" si="3"/>
        <v>Criminal Use of Explosives</v>
      </c>
    </row>
    <row r="840">
      <c r="A840" s="7" t="s">
        <v>1588</v>
      </c>
      <c r="B840" s="8" t="s">
        <v>1589</v>
      </c>
      <c r="C840" s="8">
        <v>6.0</v>
      </c>
      <c r="D840" s="8">
        <v>8.0</v>
      </c>
      <c r="E840" s="8">
        <v>8.0</v>
      </c>
      <c r="F840" s="8">
        <v>9.0</v>
      </c>
      <c r="G840" s="8" t="s">
        <v>24</v>
      </c>
      <c r="H840" s="9"/>
      <c r="I840" s="9"/>
      <c r="N840" s="10" t="str">
        <f t="shared" si="2"/>
        <v>21-5814(a)(1) - Criminal Use of Explosives; Unauthorized possession, manufacture or transportation of commercial explosives</v>
      </c>
      <c r="O840" s="10" t="str">
        <f t="shared" si="3"/>
        <v>Criminal Use of Explosives</v>
      </c>
    </row>
    <row r="841">
      <c r="A841" s="7" t="s">
        <v>1590</v>
      </c>
      <c r="B841" s="8" t="s">
        <v>1589</v>
      </c>
      <c r="C841" s="8">
        <v>5.0</v>
      </c>
      <c r="D841" s="8">
        <v>7.0</v>
      </c>
      <c r="E841" s="8">
        <v>7.0</v>
      </c>
      <c r="F841" s="8">
        <v>8.0</v>
      </c>
      <c r="G841" s="8" t="s">
        <v>24</v>
      </c>
      <c r="H841" s="9"/>
      <c r="I841" s="9"/>
      <c r="N841" s="10" t="str">
        <f t="shared" si="2"/>
        <v>21-5814(a)(1) - Criminal Use of Explosives; Unauthorized possession, manufacture or transportation of commercial explosives intended to be used to commit a crime or delivered to another knowing such other intends to use such substance to commit a crime</v>
      </c>
      <c r="O841" s="10" t="str">
        <f t="shared" si="3"/>
        <v>Criminal Use of Explosives</v>
      </c>
    </row>
    <row r="842">
      <c r="A842" s="7" t="s">
        <v>1591</v>
      </c>
      <c r="B842" s="8" t="s">
        <v>1589</v>
      </c>
      <c r="C842" s="8">
        <v>5.0</v>
      </c>
      <c r="D842" s="8">
        <v>7.0</v>
      </c>
      <c r="E842" s="8">
        <v>7.0</v>
      </c>
      <c r="F842" s="8">
        <v>8.0</v>
      </c>
      <c r="G842" s="8" t="s">
        <v>24</v>
      </c>
      <c r="H842" s="9"/>
      <c r="I842" s="9"/>
      <c r="N842" s="10" t="str">
        <f t="shared" si="2"/>
        <v>21-5814(a)(1) - Criminal Use of Explosives; Unauthorized possession, manufacture or transportation of commercial explosives when a public safety officer is placed at risk to defuse such explosive</v>
      </c>
      <c r="O842" s="10" t="str">
        <f t="shared" si="3"/>
        <v>Criminal Use of Explosives</v>
      </c>
    </row>
    <row r="843">
      <c r="A843" s="7" t="s">
        <v>1592</v>
      </c>
      <c r="B843" s="8" t="s">
        <v>1589</v>
      </c>
      <c r="C843" s="8">
        <v>5.0</v>
      </c>
      <c r="D843" s="8">
        <v>7.0</v>
      </c>
      <c r="E843" s="8">
        <v>7.0</v>
      </c>
      <c r="F843" s="8">
        <v>8.0</v>
      </c>
      <c r="G843" s="8" t="s">
        <v>24</v>
      </c>
      <c r="H843" s="9"/>
      <c r="I843" s="9"/>
      <c r="N843" s="10" t="str">
        <f t="shared" si="2"/>
        <v>21-5814(a)(1) - Criminal Use of Explosives; Unauthorized possession, manufacture or transportation of commercial explosives when introduced into a building in which there is another human being</v>
      </c>
      <c r="O843" s="10" t="str">
        <f t="shared" si="3"/>
        <v>Criminal Use of Explosives</v>
      </c>
    </row>
    <row r="844">
      <c r="A844" s="7" t="s">
        <v>1593</v>
      </c>
      <c r="B844" s="8" t="s">
        <v>1582</v>
      </c>
      <c r="C844" s="8">
        <v>7.0</v>
      </c>
      <c r="D844" s="8">
        <v>9.0</v>
      </c>
      <c r="E844" s="8">
        <v>9.0</v>
      </c>
      <c r="F844" s="8">
        <v>10.0</v>
      </c>
      <c r="G844" s="8" t="s">
        <v>21</v>
      </c>
      <c r="H844" s="9"/>
      <c r="I844" s="9"/>
      <c r="N844" s="10" t="str">
        <f t="shared" si="2"/>
        <v>21-5828(a)(3) - Criminal Use of Financial Card; Use a falsified, mutilated, altered or nonexistent financial card or a number or description thereof; $25,000 or more within 7 days</v>
      </c>
      <c r="O844" s="10" t="str">
        <f t="shared" si="3"/>
        <v>Criminal Use of Financial Card</v>
      </c>
    </row>
    <row r="845">
      <c r="A845" s="7" t="s">
        <v>1594</v>
      </c>
      <c r="B845" s="8" t="s">
        <v>1582</v>
      </c>
      <c r="C845" s="8">
        <v>9.0</v>
      </c>
      <c r="D845" s="8">
        <v>10.0</v>
      </c>
      <c r="E845" s="8">
        <v>10.0</v>
      </c>
      <c r="F845" s="8">
        <v>10.0</v>
      </c>
      <c r="G845" s="8" t="s">
        <v>21</v>
      </c>
      <c r="H845" s="9"/>
      <c r="I845" s="9"/>
      <c r="N845" s="10" t="str">
        <f t="shared" si="2"/>
        <v>21-5828(a)(3) - Criminal Use of Financial Card; Use a falsified, mutilated, altered or nonexistent financial card or a number or description thereof; at least $1,000 but less than $25,000 within 7 days</v>
      </c>
      <c r="O845" s="10" t="str">
        <f t="shared" si="3"/>
        <v>Criminal Use of Financial Card</v>
      </c>
    </row>
    <row r="846">
      <c r="A846" s="7" t="s">
        <v>1595</v>
      </c>
      <c r="B846" s="8" t="s">
        <v>1584</v>
      </c>
      <c r="C846" s="8">
        <v>7.0</v>
      </c>
      <c r="D846" s="8">
        <v>9.0</v>
      </c>
      <c r="E846" s="8">
        <v>9.0</v>
      </c>
      <c r="F846" s="8">
        <v>10.0</v>
      </c>
      <c r="G846" s="8" t="s">
        <v>21</v>
      </c>
      <c r="H846" s="9"/>
      <c r="I846" s="9"/>
      <c r="N846" s="10" t="str">
        <f t="shared" si="2"/>
        <v>21-5828(a)(1) - Criminal Use of Financial Card; Use a financial card without consent of the cardholder; $25,000 or more within 7 days</v>
      </c>
      <c r="O846" s="10" t="str">
        <f t="shared" si="3"/>
        <v>Criminal Use of Financial Card</v>
      </c>
    </row>
    <row r="847">
      <c r="A847" s="7" t="s">
        <v>1596</v>
      </c>
      <c r="B847" s="8" t="s">
        <v>1584</v>
      </c>
      <c r="C847" s="8">
        <v>9.0</v>
      </c>
      <c r="D847" s="8">
        <v>10.0</v>
      </c>
      <c r="E847" s="8">
        <v>10.0</v>
      </c>
      <c r="F847" s="8">
        <v>10.0</v>
      </c>
      <c r="G847" s="8" t="s">
        <v>21</v>
      </c>
      <c r="H847" s="9"/>
      <c r="I847" s="9"/>
      <c r="N847" s="10" t="str">
        <f t="shared" si="2"/>
        <v>21-5828(a)(1) - Criminal Use of Financial Card; Use a financial card without consent of the cardholder; at least $1,000 but less than $25,000 within 7 days</v>
      </c>
      <c r="O847" s="10" t="str">
        <f t="shared" si="3"/>
        <v>Criminal Use of Financial Card</v>
      </c>
    </row>
    <row r="848">
      <c r="A848" s="7" t="s">
        <v>1597</v>
      </c>
      <c r="B848" s="8" t="s">
        <v>1580</v>
      </c>
      <c r="C848" s="8">
        <v>9.0</v>
      </c>
      <c r="D848" s="8">
        <v>10.0</v>
      </c>
      <c r="E848" s="8">
        <v>10.0</v>
      </c>
      <c r="F848" s="8">
        <v>10.0</v>
      </c>
      <c r="G848" s="8" t="s">
        <v>21</v>
      </c>
      <c r="H848" s="9"/>
      <c r="I848" s="9"/>
      <c r="N848" s="10" t="str">
        <f t="shared" si="2"/>
        <v>21-5828(a)(2) - Criminal Use of Financial Card; Use a revoked or canceled financial card, or the number or description thereof; at least $1000 but less than $25,000 within 7 days</v>
      </c>
      <c r="O848" s="10" t="str">
        <f t="shared" si="3"/>
        <v>Criminal Use of Financial Card</v>
      </c>
    </row>
    <row r="849">
      <c r="A849" s="7" t="s">
        <v>1598</v>
      </c>
      <c r="B849" s="8" t="s">
        <v>1599</v>
      </c>
      <c r="C849" s="8" t="s">
        <v>27</v>
      </c>
      <c r="D849" s="8" t="s">
        <v>28</v>
      </c>
      <c r="E849" s="8" t="s">
        <v>19</v>
      </c>
      <c r="F849" s="8" t="s">
        <v>20</v>
      </c>
      <c r="G849" s="8" t="s">
        <v>21</v>
      </c>
      <c r="H849" s="9"/>
      <c r="I849" s="9"/>
      <c r="J849" s="10">
        <f t="shared" ref="J849:M849" si="541">ifs(OR($H849="R",$I849="N"),"N/A",OR(C849="A",C849="B",C849="C",C849="U"),3,TRUE,"FLAG")</f>
        <v>3</v>
      </c>
      <c r="K849" s="10">
        <f t="shared" si="541"/>
        <v>3</v>
      </c>
      <c r="L849" s="10">
        <f t="shared" si="541"/>
        <v>3</v>
      </c>
      <c r="M849" s="10" t="str">
        <f t="shared" si="541"/>
        <v>FLAG</v>
      </c>
      <c r="N849" s="10" t="str">
        <f t="shared" si="2"/>
        <v>21-6301(a)(14) - Criminal Use of Weapons; Knowingly possess a firearm with barrel less than 12 inches long by any person less than 18 years of age; 1st conviction</v>
      </c>
      <c r="O849" s="10" t="str">
        <f t="shared" si="3"/>
        <v>Criminal Use of Weapons</v>
      </c>
    </row>
    <row r="850">
      <c r="A850" s="7" t="s">
        <v>1600</v>
      </c>
      <c r="B850" s="8" t="s">
        <v>1601</v>
      </c>
      <c r="C850" s="8">
        <v>9.0</v>
      </c>
      <c r="D850" s="8">
        <v>10.0</v>
      </c>
      <c r="E850" s="8">
        <v>10.0</v>
      </c>
      <c r="F850" s="8">
        <v>10.0</v>
      </c>
      <c r="G850" s="8" t="s">
        <v>21</v>
      </c>
      <c r="H850" s="9"/>
      <c r="I850" s="9"/>
      <c r="N850" s="10" t="str">
        <f t="shared" si="2"/>
        <v>21-6301(a)(4) - Criminal Use of Weapons; Knowingly possess any device used to silence firearm</v>
      </c>
      <c r="O850" s="10" t="str">
        <f t="shared" si="3"/>
        <v>Criminal Use of Weapons</v>
      </c>
    </row>
    <row r="851">
      <c r="A851" s="7" t="s">
        <v>1602</v>
      </c>
      <c r="B851" s="8" t="s">
        <v>1603</v>
      </c>
      <c r="C851" s="8" t="s">
        <v>28</v>
      </c>
      <c r="D851" s="8" t="s">
        <v>19</v>
      </c>
      <c r="E851" s="8" t="s">
        <v>19</v>
      </c>
      <c r="F851" s="8" t="s">
        <v>20</v>
      </c>
      <c r="G851" s="8" t="s">
        <v>1604</v>
      </c>
      <c r="H851" s="9"/>
      <c r="I851" s="9"/>
      <c r="J851" s="10">
        <f t="shared" ref="J851:M851" si="542">ifs(OR($H851="R",$I851="N"),"N/A",OR(C851="A",C851="B",C851="C",C851="U"),3,TRUE,"FLAG")</f>
        <v>3</v>
      </c>
      <c r="K851" s="10">
        <f t="shared" si="542"/>
        <v>3</v>
      </c>
      <c r="L851" s="10">
        <f t="shared" si="542"/>
        <v>3</v>
      </c>
      <c r="M851" s="10" t="str">
        <f t="shared" si="542"/>
        <v>FLAG</v>
      </c>
      <c r="N851" s="10" t="str">
        <f t="shared" si="2"/>
        <v>21-6301(a)(10) - Criminal Use of Weapons; Knowingly possess any firearm by person addicted to and unlawful user of a controlled substance</v>
      </c>
      <c r="O851" s="10" t="str">
        <f t="shared" si="3"/>
        <v>Criminal Use of Weapons</v>
      </c>
    </row>
    <row r="852">
      <c r="A852" s="7" t="s">
        <v>1605</v>
      </c>
      <c r="B852" s="8" t="s">
        <v>1606</v>
      </c>
      <c r="C852" s="8" t="s">
        <v>28</v>
      </c>
      <c r="D852" s="8" t="s">
        <v>19</v>
      </c>
      <c r="E852" s="8" t="s">
        <v>19</v>
      </c>
      <c r="F852" s="8" t="s">
        <v>20</v>
      </c>
      <c r="G852" s="8" t="s">
        <v>1604</v>
      </c>
      <c r="H852" s="9"/>
      <c r="I852" s="9"/>
      <c r="J852" s="10">
        <f t="shared" ref="J852:M852" si="543">ifs(OR($H852="R",$I852="N"),"N/A",OR(C852="A",C852="B",C852="C",C852="U"),3,TRUE,"FLAG")</f>
        <v>3</v>
      </c>
      <c r="K852" s="10">
        <f t="shared" si="543"/>
        <v>3</v>
      </c>
      <c r="L852" s="10">
        <f t="shared" si="543"/>
        <v>3</v>
      </c>
      <c r="M852" s="10" t="str">
        <f t="shared" si="543"/>
        <v>FLAG</v>
      </c>
      <c r="N852" s="10" t="str">
        <f t="shared" si="2"/>
        <v>21-6301(a)(11) - Criminal Use of Weapons; Knowingly possess any firearm by person other than LEO on school property/grounds or at school sponsored activity</v>
      </c>
      <c r="O852" s="10" t="str">
        <f t="shared" si="3"/>
        <v>Criminal Use of Weapons</v>
      </c>
    </row>
    <row r="853">
      <c r="A853" s="7" t="s">
        <v>1607</v>
      </c>
      <c r="B853" s="8" t="s">
        <v>1608</v>
      </c>
      <c r="C853" s="8" t="s">
        <v>27</v>
      </c>
      <c r="D853" s="8" t="s">
        <v>28</v>
      </c>
      <c r="E853" s="8" t="s">
        <v>19</v>
      </c>
      <c r="F853" s="8" t="s">
        <v>20</v>
      </c>
      <c r="G853" s="8" t="s">
        <v>21</v>
      </c>
      <c r="H853" s="9"/>
      <c r="I853" s="9"/>
      <c r="J853" s="10">
        <f t="shared" ref="J853:M853" si="544">ifs(OR($H853="R",$I853="N"),"N/A",OR(C853="A",C853="B",C853="C",C853="U"),3,TRUE,"FLAG")</f>
        <v>3</v>
      </c>
      <c r="K853" s="10">
        <f t="shared" si="544"/>
        <v>3</v>
      </c>
      <c r="L853" s="10">
        <f t="shared" si="544"/>
        <v>3</v>
      </c>
      <c r="M853" s="10" t="str">
        <f t="shared" si="544"/>
        <v>FLAG</v>
      </c>
      <c r="N853" s="10" t="str">
        <f t="shared" si="2"/>
        <v>21-6301(a)(2) - Criminal Use of Weapons; Knowingly possess with intent to unlawfully use against another, a dagger, dirk, billy, blackjack, slingshot, dangerous knife, straight-edge razor, stiletto, or other dangerous or deadly weapon; except ordinary pocket knife</v>
      </c>
      <c r="O853" s="10" t="str">
        <f t="shared" si="3"/>
        <v>Criminal Use of Weapons</v>
      </c>
    </row>
    <row r="854">
      <c r="A854" s="7" t="s">
        <v>1609</v>
      </c>
      <c r="B854" s="8" t="s">
        <v>1610</v>
      </c>
      <c r="C854" s="8">
        <v>9.0</v>
      </c>
      <c r="D854" s="8">
        <v>10.0</v>
      </c>
      <c r="E854" s="8">
        <v>10.0</v>
      </c>
      <c r="F854" s="8">
        <v>10.0</v>
      </c>
      <c r="G854" s="8" t="s">
        <v>21</v>
      </c>
      <c r="H854" s="9"/>
      <c r="I854" s="9"/>
      <c r="N854" s="10" t="str">
        <f t="shared" si="2"/>
        <v>21-6301(a)(6) - Criminal Use of Weapons; Knowingly possess, manufacture, sell, offer for sale, lend, purchase or give away any handgun cartridge with a plastic-coated bullet having a core of less than 60% lead by weight</v>
      </c>
      <c r="O854" s="10" t="str">
        <f t="shared" si="3"/>
        <v>Criminal Use of Weapons</v>
      </c>
    </row>
    <row r="855">
      <c r="A855" s="7" t="s">
        <v>1611</v>
      </c>
      <c r="B855" s="8" t="s">
        <v>1612</v>
      </c>
      <c r="C855" s="8">
        <v>8.0</v>
      </c>
      <c r="D855" s="8">
        <v>10.0</v>
      </c>
      <c r="E855" s="8">
        <v>10.0</v>
      </c>
      <c r="F855" s="8">
        <v>10.0</v>
      </c>
      <c r="G855" s="8" t="s">
        <v>21</v>
      </c>
      <c r="H855" s="9"/>
      <c r="I855" s="9"/>
      <c r="N855" s="10" t="str">
        <f t="shared" si="2"/>
        <v>21-6301(a)(13) - Criminal Use of Weapons; Knowingly possession by one who is or has been a mentally ill person or, persons with alcohol or substance abuse problems, if subject to involuntary commitment for care and treatment</v>
      </c>
      <c r="O855" s="10" t="str">
        <f t="shared" si="3"/>
        <v>Criminal Use of Weapons</v>
      </c>
    </row>
    <row r="856">
      <c r="A856" s="7" t="s">
        <v>1613</v>
      </c>
      <c r="B856" s="8" t="s">
        <v>1599</v>
      </c>
      <c r="C856" s="8">
        <v>8.0</v>
      </c>
      <c r="D856" s="8">
        <v>10.0</v>
      </c>
      <c r="E856" s="8">
        <v>10.0</v>
      </c>
      <c r="F856" s="8">
        <v>10.0</v>
      </c>
      <c r="G856" s="8" t="s">
        <v>21</v>
      </c>
      <c r="H856" s="9"/>
      <c r="I856" s="9"/>
      <c r="N856" s="10" t="str">
        <f t="shared" si="2"/>
        <v>21-6301(a)(14) - Criminal Use of Weapons; Knowingly possession by person under 18 - barrel less than 12 inches long; 2nd and subs. conviction</v>
      </c>
      <c r="O856" s="10" t="str">
        <f t="shared" si="3"/>
        <v>Criminal Use of Weapons</v>
      </c>
    </row>
    <row r="857">
      <c r="A857" s="7" t="s">
        <v>1614</v>
      </c>
      <c r="B857" s="8" t="s">
        <v>1615</v>
      </c>
      <c r="C857" s="8" t="s">
        <v>27</v>
      </c>
      <c r="D857" s="8" t="s">
        <v>28</v>
      </c>
      <c r="E857" s="8" t="s">
        <v>19</v>
      </c>
      <c r="F857" s="8" t="s">
        <v>20</v>
      </c>
      <c r="G857" s="8" t="s">
        <v>21</v>
      </c>
      <c r="H857" s="9"/>
      <c r="I857" s="9"/>
      <c r="J857" s="10">
        <f t="shared" ref="J857:M857" si="545">ifs(OR($H857="R",$I857="N"),"N/A",OR(C857="A",C857="B",C857="C",C857="U"),3,TRUE,"FLAG")</f>
        <v>3</v>
      </c>
      <c r="K857" s="10">
        <f t="shared" si="545"/>
        <v>3</v>
      </c>
      <c r="L857" s="10">
        <f t="shared" si="545"/>
        <v>3</v>
      </c>
      <c r="M857" s="10" t="str">
        <f t="shared" si="545"/>
        <v>FLAG</v>
      </c>
      <c r="N857" s="10" t="str">
        <f t="shared" si="2"/>
        <v>21-6301(a)(12) - Criminal Use of Weapons; Knowingly refuse to surrender or immediately remove any firearm from school property/grounds or school sponsored activity as requested by one with authority</v>
      </c>
      <c r="O857" s="10" t="str">
        <f t="shared" si="3"/>
        <v>Criminal Use of Weapons</v>
      </c>
    </row>
    <row r="858">
      <c r="A858" s="7" t="s">
        <v>1616</v>
      </c>
      <c r="B858" s="8" t="s">
        <v>1617</v>
      </c>
      <c r="C858" s="8">
        <v>9.0</v>
      </c>
      <c r="D858" s="8">
        <v>10.0</v>
      </c>
      <c r="E858" s="8">
        <v>10.0</v>
      </c>
      <c r="F858" s="8">
        <v>10.0</v>
      </c>
      <c r="G858" s="8" t="s">
        <v>21</v>
      </c>
      <c r="H858" s="9"/>
      <c r="I858" s="9"/>
      <c r="N858" s="10" t="str">
        <f t="shared" si="2"/>
        <v>21-6301(a)(5) - Criminal Use of Weapons; Knowingly sell, manufacture, purchase, possess or carry a shotgun with a barrel less than 18 inches in length or any automatic weapons</v>
      </c>
      <c r="O858" s="10" t="str">
        <f t="shared" si="3"/>
        <v>Criminal Use of Weapons</v>
      </c>
    </row>
    <row r="859">
      <c r="A859" s="7" t="s">
        <v>1618</v>
      </c>
      <c r="B859" s="8" t="s">
        <v>1619</v>
      </c>
      <c r="C859" s="8" t="s">
        <v>27</v>
      </c>
      <c r="D859" s="8" t="s">
        <v>28</v>
      </c>
      <c r="E859" s="8" t="s">
        <v>19</v>
      </c>
      <c r="F859" s="8" t="s">
        <v>20</v>
      </c>
      <c r="G859" s="8" t="s">
        <v>21</v>
      </c>
      <c r="H859" s="9"/>
      <c r="I859" s="9"/>
      <c r="J859" s="10">
        <f t="shared" ref="J859:M859" si="546">ifs(OR($H859="R",$I859="N"),"N/A",OR(C859="A",C859="B",C859="C",C859="U"),3,TRUE,"FLAG")</f>
        <v>3</v>
      </c>
      <c r="K859" s="10">
        <f t="shared" si="546"/>
        <v>3</v>
      </c>
      <c r="L859" s="10">
        <f t="shared" si="546"/>
        <v>3</v>
      </c>
      <c r="M859" s="10" t="str">
        <f t="shared" si="546"/>
        <v>FLAG</v>
      </c>
      <c r="N859" s="10" t="str">
        <f t="shared" si="2"/>
        <v>21-6301(a)(1) - Criminal Use of Weapons; Knowingly selling, manufacturing, purchasing or possessing bludgeon, sand club, switch-blade, throwing stars, metal knuckles</v>
      </c>
      <c r="O859" s="10" t="str">
        <f t="shared" si="3"/>
        <v>Criminal Use of Weapons</v>
      </c>
    </row>
    <row r="860">
      <c r="A860" s="7" t="s">
        <v>1620</v>
      </c>
      <c r="B860" s="8" t="s">
        <v>1621</v>
      </c>
      <c r="C860" s="8" t="s">
        <v>27</v>
      </c>
      <c r="D860" s="8" t="s">
        <v>28</v>
      </c>
      <c r="E860" s="8" t="s">
        <v>19</v>
      </c>
      <c r="F860" s="8" t="s">
        <v>20</v>
      </c>
      <c r="G860" s="8" t="s">
        <v>21</v>
      </c>
      <c r="H860" s="9"/>
      <c r="I860" s="9"/>
      <c r="J860" s="10">
        <f t="shared" ref="J860:M860" si="547">ifs(OR($H860="R",$I860="N"),"N/A",OR(C860="A",C860="B",C860="C",C860="U"),3,TRUE,"FLAG")</f>
        <v>3</v>
      </c>
      <c r="K860" s="10">
        <f t="shared" si="547"/>
        <v>3</v>
      </c>
      <c r="L860" s="10">
        <f t="shared" si="547"/>
        <v>3</v>
      </c>
      <c r="M860" s="10" t="str">
        <f t="shared" si="547"/>
        <v>FLAG</v>
      </c>
      <c r="N860" s="10" t="str">
        <f t="shared" si="2"/>
        <v>21-6301(a)(3) - Criminal Use of Weapons; Knowingly setting a spring gun</v>
      </c>
      <c r="O860" s="10" t="str">
        <f t="shared" si="3"/>
        <v>Criminal Use of Weapons</v>
      </c>
    </row>
    <row r="861">
      <c r="A861" s="7" t="s">
        <v>1622</v>
      </c>
      <c r="B861" s="8" t="s">
        <v>1623</v>
      </c>
      <c r="C861" s="8" t="s">
        <v>27</v>
      </c>
      <c r="D861" s="8" t="s">
        <v>28</v>
      </c>
      <c r="E861" s="8" t="s">
        <v>19</v>
      </c>
      <c r="F861" s="8" t="s">
        <v>20</v>
      </c>
      <c r="G861" s="8" t="s">
        <v>21</v>
      </c>
      <c r="H861" s="9"/>
      <c r="I861" s="9"/>
      <c r="J861" s="10">
        <f t="shared" ref="J861:M861" si="548">ifs(OR($H861="R",$I861="N"),"N/A",OR(C861="A",C861="B",C861="C",C861="U"),3,TRUE,"FLAG")</f>
        <v>3</v>
      </c>
      <c r="K861" s="10">
        <f t="shared" si="548"/>
        <v>3</v>
      </c>
      <c r="L861" s="10">
        <f t="shared" si="548"/>
        <v>3</v>
      </c>
      <c r="M861" s="10" t="str">
        <f t="shared" si="548"/>
        <v>FLAG</v>
      </c>
      <c r="N861" s="10" t="str">
        <f t="shared" si="2"/>
        <v>21-6301(a)(9) - Criminal Use of Weapons; Knowingly transferring a firearm to a person who is or has been a mentally ill person or, persons with alcohol or substance abuse problems, if subject to involuntary commitment for care and treatment</v>
      </c>
      <c r="O861" s="10" t="str">
        <f t="shared" si="3"/>
        <v>Criminal Use of Weapons</v>
      </c>
    </row>
    <row r="862">
      <c r="A862" s="7" t="s">
        <v>1624</v>
      </c>
      <c r="B862" s="8" t="s">
        <v>1625</v>
      </c>
      <c r="C862" s="8" t="s">
        <v>27</v>
      </c>
      <c r="D862" s="8" t="s">
        <v>28</v>
      </c>
      <c r="E862" s="8" t="s">
        <v>19</v>
      </c>
      <c r="F862" s="8" t="s">
        <v>20</v>
      </c>
      <c r="G862" s="8" t="s">
        <v>21</v>
      </c>
      <c r="H862" s="9"/>
      <c r="I862" s="9"/>
      <c r="J862" s="10">
        <f t="shared" ref="J862:M862" si="549">ifs(OR($H862="R",$I862="N"),"N/A",OR(C862="A",C862="B",C862="C",C862="U"),3,TRUE,"FLAG")</f>
        <v>3</v>
      </c>
      <c r="K862" s="10">
        <f t="shared" si="549"/>
        <v>3</v>
      </c>
      <c r="L862" s="10">
        <f t="shared" si="549"/>
        <v>3</v>
      </c>
      <c r="M862" s="10" t="str">
        <f t="shared" si="549"/>
        <v>FLAG</v>
      </c>
      <c r="N862" s="10" t="str">
        <f t="shared" si="2"/>
        <v>21-6301(a)(8) - Criminal Use of Weapons; Knowingly transferring a firearm to any person who is both addicted to and an unlawful user of a controlled substance</v>
      </c>
      <c r="O862" s="10" t="str">
        <f t="shared" si="3"/>
        <v>Criminal Use of Weapons</v>
      </c>
    </row>
    <row r="863">
      <c r="A863" s="7" t="s">
        <v>1626</v>
      </c>
      <c r="B863" s="8" t="s">
        <v>1627</v>
      </c>
      <c r="C863" s="8" t="s">
        <v>27</v>
      </c>
      <c r="D863" s="8" t="s">
        <v>28</v>
      </c>
      <c r="E863" s="8" t="s">
        <v>19</v>
      </c>
      <c r="F863" s="8" t="s">
        <v>20</v>
      </c>
      <c r="G863" s="8" t="s">
        <v>21</v>
      </c>
      <c r="H863" s="9"/>
      <c r="I863" s="9"/>
      <c r="J863" s="10">
        <f t="shared" ref="J863:M863" si="550">ifs(OR($H863="R",$I863="N"),"N/A",OR(C863="A",C863="B",C863="C",C863="U"),3,TRUE,"FLAG")</f>
        <v>3</v>
      </c>
      <c r="K863" s="10">
        <f t="shared" si="550"/>
        <v>3</v>
      </c>
      <c r="L863" s="10">
        <f t="shared" si="550"/>
        <v>3</v>
      </c>
      <c r="M863" s="10" t="str">
        <f t="shared" si="550"/>
        <v>FLAG</v>
      </c>
      <c r="N863" s="10" t="str">
        <f t="shared" si="2"/>
        <v>21-6301(a)(7) - Criminal Use of Weapons; Knowingly transferring any firearm with a barrel less than 12 inches long to any person under 18 yrs of age</v>
      </c>
      <c r="O863" s="10" t="str">
        <f t="shared" si="3"/>
        <v>Criminal Use of Weapons</v>
      </c>
    </row>
    <row r="864">
      <c r="A864" s="7" t="s">
        <v>1628</v>
      </c>
      <c r="B864" s="8" t="s">
        <v>1629</v>
      </c>
      <c r="C864" s="8" t="s">
        <v>18</v>
      </c>
      <c r="D864" s="8" t="s">
        <v>18</v>
      </c>
      <c r="E864" s="8" t="s">
        <v>19</v>
      </c>
      <c r="F864" s="8" t="s">
        <v>20</v>
      </c>
      <c r="G864" s="8" t="s">
        <v>21</v>
      </c>
      <c r="H864" s="9"/>
      <c r="I864" s="9"/>
      <c r="J864" s="10">
        <f t="shared" ref="J864:M864" si="551">ifs(OR($H864="R",$I864="N"),"N/A",OR(C864="A",C864="B",C864="C",C864="U"),3,TRUE,"FLAG")</f>
        <v>3</v>
      </c>
      <c r="K864" s="10">
        <f t="shared" si="551"/>
        <v>3</v>
      </c>
      <c r="L864" s="10">
        <f t="shared" si="551"/>
        <v>3</v>
      </c>
      <c r="M864" s="10" t="str">
        <f t="shared" si="551"/>
        <v>FLAG</v>
      </c>
      <c r="N864" s="10" t="str">
        <f t="shared" si="2"/>
        <v>55-610 - Crude Oil or Petroleum; Buying or selling of illegally produced crude oil or petroleum unlawful</v>
      </c>
      <c r="O864" s="10" t="str">
        <f t="shared" si="3"/>
        <v>Crude Oil or Petroleum</v>
      </c>
    </row>
    <row r="865">
      <c r="A865" s="7" t="s">
        <v>1630</v>
      </c>
      <c r="B865" s="8" t="s">
        <v>1631</v>
      </c>
      <c r="C865" s="8" t="s">
        <v>18</v>
      </c>
      <c r="D865" s="8" t="s">
        <v>18</v>
      </c>
      <c r="E865" s="8" t="s">
        <v>19</v>
      </c>
      <c r="F865" s="8" t="s">
        <v>20</v>
      </c>
      <c r="G865" s="8" t="s">
        <v>21</v>
      </c>
      <c r="H865" s="9"/>
      <c r="I865" s="9"/>
      <c r="J865" s="10">
        <f t="shared" ref="J865:M865" si="552">ifs(OR($H865="R",$I865="N"),"N/A",OR(C865="A",C865="B",C865="C",C865="U"),3,TRUE,"FLAG")</f>
        <v>3</v>
      </c>
      <c r="K865" s="10">
        <f t="shared" si="552"/>
        <v>3</v>
      </c>
      <c r="L865" s="10">
        <f t="shared" si="552"/>
        <v>3</v>
      </c>
      <c r="M865" s="10" t="str">
        <f t="shared" si="552"/>
        <v>FLAG</v>
      </c>
      <c r="N865" s="10" t="str">
        <f t="shared" si="2"/>
        <v>55-607 - Crude Oil or Petroleum; Penalty for violations of 55-601 to 55-609</v>
      </c>
      <c r="O865" s="10" t="str">
        <f t="shared" si="3"/>
        <v>Crude Oil or Petroleum</v>
      </c>
    </row>
    <row r="866">
      <c r="A866" s="7" t="s">
        <v>1632</v>
      </c>
      <c r="B866" s="8" t="s">
        <v>1633</v>
      </c>
      <c r="C866" s="8" t="s">
        <v>18</v>
      </c>
      <c r="D866" s="8" t="s">
        <v>18</v>
      </c>
      <c r="E866" s="8" t="s">
        <v>19</v>
      </c>
      <c r="F866" s="8" t="s">
        <v>20</v>
      </c>
      <c r="G866" s="8" t="s">
        <v>21</v>
      </c>
      <c r="H866" s="9"/>
      <c r="I866" s="9"/>
      <c r="J866" s="10">
        <f t="shared" ref="J866:M866" si="553">ifs(OR($H866="R",$I866="N"),"N/A",OR(C866="A",C866="B",C866="C",C866="U"),3,TRUE,"FLAG")</f>
        <v>3</v>
      </c>
      <c r="K866" s="10">
        <f t="shared" si="553"/>
        <v>3</v>
      </c>
      <c r="L866" s="10">
        <f t="shared" si="553"/>
        <v>3</v>
      </c>
      <c r="M866" s="10" t="str">
        <f t="shared" si="553"/>
        <v>FLAG</v>
      </c>
      <c r="N866" s="10" t="str">
        <f t="shared" si="2"/>
        <v>55-601 - Crude Oil or Petroleum; Waste prohibited</v>
      </c>
      <c r="O866" s="10" t="str">
        <f t="shared" si="3"/>
        <v>Crude Oil or Petroleum</v>
      </c>
    </row>
    <row r="867">
      <c r="A867" s="7" t="s">
        <v>1634</v>
      </c>
      <c r="B867" s="8" t="s">
        <v>1635</v>
      </c>
      <c r="C867" s="8" t="s">
        <v>1185</v>
      </c>
      <c r="D867" s="9"/>
      <c r="E867" s="9"/>
      <c r="F867" s="9"/>
      <c r="G867" s="8" t="s">
        <v>21</v>
      </c>
      <c r="H867" s="9"/>
      <c r="I867" s="9"/>
      <c r="N867" s="10" t="str">
        <f t="shared" si="2"/>
        <v>21-6416(a) - Cruelty to Animals; Inflicting harm, disability or death to a police dog, arson dog, assistance dog, game warden dog, or search and rescue dog</v>
      </c>
      <c r="O867" s="10" t="str">
        <f t="shared" si="3"/>
        <v>Cruelty to Animals</v>
      </c>
    </row>
    <row r="868">
      <c r="A868" s="7" t="s">
        <v>1636</v>
      </c>
      <c r="B868" s="8" t="s">
        <v>1637</v>
      </c>
      <c r="C868" s="8" t="s">
        <v>27</v>
      </c>
      <c r="D868" s="8" t="s">
        <v>28</v>
      </c>
      <c r="E868" s="8" t="s">
        <v>19</v>
      </c>
      <c r="F868" s="8" t="s">
        <v>20</v>
      </c>
      <c r="G868" s="8" t="s">
        <v>21</v>
      </c>
      <c r="H868" s="9"/>
      <c r="I868" s="9"/>
      <c r="J868" s="10">
        <f t="shared" ref="J868:M868" si="554">ifs(OR($H868="R",$I868="N"),"N/A",OR(C868="A",C868="B",C868="C",C868="U"),3,TRUE,"FLAG")</f>
        <v>3</v>
      </c>
      <c r="K868" s="10">
        <f t="shared" si="554"/>
        <v>3</v>
      </c>
      <c r="L868" s="10">
        <f t="shared" si="554"/>
        <v>3</v>
      </c>
      <c r="M868" s="10" t="str">
        <f t="shared" si="554"/>
        <v>FLAG</v>
      </c>
      <c r="N868" s="10" t="str">
        <f t="shared" si="2"/>
        <v>21-6412(a)(4) - Cruelty to Animals; Intentionally causing an equine to lose balance or fall for the purpose of sport or entertainment; 1st conviction</v>
      </c>
      <c r="O868" s="10" t="str">
        <f t="shared" si="3"/>
        <v>Cruelty to Animals</v>
      </c>
    </row>
    <row r="869">
      <c r="A869" s="7" t="s">
        <v>1638</v>
      </c>
      <c r="B869" s="8" t="s">
        <v>1637</v>
      </c>
      <c r="C869" s="8" t="s">
        <v>1185</v>
      </c>
      <c r="D869" s="9"/>
      <c r="E869" s="9"/>
      <c r="F869" s="9"/>
      <c r="G869" s="8" t="s">
        <v>21</v>
      </c>
      <c r="H869" s="9"/>
      <c r="I869" s="9"/>
      <c r="N869" s="10" t="str">
        <f t="shared" si="2"/>
        <v>21-6412(a)(4) - Cruelty to Animals; Intentionally causing an equine to lose balance or fall, for the purpose of sport or entertainment; 2nd or subs. offense</v>
      </c>
      <c r="O869" s="10" t="str">
        <f t="shared" si="3"/>
        <v>Cruelty to Animals</v>
      </c>
    </row>
    <row r="870">
      <c r="A870" s="7" t="s">
        <v>1639</v>
      </c>
      <c r="B870" s="8" t="s">
        <v>1640</v>
      </c>
      <c r="C870" s="8" t="s">
        <v>27</v>
      </c>
      <c r="D870" s="8" t="s">
        <v>28</v>
      </c>
      <c r="E870" s="8" t="s">
        <v>19</v>
      </c>
      <c r="F870" s="8" t="s">
        <v>20</v>
      </c>
      <c r="G870" s="8" t="s">
        <v>21</v>
      </c>
      <c r="H870" s="9"/>
      <c r="I870" s="9"/>
      <c r="J870" s="10">
        <f t="shared" ref="J870:M870" si="555">ifs(OR($H870="R",$I870="N"),"N/A",OR(C870="A",C870="B",C870="C",C870="U"),3,TRUE,"FLAG")</f>
        <v>3</v>
      </c>
      <c r="K870" s="10">
        <f t="shared" si="555"/>
        <v>3</v>
      </c>
      <c r="L870" s="10">
        <f t="shared" si="555"/>
        <v>3</v>
      </c>
      <c r="M870" s="10" t="str">
        <f t="shared" si="555"/>
        <v>FLAG</v>
      </c>
      <c r="N870" s="10" t="str">
        <f t="shared" si="2"/>
        <v>21-6412(a)(2) - Cruelty to Animals; Knowingly abandoning an animal without making provisions for proper care; 1st conviction</v>
      </c>
      <c r="O870" s="10" t="str">
        <f t="shared" si="3"/>
        <v>Cruelty to Animals</v>
      </c>
    </row>
    <row r="871">
      <c r="A871" s="7" t="s">
        <v>1641</v>
      </c>
      <c r="B871" s="8" t="s">
        <v>1640</v>
      </c>
      <c r="C871" s="8" t="s">
        <v>1185</v>
      </c>
      <c r="D871" s="9"/>
      <c r="E871" s="9"/>
      <c r="F871" s="9"/>
      <c r="G871" s="8" t="s">
        <v>21</v>
      </c>
      <c r="H871" s="9"/>
      <c r="I871" s="9"/>
      <c r="N871" s="10" t="str">
        <f t="shared" si="2"/>
        <v>21-6412(a)(2) - Cruelty to Animals; Knowingly abandoning an animal without making provisions for proper care; 2nd or subs. offense</v>
      </c>
      <c r="O871" s="10" t="str">
        <f t="shared" si="3"/>
        <v>Cruelty to Animals</v>
      </c>
    </row>
    <row r="872">
      <c r="A872" s="7" t="s">
        <v>1642</v>
      </c>
      <c r="B872" s="8" t="s">
        <v>1643</v>
      </c>
      <c r="C872" s="8" t="s">
        <v>1185</v>
      </c>
      <c r="D872" s="9"/>
      <c r="E872" s="9"/>
      <c r="F872" s="9"/>
      <c r="G872" s="8" t="s">
        <v>21</v>
      </c>
      <c r="H872" s="9"/>
      <c r="I872" s="9"/>
      <c r="N872" s="10" t="str">
        <f t="shared" si="2"/>
        <v>21-6412(a)(6) - Cruelty to Animals; Knowingly and maliciously administering of any poison to any domestic animal</v>
      </c>
      <c r="O872" s="10" t="str">
        <f t="shared" si="3"/>
        <v>Cruelty to Animals</v>
      </c>
    </row>
    <row r="873">
      <c r="A873" s="7" t="s">
        <v>1644</v>
      </c>
      <c r="B873" s="8" t="s">
        <v>1645</v>
      </c>
      <c r="C873" s="8" t="s">
        <v>1185</v>
      </c>
      <c r="D873" s="9"/>
      <c r="E873" s="9"/>
      <c r="F873" s="9"/>
      <c r="G873" s="8" t="s">
        <v>21</v>
      </c>
      <c r="H873" s="9"/>
      <c r="I873" s="9"/>
      <c r="N873" s="10" t="str">
        <f t="shared" si="2"/>
        <v>21-6412(a)(1) - Cruelty to Animals; Knowingly and maliciously killing, injuring, maiming, torturing, burning or mutilating any animal</v>
      </c>
      <c r="O873" s="10" t="str">
        <f t="shared" si="3"/>
        <v>Cruelty to Animals</v>
      </c>
    </row>
    <row r="874">
      <c r="A874" s="7" t="s">
        <v>1646</v>
      </c>
      <c r="B874" s="8" t="s">
        <v>1647</v>
      </c>
      <c r="C874" s="8" t="s">
        <v>27</v>
      </c>
      <c r="D874" s="8" t="s">
        <v>28</v>
      </c>
      <c r="E874" s="8" t="s">
        <v>19</v>
      </c>
      <c r="F874" s="8" t="s">
        <v>20</v>
      </c>
      <c r="G874" s="8" t="s">
        <v>21</v>
      </c>
      <c r="H874" s="9"/>
      <c r="I874" s="9"/>
      <c r="J874" s="10">
        <f t="shared" ref="J874:M874" si="556">ifs(OR($H874="R",$I874="N"),"N/A",OR(C874="A",C874="B",C874="C",C874="U"),3,TRUE,"FLAG")</f>
        <v>3</v>
      </c>
      <c r="K874" s="10">
        <f t="shared" si="556"/>
        <v>3</v>
      </c>
      <c r="L874" s="10">
        <f t="shared" si="556"/>
        <v>3</v>
      </c>
      <c r="M874" s="10" t="str">
        <f t="shared" si="556"/>
        <v>FLAG</v>
      </c>
      <c r="N874" s="10" t="str">
        <f t="shared" si="2"/>
        <v>21-6412(a)(5) - Cruelty to Animals; Knowingly but not maliciously killing or injuring any animal; 1st conviction</v>
      </c>
      <c r="O874" s="10" t="str">
        <f t="shared" si="3"/>
        <v>Cruelty to Animals</v>
      </c>
    </row>
    <row r="875">
      <c r="A875" s="7" t="s">
        <v>1648</v>
      </c>
      <c r="B875" s="8" t="s">
        <v>1647</v>
      </c>
      <c r="C875" s="8" t="s">
        <v>1185</v>
      </c>
      <c r="D875" s="9"/>
      <c r="E875" s="9"/>
      <c r="F875" s="9"/>
      <c r="G875" s="8" t="s">
        <v>21</v>
      </c>
      <c r="H875" s="9"/>
      <c r="I875" s="9"/>
      <c r="N875" s="10" t="str">
        <f t="shared" si="2"/>
        <v>21-6412(a)(5) - Cruelty to Animals; Knowingly but not maliciously killing or injuring any animal; 2nd or subs. offense</v>
      </c>
      <c r="O875" s="10" t="str">
        <f t="shared" si="3"/>
        <v>Cruelty to Animals</v>
      </c>
    </row>
    <row r="876">
      <c r="A876" s="7" t="s">
        <v>1649</v>
      </c>
      <c r="B876" s="8" t="s">
        <v>1650</v>
      </c>
      <c r="C876" s="8" t="s">
        <v>27</v>
      </c>
      <c r="D876" s="8" t="s">
        <v>28</v>
      </c>
      <c r="E876" s="8" t="s">
        <v>19</v>
      </c>
      <c r="F876" s="8" t="s">
        <v>20</v>
      </c>
      <c r="G876" s="8" t="s">
        <v>21</v>
      </c>
      <c r="H876" s="9"/>
      <c r="I876" s="9"/>
      <c r="J876" s="10">
        <f t="shared" ref="J876:M876" si="557">ifs(OR($H876="R",$I876="N"),"N/A",OR(C876="A",C876="B",C876="C",C876="U"),3,TRUE,"FLAG")</f>
        <v>3</v>
      </c>
      <c r="K876" s="10">
        <f t="shared" si="557"/>
        <v>3</v>
      </c>
      <c r="L876" s="10">
        <f t="shared" si="557"/>
        <v>3</v>
      </c>
      <c r="M876" s="10" t="str">
        <f t="shared" si="557"/>
        <v>FLAG</v>
      </c>
      <c r="N876" s="10" t="str">
        <f t="shared" si="2"/>
        <v>21-6412(a)(3) - Cruelty to Animals; Knowingly fail to provide food, water, shelter, exercise and other care; 1st conviction</v>
      </c>
      <c r="O876" s="10" t="str">
        <f t="shared" si="3"/>
        <v>Cruelty to Animals</v>
      </c>
    </row>
    <row r="877">
      <c r="A877" s="7" t="s">
        <v>1651</v>
      </c>
      <c r="B877" s="8" t="s">
        <v>1650</v>
      </c>
      <c r="C877" s="8" t="s">
        <v>1185</v>
      </c>
      <c r="D877" s="9"/>
      <c r="E877" s="9"/>
      <c r="F877" s="9"/>
      <c r="G877" s="8" t="s">
        <v>21</v>
      </c>
      <c r="H877" s="9"/>
      <c r="I877" s="9"/>
      <c r="N877" s="10" t="str">
        <f t="shared" si="2"/>
        <v>21-6412(a)(3) - Cruelty to Animals; Knowingly fail to provide food, water, shelter, exercise and other care; 2nd or subs. offense</v>
      </c>
      <c r="O877" s="10" t="str">
        <f t="shared" si="3"/>
        <v>Cruelty to Animals</v>
      </c>
    </row>
    <row r="878">
      <c r="A878" s="7" t="s">
        <v>1652</v>
      </c>
      <c r="B878" s="8" t="s">
        <v>1653</v>
      </c>
      <c r="C878" s="8" t="s">
        <v>18</v>
      </c>
      <c r="D878" s="8" t="s">
        <v>18</v>
      </c>
      <c r="E878" s="8" t="s">
        <v>19</v>
      </c>
      <c r="F878" s="8" t="s">
        <v>20</v>
      </c>
      <c r="G878" s="8" t="s">
        <v>21</v>
      </c>
      <c r="H878" s="9"/>
      <c r="I878" s="9"/>
      <c r="J878" s="10">
        <f t="shared" ref="J878:M878" si="558">ifs(OR($H878="R",$I878="N"),"N/A",OR(C878="A",C878="B",C878="C",C878="U"),3,TRUE,"FLAG")</f>
        <v>3</v>
      </c>
      <c r="K878" s="10">
        <f t="shared" si="558"/>
        <v>3</v>
      </c>
      <c r="L878" s="10">
        <f t="shared" si="558"/>
        <v>3</v>
      </c>
      <c r="M878" s="10" t="str">
        <f t="shared" si="558"/>
        <v>FLAG</v>
      </c>
      <c r="N878" s="10" t="str">
        <f t="shared" si="2"/>
        <v>47-2306 - Dairy Commission; Violation of provisions of article 23 of chapter 47 of the Kansas Statutes Annotated and amendments thereto.</v>
      </c>
      <c r="O878" s="10" t="str">
        <f t="shared" si="3"/>
        <v>Dairy Commission</v>
      </c>
    </row>
    <row r="879">
      <c r="A879" s="7" t="s">
        <v>1654</v>
      </c>
      <c r="B879" s="8" t="s">
        <v>1655</v>
      </c>
      <c r="C879" s="8" t="s">
        <v>28</v>
      </c>
      <c r="D879" s="8" t="s">
        <v>19</v>
      </c>
      <c r="E879" s="8" t="s">
        <v>19</v>
      </c>
      <c r="F879" s="8" t="s">
        <v>20</v>
      </c>
      <c r="G879" s="8" t="s">
        <v>21</v>
      </c>
      <c r="H879" s="9"/>
      <c r="I879" s="9"/>
      <c r="J879" s="10">
        <f t="shared" ref="J879:M879" si="559">ifs(OR($H879="R",$I879="N"),"N/A",OR(C879="A",C879="B",C879="C",C879="U"),3,TRUE,"FLAG")</f>
        <v>3</v>
      </c>
      <c r="K879" s="10">
        <f t="shared" si="559"/>
        <v>3</v>
      </c>
      <c r="L879" s="10">
        <f t="shared" si="559"/>
        <v>3</v>
      </c>
      <c r="M879" s="10" t="str">
        <f t="shared" si="559"/>
        <v>FLAG</v>
      </c>
      <c r="N879" s="10" t="str">
        <f t="shared" si="2"/>
        <v>21-6418(a) - Dangerous Animals; Permitting a dangerous animal to be at large</v>
      </c>
      <c r="O879" s="10" t="str">
        <f t="shared" si="3"/>
        <v>Dangerous Animals</v>
      </c>
    </row>
    <row r="880">
      <c r="A880" s="7" t="s">
        <v>1656</v>
      </c>
      <c r="B880" s="8" t="s">
        <v>1657</v>
      </c>
      <c r="C880" s="8" t="s">
        <v>27</v>
      </c>
      <c r="D880" s="8" t="s">
        <v>28</v>
      </c>
      <c r="E880" s="8" t="s">
        <v>19</v>
      </c>
      <c r="F880" s="8" t="s">
        <v>20</v>
      </c>
      <c r="G880" s="8" t="s">
        <v>21</v>
      </c>
      <c r="H880" s="9"/>
      <c r="I880" s="9"/>
      <c r="J880" s="10">
        <f t="shared" ref="J880:M880" si="560">ifs(OR($H880="R",$I880="N"),"N/A",OR(C880="A",C880="B",C880="C",C880="U"),3,TRUE,"FLAG")</f>
        <v>3</v>
      </c>
      <c r="K880" s="10">
        <f t="shared" si="560"/>
        <v>3</v>
      </c>
      <c r="L880" s="10">
        <f t="shared" si="560"/>
        <v>3</v>
      </c>
      <c r="M880" s="10" t="str">
        <f t="shared" si="560"/>
        <v>FLAG</v>
      </c>
      <c r="N880" s="10" t="str">
        <f t="shared" si="2"/>
        <v>32-1302(a) - Dangerous Regulated Animals; Unlawful acts</v>
      </c>
      <c r="O880" s="10" t="str">
        <f t="shared" si="3"/>
        <v>Dangerous Regulated Animals</v>
      </c>
    </row>
    <row r="881">
      <c r="A881" s="7" t="s">
        <v>1658</v>
      </c>
      <c r="B881" s="8" t="s">
        <v>1659</v>
      </c>
      <c r="C881" s="8">
        <v>8.0</v>
      </c>
      <c r="D881" s="8">
        <v>10.0</v>
      </c>
      <c r="E881" s="8">
        <v>10.0</v>
      </c>
      <c r="F881" s="8">
        <v>10.0</v>
      </c>
      <c r="G881" s="8" t="s">
        <v>21</v>
      </c>
      <c r="H881" s="9"/>
      <c r="I881" s="9"/>
      <c r="N881" s="10" t="str">
        <f t="shared" si="2"/>
        <v>21-5918(a) - Dealing in False Identification Documents; Knowingly reproducing, manufacturing, selling or offering for sale any identification document which simulates, purports to be or is designed to cause others to believe it to be an identification document and bears a fictitious name or other false information</v>
      </c>
      <c r="O881" s="10" t="str">
        <f t="shared" si="3"/>
        <v>Dealing in False Identification Documents</v>
      </c>
    </row>
    <row r="882">
      <c r="A882" s="7" t="s">
        <v>1660</v>
      </c>
      <c r="B882" s="8" t="s">
        <v>1661</v>
      </c>
      <c r="C882" s="8">
        <v>8.0</v>
      </c>
      <c r="D882" s="8">
        <v>10.0</v>
      </c>
      <c r="E882" s="8">
        <v>10.0</v>
      </c>
      <c r="F882" s="8">
        <v>10.0</v>
      </c>
      <c r="G882" s="8" t="s">
        <v>21</v>
      </c>
      <c r="H882" s="9"/>
      <c r="I882" s="9"/>
      <c r="N882" s="10" t="str">
        <f t="shared" si="2"/>
        <v>21-6407(a) - Dealing in Gambling Devices; Manufacture, distribute or possess with intent to distribute any gambling device or sub-assembly or essential part thereof</v>
      </c>
      <c r="O882" s="10" t="str">
        <f t="shared" si="3"/>
        <v>Dealing in Gambling Devices</v>
      </c>
    </row>
    <row r="883">
      <c r="A883" s="7" t="s">
        <v>1662</v>
      </c>
      <c r="B883" s="8" t="s">
        <v>1663</v>
      </c>
      <c r="C883" s="8">
        <v>10.0</v>
      </c>
      <c r="D883" s="8">
        <v>10.0</v>
      </c>
      <c r="E883" s="8">
        <v>10.0</v>
      </c>
      <c r="F883" s="8">
        <v>10.0</v>
      </c>
      <c r="G883" s="8" t="s">
        <v>21</v>
      </c>
      <c r="H883" s="9"/>
      <c r="I883" s="9"/>
      <c r="N883" s="10" t="str">
        <f t="shared" si="2"/>
        <v>21-6306(a) - Defacing Identification Marks of Firearm; Intentionally change, alter, remove or obliterate</v>
      </c>
      <c r="O883" s="10" t="str">
        <f t="shared" si="3"/>
        <v>Defacing Identification Marks of Firearm</v>
      </c>
    </row>
    <row r="884">
      <c r="A884" s="7" t="s">
        <v>1664</v>
      </c>
      <c r="B884" s="8" t="s">
        <v>1665</v>
      </c>
      <c r="C884" s="8" t="s">
        <v>27</v>
      </c>
      <c r="D884" s="8" t="s">
        <v>28</v>
      </c>
      <c r="E884" s="8" t="s">
        <v>19</v>
      </c>
      <c r="F884" s="8" t="s">
        <v>20</v>
      </c>
      <c r="G884" s="8" t="s">
        <v>21</v>
      </c>
      <c r="H884" s="9"/>
      <c r="I884" s="9"/>
      <c r="J884" s="10">
        <f t="shared" ref="J884:M884" si="561">ifs(OR($H884="R",$I884="N"),"N/A",OR(C884="A",C884="B",C884="C",C884="U"),3,TRUE,"FLAG")</f>
        <v>3</v>
      </c>
      <c r="K884" s="10">
        <f t="shared" si="561"/>
        <v>3</v>
      </c>
      <c r="L884" s="10">
        <f t="shared" si="561"/>
        <v>3</v>
      </c>
      <c r="M884" s="10" t="str">
        <f t="shared" si="561"/>
        <v>FLAG</v>
      </c>
      <c r="N884" s="10" t="str">
        <f t="shared" si="2"/>
        <v>21-6102(a)(5) - Denial of Civil Rights; Intentionally denying exercise of the right to vote</v>
      </c>
      <c r="O884" s="10" t="str">
        <f t="shared" si="3"/>
        <v>Denial of Civil Rights</v>
      </c>
    </row>
    <row r="885">
      <c r="A885" s="7" t="s">
        <v>1666</v>
      </c>
      <c r="B885" s="8" t="s">
        <v>1667</v>
      </c>
      <c r="C885" s="8" t="s">
        <v>27</v>
      </c>
      <c r="D885" s="8" t="s">
        <v>28</v>
      </c>
      <c r="E885" s="8" t="s">
        <v>19</v>
      </c>
      <c r="F885" s="8" t="s">
        <v>20</v>
      </c>
      <c r="G885" s="8" t="s">
        <v>21</v>
      </c>
      <c r="H885" s="9"/>
      <c r="I885" s="9"/>
      <c r="J885" s="10">
        <f t="shared" ref="J885:M885" si="562">ifs(OR($H885="R",$I885="N"),"N/A",OR(C885="A",C885="B",C885="C",C885="U"),3,TRUE,"FLAG")</f>
        <v>3</v>
      </c>
      <c r="K885" s="10">
        <f t="shared" si="562"/>
        <v>3</v>
      </c>
      <c r="L885" s="10">
        <f t="shared" si="562"/>
        <v>3</v>
      </c>
      <c r="M885" s="10" t="str">
        <f t="shared" si="562"/>
        <v>FLAG</v>
      </c>
      <c r="N885" s="10" t="str">
        <f t="shared" si="2"/>
        <v>21-6102(a)(2) - Denial of Civil Rights; Intentionally denying goods, services, facilities, privileges, advantages and accommodations of any establishment providing lodging to transient guests for hire; of any establishment engaged in selling food or beverage to the public; or of any place of recreation, amusement, exhibition or entertainment which is open to members of the public</v>
      </c>
      <c r="O885" s="10" t="str">
        <f t="shared" si="3"/>
        <v>Denial of Civil Rights</v>
      </c>
    </row>
    <row r="886">
      <c r="A886" s="7" t="s">
        <v>1668</v>
      </c>
      <c r="B886" s="8" t="s">
        <v>1669</v>
      </c>
      <c r="C886" s="8" t="s">
        <v>27</v>
      </c>
      <c r="D886" s="8" t="s">
        <v>28</v>
      </c>
      <c r="E886" s="8" t="s">
        <v>19</v>
      </c>
      <c r="F886" s="8" t="s">
        <v>20</v>
      </c>
      <c r="G886" s="8" t="s">
        <v>21</v>
      </c>
      <c r="H886" s="9"/>
      <c r="I886" s="9"/>
      <c r="J886" s="10">
        <f t="shared" ref="J886:M886" si="563">ifs(OR($H886="R",$I886="N"),"N/A",OR(C886="A",C886="B",C886="C",C886="U"),3,TRUE,"FLAG")</f>
        <v>3</v>
      </c>
      <c r="K886" s="10">
        <f t="shared" si="563"/>
        <v>3</v>
      </c>
      <c r="L886" s="10">
        <f t="shared" si="563"/>
        <v>3</v>
      </c>
      <c r="M886" s="10" t="str">
        <f t="shared" si="563"/>
        <v>FLAG</v>
      </c>
      <c r="N886" s="10" t="str">
        <f t="shared" si="2"/>
        <v>21-6102(a)(4) - Denial of Civil Rights; Intentionally denying services, facilities, privileges and advantages of any establishment which offers personal or professional services to members of the public</v>
      </c>
      <c r="O886" s="10" t="str">
        <f t="shared" si="3"/>
        <v>Denial of Civil Rights</v>
      </c>
    </row>
    <row r="887">
      <c r="A887" s="7" t="s">
        <v>1670</v>
      </c>
      <c r="B887" s="8" t="s">
        <v>1671</v>
      </c>
      <c r="C887" s="8" t="s">
        <v>27</v>
      </c>
      <c r="D887" s="8" t="s">
        <v>28</v>
      </c>
      <c r="E887" s="8" t="s">
        <v>19</v>
      </c>
      <c r="F887" s="8" t="s">
        <v>20</v>
      </c>
      <c r="G887" s="8" t="s">
        <v>21</v>
      </c>
      <c r="H887" s="9"/>
      <c r="I887" s="9"/>
      <c r="J887" s="10">
        <f t="shared" ref="J887:M887" si="564">ifs(OR($H887="R",$I887="N"),"N/A",OR(C887="A",C887="B",C887="C",C887="U"),3,TRUE,"FLAG")</f>
        <v>3</v>
      </c>
      <c r="K887" s="10">
        <f t="shared" si="564"/>
        <v>3</v>
      </c>
      <c r="L887" s="10">
        <f t="shared" si="564"/>
        <v>3</v>
      </c>
      <c r="M887" s="10" t="str">
        <f t="shared" si="564"/>
        <v>FLAG</v>
      </c>
      <c r="N887" s="10" t="str">
        <f t="shared" si="2"/>
        <v>21-6102(a)(1) - Denial of Civil Rights; Intentionally denying services, facilities, privileges and advantages of any institution, department or agency of the state of Kansas or any political subdivision or municipality thereof</v>
      </c>
      <c r="O887" s="10" t="str">
        <f t="shared" si="3"/>
        <v>Denial of Civil Rights</v>
      </c>
    </row>
    <row r="888">
      <c r="A888" s="7" t="s">
        <v>1672</v>
      </c>
      <c r="B888" s="8" t="s">
        <v>1673</v>
      </c>
      <c r="C888" s="8" t="s">
        <v>27</v>
      </c>
      <c r="D888" s="8" t="s">
        <v>28</v>
      </c>
      <c r="E888" s="8" t="s">
        <v>19</v>
      </c>
      <c r="F888" s="8" t="s">
        <v>20</v>
      </c>
      <c r="G888" s="8" t="s">
        <v>21</v>
      </c>
      <c r="H888" s="9"/>
      <c r="I888" s="9"/>
      <c r="J888" s="10">
        <f t="shared" ref="J888:M888" si="565">ifs(OR($H888="R",$I888="N"),"N/A",OR(C888="A",C888="B",C888="C",C888="U"),3,TRUE,"FLAG")</f>
        <v>3</v>
      </c>
      <c r="K888" s="10">
        <f t="shared" si="565"/>
        <v>3</v>
      </c>
      <c r="L888" s="10">
        <f t="shared" si="565"/>
        <v>3</v>
      </c>
      <c r="M888" s="10" t="str">
        <f t="shared" si="565"/>
        <v>FLAG</v>
      </c>
      <c r="N888" s="10" t="str">
        <f t="shared" si="2"/>
        <v>21-6102(a)(3) - Denial of Civil Rights; Intentionally denying services, privileges and advantages of any facility for the public transportation of persons or goods</v>
      </c>
      <c r="O888" s="10" t="str">
        <f t="shared" si="3"/>
        <v>Denial of Civil Rights</v>
      </c>
    </row>
    <row r="889">
      <c r="A889" s="7" t="s">
        <v>1674</v>
      </c>
      <c r="B889" s="8" t="s">
        <v>1675</v>
      </c>
      <c r="C889" s="8" t="s">
        <v>18</v>
      </c>
      <c r="D889" s="8" t="s">
        <v>18</v>
      </c>
      <c r="E889" s="8" t="s">
        <v>19</v>
      </c>
      <c r="F889" s="8" t="s">
        <v>20</v>
      </c>
      <c r="G889" s="8" t="s">
        <v>21</v>
      </c>
      <c r="H889" s="9"/>
      <c r="I889" s="9"/>
      <c r="J889" s="10">
        <f t="shared" ref="J889:M889" si="566">ifs(OR($H889="R",$I889="N"),"N/A",OR(C889="A",C889="B",C889="C",C889="U"),3,TRUE,"FLAG")</f>
        <v>3</v>
      </c>
      <c r="K889" s="10">
        <f t="shared" si="566"/>
        <v>3</v>
      </c>
      <c r="L889" s="10">
        <f t="shared" si="566"/>
        <v>3</v>
      </c>
      <c r="M889" s="10" t="str">
        <f t="shared" si="566"/>
        <v>FLAG</v>
      </c>
      <c r="N889" s="10" t="str">
        <f t="shared" si="2"/>
        <v>65-1427(d) - Dental Practices Act; Dentist representing practice to be limited, or specially qualified in a particular branch of dentistry without having obtained a certificate or qualification therefore</v>
      </c>
      <c r="O889" s="10" t="str">
        <f t="shared" si="3"/>
        <v>Dental Practices Act</v>
      </c>
    </row>
    <row r="890">
      <c r="A890" s="7" t="s">
        <v>1676</v>
      </c>
      <c r="B890" s="8" t="s">
        <v>1677</v>
      </c>
      <c r="C890" s="8" t="s">
        <v>18</v>
      </c>
      <c r="D890" s="8" t="s">
        <v>18</v>
      </c>
      <c r="E890" s="8" t="s">
        <v>19</v>
      </c>
      <c r="F890" s="8" t="s">
        <v>20</v>
      </c>
      <c r="G890" s="8" t="s">
        <v>21</v>
      </c>
      <c r="H890" s="9"/>
      <c r="I890" s="9"/>
      <c r="J890" s="10">
        <f t="shared" ref="J890:M890" si="567">ifs(OR($H890="R",$I890="N"),"N/A",OR(C890="A",C890="B",C890="C",C890="U"),3,TRUE,"FLAG")</f>
        <v>3</v>
      </c>
      <c r="K890" s="10">
        <f t="shared" si="567"/>
        <v>3</v>
      </c>
      <c r="L890" s="10">
        <f t="shared" si="567"/>
        <v>3</v>
      </c>
      <c r="M890" s="10" t="str">
        <f t="shared" si="567"/>
        <v>FLAG</v>
      </c>
      <c r="N890" s="10" t="str">
        <f t="shared" si="2"/>
        <v>65-1438(B)(2) - Dental Practices Act; Failure of dentist to retain duplicate copy of  prescription for 2 yrs</v>
      </c>
      <c r="O890" s="10" t="str">
        <f t="shared" si="3"/>
        <v>Dental Practices Act</v>
      </c>
    </row>
    <row r="891">
      <c r="A891" s="7" t="s">
        <v>1678</v>
      </c>
      <c r="B891" s="8" t="s">
        <v>1679</v>
      </c>
      <c r="C891" s="8" t="s">
        <v>18</v>
      </c>
      <c r="D891" s="8" t="s">
        <v>18</v>
      </c>
      <c r="E891" s="8" t="s">
        <v>19</v>
      </c>
      <c r="F891" s="8" t="s">
        <v>20</v>
      </c>
      <c r="G891" s="8" t="s">
        <v>21</v>
      </c>
      <c r="H891" s="9"/>
      <c r="I891" s="9"/>
      <c r="J891" s="10">
        <f t="shared" ref="J891:M891" si="568">ifs(OR($H891="R",$I891="N"),"N/A",OR(C891="A",C891="B",C891="C",C891="U"),3,TRUE,"FLAG")</f>
        <v>3</v>
      </c>
      <c r="K891" s="10">
        <f t="shared" si="568"/>
        <v>3</v>
      </c>
      <c r="L891" s="10">
        <f t="shared" si="568"/>
        <v>3</v>
      </c>
      <c r="M891" s="10" t="str">
        <f t="shared" si="568"/>
        <v>FLAG</v>
      </c>
      <c r="N891" s="10" t="str">
        <f t="shared" si="2"/>
        <v>65-1438(C)(2) - Dental Practices Act; Failure of out of state dentist to retain the original prescription for 2 yrs</v>
      </c>
      <c r="O891" s="10" t="str">
        <f t="shared" si="3"/>
        <v>Dental Practices Act</v>
      </c>
    </row>
    <row r="892">
      <c r="A892" s="7" t="s">
        <v>1680</v>
      </c>
      <c r="B892" s="8" t="s">
        <v>1681</v>
      </c>
      <c r="C892" s="8" t="s">
        <v>18</v>
      </c>
      <c r="D892" s="8" t="s">
        <v>18</v>
      </c>
      <c r="E892" s="8" t="s">
        <v>19</v>
      </c>
      <c r="F892" s="8" t="s">
        <v>20</v>
      </c>
      <c r="G892" s="8" t="s">
        <v>21</v>
      </c>
      <c r="H892" s="9"/>
      <c r="I892" s="9"/>
      <c r="J892" s="10">
        <f t="shared" ref="J892:M892" si="569">ifs(OR($H892="R",$I892="N"),"N/A",OR(C892="A",C892="B",C892="C",C892="U"),3,TRUE,"FLAG")</f>
        <v>3</v>
      </c>
      <c r="K892" s="10">
        <f t="shared" si="569"/>
        <v>3</v>
      </c>
      <c r="L892" s="10">
        <f t="shared" si="569"/>
        <v>3</v>
      </c>
      <c r="M892" s="10" t="str">
        <f t="shared" si="569"/>
        <v>FLAG</v>
      </c>
      <c r="N892" s="10" t="str">
        <f t="shared" si="2"/>
        <v>65-1421 - Dental Practices Act; License required to practice dentistry or dental hygiene</v>
      </c>
      <c r="O892" s="10" t="str">
        <f t="shared" si="3"/>
        <v>Dental Practices Act</v>
      </c>
    </row>
    <row r="893">
      <c r="A893" s="7" t="s">
        <v>1682</v>
      </c>
      <c r="B893" s="8" t="s">
        <v>1683</v>
      </c>
      <c r="C893" s="8" t="s">
        <v>18</v>
      </c>
      <c r="D893" s="8" t="s">
        <v>18</v>
      </c>
      <c r="E893" s="8" t="s">
        <v>19</v>
      </c>
      <c r="F893" s="8" t="s">
        <v>20</v>
      </c>
      <c r="G893" s="8" t="s">
        <v>21</v>
      </c>
      <c r="H893" s="9"/>
      <c r="I893" s="9"/>
      <c r="J893" s="10">
        <f t="shared" ref="J893:M893" si="570">ifs(OR($H893="R",$I893="N"),"N/A",OR(C893="A",C893="B",C893="C",C893="U"),3,TRUE,"FLAG")</f>
        <v>3</v>
      </c>
      <c r="K893" s="10">
        <f t="shared" si="570"/>
        <v>3</v>
      </c>
      <c r="L893" s="10">
        <f t="shared" si="570"/>
        <v>3</v>
      </c>
      <c r="M893" s="10" t="str">
        <f t="shared" si="570"/>
        <v>FLAG</v>
      </c>
      <c r="N893" s="10" t="str">
        <f t="shared" si="2"/>
        <v>65-1457 - Dental Practices Act; Licensure required to practice dental hygiene</v>
      </c>
      <c r="O893" s="10" t="str">
        <f t="shared" si="3"/>
        <v>Dental Practices Act</v>
      </c>
    </row>
    <row r="894">
      <c r="A894" s="7" t="s">
        <v>1684</v>
      </c>
      <c r="B894" s="8" t="s">
        <v>1685</v>
      </c>
      <c r="C894" s="8" t="s">
        <v>18</v>
      </c>
      <c r="D894" s="8" t="s">
        <v>18</v>
      </c>
      <c r="E894" s="8" t="s">
        <v>19</v>
      </c>
      <c r="F894" s="8" t="s">
        <v>20</v>
      </c>
      <c r="G894" s="8" t="s">
        <v>21</v>
      </c>
      <c r="H894" s="9"/>
      <c r="I894" s="9"/>
      <c r="J894" s="10">
        <f t="shared" ref="J894:M894" si="571">ifs(OR($H894="R",$I894="N"),"N/A",OR(C894="A",C894="B",C894="C",C894="U"),3,TRUE,"FLAG")</f>
        <v>3</v>
      </c>
      <c r="K894" s="10">
        <f t="shared" si="571"/>
        <v>3</v>
      </c>
      <c r="L894" s="10">
        <f t="shared" si="571"/>
        <v>3</v>
      </c>
      <c r="M894" s="10" t="str">
        <f t="shared" si="571"/>
        <v>FLAG</v>
      </c>
      <c r="N894" s="10" t="str">
        <f t="shared" si="2"/>
        <v>65-1438(C)(3) - Dental Practices Act; Out of state dentist's refusing to allow the board, or its agent, to inspect prescription during 2 yrs' retention period</v>
      </c>
      <c r="O894" s="10" t="str">
        <f t="shared" si="3"/>
        <v>Dental Practices Act</v>
      </c>
    </row>
    <row r="895">
      <c r="A895" s="7" t="s">
        <v>1686</v>
      </c>
      <c r="B895" s="8" t="s">
        <v>1687</v>
      </c>
      <c r="C895" s="8" t="s">
        <v>18</v>
      </c>
      <c r="D895" s="8" t="s">
        <v>18</v>
      </c>
      <c r="E895" s="8" t="s">
        <v>19</v>
      </c>
      <c r="F895" s="8" t="s">
        <v>20</v>
      </c>
      <c r="G895" s="8" t="s">
        <v>21</v>
      </c>
      <c r="H895" s="9"/>
      <c r="I895" s="9"/>
      <c r="J895" s="10">
        <f t="shared" ref="J895:M895" si="572">ifs(OR($H895="R",$I895="N"),"N/A",OR(C895="A",C895="B",C895="C",C895="U"),3,TRUE,"FLAG")</f>
        <v>3</v>
      </c>
      <c r="K895" s="10">
        <f t="shared" si="572"/>
        <v>3</v>
      </c>
      <c r="L895" s="10">
        <f t="shared" si="572"/>
        <v>3</v>
      </c>
      <c r="M895" s="10" t="str">
        <f t="shared" si="572"/>
        <v>FLAG</v>
      </c>
      <c r="N895" s="10" t="str">
        <f t="shared" si="2"/>
        <v>65-1455 - Dental Practices Act; Practice dental hygiene in violation of the provisions of this act</v>
      </c>
      <c r="O895" s="10" t="str">
        <f t="shared" si="3"/>
        <v>Dental Practices Act</v>
      </c>
    </row>
    <row r="896">
      <c r="A896" s="7" t="s">
        <v>1688</v>
      </c>
      <c r="B896" s="8" t="s">
        <v>1689</v>
      </c>
      <c r="C896" s="8" t="s">
        <v>18</v>
      </c>
      <c r="D896" s="8" t="s">
        <v>18</v>
      </c>
      <c r="E896" s="8" t="s">
        <v>19</v>
      </c>
      <c r="F896" s="8" t="s">
        <v>20</v>
      </c>
      <c r="G896" s="8" t="s">
        <v>21</v>
      </c>
      <c r="H896" s="9"/>
      <c r="I896" s="9"/>
      <c r="J896" s="10">
        <f t="shared" ref="J896:M896" si="573">ifs(OR($H896="R",$I896="N"),"N/A",OR(C896="A",C896="B",C896="C",C896="U"),3,TRUE,"FLAG")</f>
        <v>3</v>
      </c>
      <c r="K896" s="10">
        <f t="shared" si="573"/>
        <v>3</v>
      </c>
      <c r="L896" s="10">
        <f t="shared" si="573"/>
        <v>3</v>
      </c>
      <c r="M896" s="10" t="str">
        <f t="shared" si="573"/>
        <v>FLAG</v>
      </c>
      <c r="N896" s="10" t="str">
        <f t="shared" si="2"/>
        <v>65-1460 - Dental Practices Act; Practice dentistry or dental hygiene without a license from the board; any other violation of act</v>
      </c>
      <c r="O896" s="10" t="str">
        <f t="shared" si="3"/>
        <v>Dental Practices Act</v>
      </c>
    </row>
    <row r="897">
      <c r="A897" s="7" t="s">
        <v>1690</v>
      </c>
      <c r="B897" s="8" t="s">
        <v>1691</v>
      </c>
      <c r="C897" s="8" t="s">
        <v>18</v>
      </c>
      <c r="D897" s="8" t="s">
        <v>18</v>
      </c>
      <c r="E897" s="8" t="s">
        <v>19</v>
      </c>
      <c r="F897" s="8" t="s">
        <v>20</v>
      </c>
      <c r="G897" s="8" t="s">
        <v>21</v>
      </c>
      <c r="H897" s="9"/>
      <c r="I897" s="9"/>
      <c r="J897" s="10">
        <f t="shared" ref="J897:M897" si="574">ifs(OR($H897="R",$I897="N"),"N/A",OR(C897="A",C897="B",C897="C",C897="U"),3,TRUE,"FLAG")</f>
        <v>3</v>
      </c>
      <c r="K897" s="10">
        <f t="shared" si="574"/>
        <v>3</v>
      </c>
      <c r="L897" s="10">
        <f t="shared" si="574"/>
        <v>3</v>
      </c>
      <c r="M897" s="10" t="str">
        <f t="shared" si="574"/>
        <v>FLAG</v>
      </c>
      <c r="N897" s="10" t="str">
        <f t="shared" si="2"/>
        <v>65-1438(B)(3) - Dental Practices Act; Refuse to allow the board, or its agent, to inspect copy of prescription during 2 yrs' retention period</v>
      </c>
      <c r="O897" s="10" t="str">
        <f t="shared" si="3"/>
        <v>Dental Practices Act</v>
      </c>
    </row>
    <row r="898">
      <c r="A898" s="7" t="s">
        <v>1692</v>
      </c>
      <c r="B898" s="8" t="s">
        <v>1693</v>
      </c>
      <c r="C898" s="8" t="s">
        <v>18</v>
      </c>
      <c r="D898" s="8" t="s">
        <v>18</v>
      </c>
      <c r="E898" s="8" t="s">
        <v>19</v>
      </c>
      <c r="F898" s="8" t="s">
        <v>20</v>
      </c>
      <c r="G898" s="8" t="s">
        <v>21</v>
      </c>
      <c r="H898" s="9"/>
      <c r="I898" s="9"/>
      <c r="J898" s="10">
        <f t="shared" ref="J898:M898" si="575">ifs(OR($H898="R",$I898="N"),"N/A",OR(C898="A",C898="B",C898="C",C898="U"),3,TRUE,"FLAG")</f>
        <v>3</v>
      </c>
      <c r="K898" s="10">
        <f t="shared" si="575"/>
        <v>3</v>
      </c>
      <c r="L898" s="10">
        <f t="shared" si="575"/>
        <v>3</v>
      </c>
      <c r="M898" s="10" t="str">
        <f t="shared" si="575"/>
        <v>FLAG</v>
      </c>
      <c r="N898" s="10" t="str">
        <f t="shared" si="2"/>
        <v>65-1441 - Dental Practices Act; Sale, offer to sell, procurement or alteration of diploma or license; fraud or cheating</v>
      </c>
      <c r="O898" s="10" t="str">
        <f t="shared" si="3"/>
        <v>Dental Practices Act</v>
      </c>
    </row>
    <row r="899">
      <c r="A899" s="7" t="s">
        <v>1694</v>
      </c>
      <c r="B899" s="8" t="s">
        <v>1695</v>
      </c>
      <c r="C899" s="8" t="s">
        <v>18</v>
      </c>
      <c r="D899" s="8" t="s">
        <v>18</v>
      </c>
      <c r="E899" s="8" t="s">
        <v>19</v>
      </c>
      <c r="F899" s="8" t="s">
        <v>20</v>
      </c>
      <c r="G899" s="8" t="s">
        <v>21</v>
      </c>
      <c r="H899" s="9"/>
      <c r="I899" s="9"/>
      <c r="J899" s="10">
        <f t="shared" ref="J899:M899" si="576">ifs(OR($H899="R",$I899="N"),"N/A",OR(C899="A",C899="B",C899="C",C899="U"),3,TRUE,"FLAG")</f>
        <v>3</v>
      </c>
      <c r="K899" s="10">
        <f t="shared" si="576"/>
        <v>3</v>
      </c>
      <c r="L899" s="10">
        <f t="shared" si="576"/>
        <v>3</v>
      </c>
      <c r="M899" s="10" t="str">
        <f t="shared" si="576"/>
        <v>FLAG</v>
      </c>
      <c r="N899" s="10" t="str">
        <f t="shared" si="2"/>
        <v>65-1439(b) - Dental Practices Act; Sell or offer certain services or products to the general public when not licensed to practice dentistry in this state</v>
      </c>
      <c r="O899" s="10" t="str">
        <f t="shared" si="3"/>
        <v>Dental Practices Act</v>
      </c>
    </row>
    <row r="900">
      <c r="A900" s="7" t="s">
        <v>1696</v>
      </c>
      <c r="B900" s="8" t="s">
        <v>1697</v>
      </c>
      <c r="C900" s="8" t="s">
        <v>18</v>
      </c>
      <c r="D900" s="8" t="s">
        <v>18</v>
      </c>
      <c r="E900" s="8" t="s">
        <v>19</v>
      </c>
      <c r="F900" s="8" t="s">
        <v>20</v>
      </c>
      <c r="G900" s="8" t="s">
        <v>21</v>
      </c>
      <c r="H900" s="9"/>
      <c r="I900" s="9"/>
      <c r="J900" s="10">
        <f t="shared" ref="J900:M900" si="577">ifs(OR($H900="R",$I900="N"),"N/A",OR(C900="A",C900="B",C900="C",C900="U"),3,TRUE,"FLAG")</f>
        <v>3</v>
      </c>
      <c r="K900" s="10">
        <f t="shared" si="577"/>
        <v>3</v>
      </c>
      <c r="L900" s="10">
        <f t="shared" si="577"/>
        <v>3</v>
      </c>
      <c r="M900" s="10" t="str">
        <f t="shared" si="577"/>
        <v>FLAG</v>
      </c>
      <c r="N900" s="10" t="str">
        <f t="shared" si="2"/>
        <v>65-1438(B)(1) - Dental Practices Act; Unlawful for dentist to use any service of an out of state licensed [unlicensed] person without having first furnished him a prescription as required</v>
      </c>
      <c r="O900" s="10" t="str">
        <f t="shared" si="3"/>
        <v>Dental Practices Act</v>
      </c>
    </row>
    <row r="901">
      <c r="A901" s="7" t="s">
        <v>1698</v>
      </c>
      <c r="B901" s="8" t="s">
        <v>1699</v>
      </c>
      <c r="C901" s="8" t="s">
        <v>18</v>
      </c>
      <c r="D901" s="8" t="s">
        <v>18</v>
      </c>
      <c r="E901" s="8" t="s">
        <v>19</v>
      </c>
      <c r="F901" s="8" t="s">
        <v>20</v>
      </c>
      <c r="G901" s="8" t="s">
        <v>21</v>
      </c>
      <c r="H901" s="9"/>
      <c r="I901" s="9"/>
      <c r="J901" s="10">
        <f t="shared" ref="J901:M901" si="578">ifs(OR($H901="R",$I901="N"),"N/A",OR(C901="A",C901="B",C901="C",C901="U"),3,TRUE,"FLAG")</f>
        <v>3</v>
      </c>
      <c r="K901" s="10">
        <f t="shared" si="578"/>
        <v>3</v>
      </c>
      <c r="L901" s="10">
        <f t="shared" si="578"/>
        <v>3</v>
      </c>
      <c r="M901" s="10" t="str">
        <f t="shared" si="578"/>
        <v>FLAG</v>
      </c>
      <c r="N901" s="10" t="str">
        <f t="shared" si="2"/>
        <v>65-1438(C)(1) - Dental Practices Act; Unlawful for out of state licensed [unlicensed] person to perform services without having first obtained a written prescription for such services</v>
      </c>
      <c r="O901" s="10" t="str">
        <f t="shared" si="3"/>
        <v>Dental Practices Act</v>
      </c>
    </row>
    <row r="902">
      <c r="A902" s="7" t="s">
        <v>1700</v>
      </c>
      <c r="B902" s="8" t="s">
        <v>1701</v>
      </c>
      <c r="C902" s="8" t="s">
        <v>18</v>
      </c>
      <c r="D902" s="8" t="s">
        <v>18</v>
      </c>
      <c r="E902" s="8" t="s">
        <v>19</v>
      </c>
      <c r="F902" s="8" t="s">
        <v>20</v>
      </c>
      <c r="G902" s="8" t="s">
        <v>21</v>
      </c>
      <c r="H902" s="9"/>
      <c r="I902" s="9"/>
      <c r="J902" s="10">
        <f t="shared" ref="J902:M902" si="579">ifs(OR($H902="R",$I902="N"),"N/A",OR(C902="A",C902="B",C902="C",C902="U"),3,TRUE,"FLAG")</f>
        <v>3</v>
      </c>
      <c r="K902" s="10">
        <f t="shared" si="579"/>
        <v>3</v>
      </c>
      <c r="L902" s="10">
        <f t="shared" si="579"/>
        <v>3</v>
      </c>
      <c r="M902" s="10" t="str">
        <f t="shared" si="579"/>
        <v>FLAG</v>
      </c>
      <c r="N902" s="10" t="str">
        <f t="shared" si="2"/>
        <v>65-1439(a) - Dental Practices Act; Unlawfully advertise that one can or will sell, supply, furnish, construct, reproduce or repair prosthetic dentures, bridges, plates or other appliances to be used or worn as substitutes for natural teeth, or the regulation thereof</v>
      </c>
      <c r="O902" s="10" t="str">
        <f t="shared" si="3"/>
        <v>Dental Practices Act</v>
      </c>
    </row>
    <row r="903">
      <c r="A903" s="7" t="s">
        <v>1702</v>
      </c>
      <c r="B903" s="8" t="s">
        <v>1703</v>
      </c>
      <c r="C903" s="8" t="s">
        <v>27</v>
      </c>
      <c r="D903" s="8" t="s">
        <v>28</v>
      </c>
      <c r="E903" s="8" t="s">
        <v>19</v>
      </c>
      <c r="F903" s="8" t="s">
        <v>20</v>
      </c>
      <c r="G903" s="8" t="s">
        <v>21</v>
      </c>
      <c r="H903" s="9"/>
      <c r="I903" s="9"/>
      <c r="J903" s="10">
        <f t="shared" ref="J903:M903" si="580">ifs(OR($H903="R",$I903="N"),"N/A",OR(C903="A",C903="B",C903="C",C903="U"),3,TRUE,"FLAG")</f>
        <v>3</v>
      </c>
      <c r="K903" s="10">
        <f t="shared" si="580"/>
        <v>3</v>
      </c>
      <c r="L903" s="10">
        <f t="shared" si="580"/>
        <v>3</v>
      </c>
      <c r="M903" s="10" t="str">
        <f t="shared" si="580"/>
        <v>FLAG</v>
      </c>
      <c r="N903" s="10" t="str">
        <f t="shared" si="2"/>
        <v>75-3692(b) - Department of Administration; Disposition of certain state office buildings; state or local officials and affiliated persons; hold an interest, be employed by, represent or appear for any entity in purchase of property</v>
      </c>
      <c r="O903" s="10" t="str">
        <f t="shared" si="3"/>
        <v>Department of Administration</v>
      </c>
    </row>
    <row r="904">
      <c r="A904" s="7" t="s">
        <v>1704</v>
      </c>
      <c r="B904" s="8" t="s">
        <v>1705</v>
      </c>
      <c r="C904" s="8" t="s">
        <v>27</v>
      </c>
      <c r="D904" s="8" t="s">
        <v>28</v>
      </c>
      <c r="E904" s="8" t="s">
        <v>19</v>
      </c>
      <c r="F904" s="8" t="s">
        <v>20</v>
      </c>
      <c r="G904" s="8" t="s">
        <v>21</v>
      </c>
      <c r="H904" s="9"/>
      <c r="I904" s="9"/>
      <c r="J904" s="10">
        <f t="shared" ref="J904:M904" si="581">ifs(OR($H904="R",$I904="N"),"N/A",OR(C904="A",C904="B",C904="C",C904="U"),3,TRUE,"FLAG")</f>
        <v>3</v>
      </c>
      <c r="K904" s="10">
        <f t="shared" si="581"/>
        <v>3</v>
      </c>
      <c r="L904" s="10">
        <f t="shared" si="581"/>
        <v>3</v>
      </c>
      <c r="M904" s="10" t="str">
        <f t="shared" si="581"/>
        <v>FLAG</v>
      </c>
      <c r="N904" s="10" t="str">
        <f t="shared" si="2"/>
        <v>75-3692(d) - Department of Administration; Disposition of certain state office buildings; state or local officials and affiliated persons; hold an interest, be employed by, represent or appear for any entity in purchase of property within five years of termination of employment</v>
      </c>
      <c r="O904" s="10" t="str">
        <f t="shared" si="3"/>
        <v>Department of Administration</v>
      </c>
    </row>
    <row r="905">
      <c r="A905" s="7" t="s">
        <v>1706</v>
      </c>
      <c r="B905" s="8" t="s">
        <v>1707</v>
      </c>
      <c r="C905" s="8" t="s">
        <v>27</v>
      </c>
      <c r="D905" s="8" t="s">
        <v>28</v>
      </c>
      <c r="E905" s="8" t="s">
        <v>19</v>
      </c>
      <c r="F905" s="8" t="s">
        <v>20</v>
      </c>
      <c r="G905" s="8" t="s">
        <v>21</v>
      </c>
      <c r="H905" s="9"/>
      <c r="I905" s="9"/>
      <c r="J905" s="10">
        <f t="shared" ref="J905:M905" si="582">ifs(OR($H905="R",$I905="N"),"N/A",OR(C905="A",C905="B",C905="C",C905="U"),3,TRUE,"FLAG")</f>
        <v>3</v>
      </c>
      <c r="K905" s="10">
        <f t="shared" si="582"/>
        <v>3</v>
      </c>
      <c r="L905" s="10">
        <f t="shared" si="582"/>
        <v>3</v>
      </c>
      <c r="M905" s="10" t="str">
        <f t="shared" si="582"/>
        <v>FLAG</v>
      </c>
      <c r="N905" s="10" t="str">
        <f t="shared" si="2"/>
        <v>75-3692(c) - Department of Administration; Disposition of certain state office buildings; state or local officials and affiliated persons; represent, appear or negotiate on behalf of any entity in proposal or bid to purchase property</v>
      </c>
      <c r="O905" s="10" t="str">
        <f t="shared" si="3"/>
        <v>Department of Administration</v>
      </c>
    </row>
    <row r="906">
      <c r="A906" s="7" t="s">
        <v>1708</v>
      </c>
      <c r="B906" s="8" t="s">
        <v>1709</v>
      </c>
      <c r="C906" s="8" t="s">
        <v>27</v>
      </c>
      <c r="D906" s="8" t="s">
        <v>28</v>
      </c>
      <c r="E906" s="8" t="s">
        <v>19</v>
      </c>
      <c r="F906" s="8" t="s">
        <v>20</v>
      </c>
      <c r="G906" s="8" t="s">
        <v>21</v>
      </c>
      <c r="H906" s="9"/>
      <c r="I906" s="9"/>
      <c r="J906" s="10">
        <f t="shared" ref="J906:M906" si="583">ifs(OR($H906="R",$I906="N"),"N/A",OR(C906="A",C906="B",C906="C",C906="U"),3,TRUE,"FLAG")</f>
        <v>3</v>
      </c>
      <c r="K906" s="10">
        <f t="shared" si="583"/>
        <v>3</v>
      </c>
      <c r="L906" s="10">
        <f t="shared" si="583"/>
        <v>3</v>
      </c>
      <c r="M906" s="10" t="str">
        <f t="shared" si="583"/>
        <v>FLAG</v>
      </c>
      <c r="N906" s="10" t="str">
        <f t="shared" si="2"/>
        <v>75-3692(f) - Department of Administration; Disposition of certain state office buildings; state or local officials; influence or attempt to influence the secretary of administration in selling or conveying property</v>
      </c>
      <c r="O906" s="10" t="str">
        <f t="shared" si="3"/>
        <v>Department of Administration</v>
      </c>
    </row>
    <row r="907">
      <c r="A907" s="7" t="s">
        <v>1710</v>
      </c>
      <c r="B907" s="8" t="s">
        <v>1711</v>
      </c>
      <c r="C907" s="8" t="s">
        <v>27</v>
      </c>
      <c r="D907" s="8" t="s">
        <v>28</v>
      </c>
      <c r="E907" s="8" t="s">
        <v>19</v>
      </c>
      <c r="F907" s="8" t="s">
        <v>20</v>
      </c>
      <c r="G907" s="8" t="s">
        <v>21</v>
      </c>
      <c r="H907" s="9"/>
      <c r="I907" s="9"/>
      <c r="J907" s="10">
        <f t="shared" ref="J907:M907" si="584">ifs(OR($H907="R",$I907="N"),"N/A",OR(C907="A",C907="B",C907="C",C907="U"),3,TRUE,"FLAG")</f>
        <v>3</v>
      </c>
      <c r="K907" s="10">
        <f t="shared" si="584"/>
        <v>3</v>
      </c>
      <c r="L907" s="10">
        <f t="shared" si="584"/>
        <v>3</v>
      </c>
      <c r="M907" s="10" t="str">
        <f t="shared" si="584"/>
        <v>FLAG</v>
      </c>
      <c r="N907" s="10" t="str">
        <f t="shared" si="2"/>
        <v>75-3692(e) - Department of Administration; Disposition of certain state office buildings; state or local officials; solicit or accept any complimentary service or discount from an entity submitting a proposal to bid on or purchase property</v>
      </c>
      <c r="O907" s="10" t="str">
        <f t="shared" si="3"/>
        <v>Department of Administration</v>
      </c>
    </row>
    <row r="908">
      <c r="A908" s="7" t="s">
        <v>1712</v>
      </c>
      <c r="B908" s="8" t="s">
        <v>1713</v>
      </c>
      <c r="C908" s="8" t="s">
        <v>18</v>
      </c>
      <c r="D908" s="8" t="s">
        <v>18</v>
      </c>
      <c r="E908" s="8" t="s">
        <v>19</v>
      </c>
      <c r="F908" s="8" t="s">
        <v>20</v>
      </c>
      <c r="G908" s="8" t="s">
        <v>21</v>
      </c>
      <c r="H908" s="9"/>
      <c r="I908" s="9"/>
      <c r="J908" s="10">
        <f t="shared" ref="J908:M908" si="585">ifs(OR($H908="R",$I908="N"),"N/A",OR(C908="A",C908="B",C908="C",C908="U"),3,TRUE,"FLAG")</f>
        <v>3</v>
      </c>
      <c r="K908" s="10">
        <f t="shared" si="585"/>
        <v>3</v>
      </c>
      <c r="L908" s="10">
        <f t="shared" si="585"/>
        <v>3</v>
      </c>
      <c r="M908" s="10" t="str">
        <f t="shared" si="585"/>
        <v>FLAG</v>
      </c>
      <c r="N908" s="10" t="str">
        <f t="shared" si="2"/>
        <v>74-538 - Department of Agriculture; Falsely mark any product or container of products to indicate that such has been graded or inspected</v>
      </c>
      <c r="O908" s="10" t="str">
        <f t="shared" si="3"/>
        <v>Department of Agriculture</v>
      </c>
    </row>
    <row r="909">
      <c r="A909" s="7" t="s">
        <v>1714</v>
      </c>
      <c r="B909" s="8" t="s">
        <v>1715</v>
      </c>
      <c r="C909" s="8" t="s">
        <v>27</v>
      </c>
      <c r="D909" s="8" t="s">
        <v>28</v>
      </c>
      <c r="E909" s="8" t="s">
        <v>19</v>
      </c>
      <c r="F909" s="8" t="s">
        <v>20</v>
      </c>
      <c r="G909" s="8" t="s">
        <v>21</v>
      </c>
      <c r="H909" s="9"/>
      <c r="I909" s="9"/>
      <c r="J909" s="10">
        <f t="shared" ref="J909:M909" si="586">ifs(OR($H909="R",$I909="N"),"N/A",OR(C909="A",C909="B",C909="C",C909="U"),3,TRUE,"FLAG")</f>
        <v>3</v>
      </c>
      <c r="K909" s="10">
        <f t="shared" si="586"/>
        <v>3</v>
      </c>
      <c r="L909" s="10">
        <f t="shared" si="586"/>
        <v>3</v>
      </c>
      <c r="M909" s="10" t="str">
        <f t="shared" si="586"/>
        <v>FLAG</v>
      </c>
      <c r="N909" s="10" t="str">
        <f t="shared" si="2"/>
        <v>74-50,184(c) - Department of Commerce; Unauthorized disclosure of confidential information</v>
      </c>
      <c r="O909" s="10" t="str">
        <f t="shared" si="3"/>
        <v>Department of Commerce</v>
      </c>
    </row>
    <row r="910">
      <c r="A910" s="7" t="s">
        <v>1716</v>
      </c>
      <c r="B910" s="8" t="s">
        <v>1717</v>
      </c>
      <c r="C910" s="8" t="s">
        <v>27</v>
      </c>
      <c r="D910" s="8" t="s">
        <v>28</v>
      </c>
      <c r="E910" s="8" t="s">
        <v>19</v>
      </c>
      <c r="F910" s="8" t="s">
        <v>20</v>
      </c>
      <c r="G910" s="8" t="s">
        <v>21</v>
      </c>
      <c r="H910" s="9"/>
      <c r="I910" s="9"/>
      <c r="J910" s="10">
        <f t="shared" ref="J910:M910" si="587">ifs(OR($H910="R",$I910="N"),"N/A",OR(C910="A",C910="B",C910="C",C910="U"),3,TRUE,"FLAG")</f>
        <v>3</v>
      </c>
      <c r="K910" s="10">
        <f t="shared" si="587"/>
        <v>3</v>
      </c>
      <c r="L910" s="10">
        <f t="shared" si="587"/>
        <v>3</v>
      </c>
      <c r="M910" s="10" t="str">
        <f t="shared" si="587"/>
        <v>FLAG</v>
      </c>
      <c r="N910" s="10" t="str">
        <f t="shared" si="2"/>
        <v>21-5809(a)(2) - Derailment of Train; Recklessly cause derailment of train, railroad car or other rail-mounted work equipment</v>
      </c>
      <c r="O910" s="10" t="str">
        <f t="shared" si="3"/>
        <v>Derailment of Train</v>
      </c>
    </row>
    <row r="911">
      <c r="A911" s="7" t="s">
        <v>1718</v>
      </c>
      <c r="B911" s="8" t="s">
        <v>1719</v>
      </c>
      <c r="C911" s="8">
        <v>9.0</v>
      </c>
      <c r="D911" s="8">
        <v>10.0</v>
      </c>
      <c r="E911" s="8">
        <v>10.0</v>
      </c>
      <c r="F911" s="8">
        <v>10.0</v>
      </c>
      <c r="G911" s="8" t="s">
        <v>21</v>
      </c>
      <c r="H911" s="9"/>
      <c r="I911" s="9"/>
      <c r="N911" s="10" t="str">
        <f t="shared" si="2"/>
        <v>21-5826(a) - Destroying a Written Instrument; Tear, cut, burn, erase, obliterate or destroy a written instrument, in whole or in part, with intent to defraud</v>
      </c>
      <c r="O911" s="10" t="str">
        <f t="shared" si="3"/>
        <v>Destroying a Written Instrument</v>
      </c>
    </row>
    <row r="912">
      <c r="A912" s="7" t="s">
        <v>1720</v>
      </c>
      <c r="B912" s="8" t="s">
        <v>1721</v>
      </c>
      <c r="C912" s="8" t="s">
        <v>19</v>
      </c>
      <c r="D912" s="8" t="s">
        <v>19</v>
      </c>
      <c r="E912" s="8" t="s">
        <v>19</v>
      </c>
      <c r="F912" s="8" t="s">
        <v>20</v>
      </c>
      <c r="G912" s="8" t="s">
        <v>21</v>
      </c>
      <c r="H912" s="9"/>
      <c r="I912" s="9"/>
      <c r="J912" s="10">
        <f t="shared" ref="J912:M912" si="588">ifs(OR($H912="R",$I912="N"),"N/A",OR(C912="A",C912="B",C912="C",C912="U"),3,TRUE,"FLAG")</f>
        <v>3</v>
      </c>
      <c r="K912" s="10">
        <f t="shared" si="588"/>
        <v>3</v>
      </c>
      <c r="L912" s="10">
        <f t="shared" si="588"/>
        <v>3</v>
      </c>
      <c r="M912" s="10" t="str">
        <f t="shared" si="588"/>
        <v>FLAG</v>
      </c>
      <c r="N912" s="10" t="str">
        <f t="shared" si="2"/>
        <v>65-5903(a) - Dietitians Licensing Act; License required to practice dietetics or make certain representations</v>
      </c>
      <c r="O912" s="10" t="str">
        <f t="shared" si="3"/>
        <v>Dietitians Licensing Act</v>
      </c>
    </row>
    <row r="913">
      <c r="A913" s="7" t="s">
        <v>1722</v>
      </c>
      <c r="B913" s="8" t="s">
        <v>1723</v>
      </c>
      <c r="C913" s="8" t="s">
        <v>19</v>
      </c>
      <c r="D913" s="8" t="s">
        <v>19</v>
      </c>
      <c r="E913" s="8" t="s">
        <v>19</v>
      </c>
      <c r="F913" s="8" t="s">
        <v>20</v>
      </c>
      <c r="G913" s="8" t="s">
        <v>21</v>
      </c>
      <c r="H913" s="9"/>
      <c r="I913" s="9"/>
      <c r="J913" s="10">
        <f t="shared" ref="J913:M913" si="589">ifs(OR($H913="R",$I913="N"),"N/A",OR(C913="A",C913="B",C913="C",C913="U"),3,TRUE,"FLAG")</f>
        <v>3</v>
      </c>
      <c r="K913" s="10">
        <f t="shared" si="589"/>
        <v>3</v>
      </c>
      <c r="L913" s="10">
        <f t="shared" si="589"/>
        <v>3</v>
      </c>
      <c r="M913" s="10" t="str">
        <f t="shared" si="589"/>
        <v>FLAG</v>
      </c>
      <c r="N913" s="10" t="str">
        <f t="shared" si="2"/>
        <v>21-6203(a)(2) - Disorderly Conduct; Disturbing a lawful assembly, meeting, or procession</v>
      </c>
      <c r="O913" s="10" t="str">
        <f t="shared" si="3"/>
        <v>Disorderly Conduct</v>
      </c>
    </row>
    <row r="914">
      <c r="A914" s="7" t="s">
        <v>1724</v>
      </c>
      <c r="B914" s="8" t="s">
        <v>1725</v>
      </c>
      <c r="C914" s="8" t="s">
        <v>19</v>
      </c>
      <c r="D914" s="8" t="s">
        <v>19</v>
      </c>
      <c r="E914" s="8" t="s">
        <v>19</v>
      </c>
      <c r="F914" s="8" t="s">
        <v>20</v>
      </c>
      <c r="G914" s="8" t="s">
        <v>21</v>
      </c>
      <c r="H914" s="9"/>
      <c r="I914" s="9"/>
      <c r="J914" s="10">
        <f t="shared" ref="J914:M914" si="590">ifs(OR($H914="R",$I914="N"),"N/A",OR(C914="A",C914="B",C914="C",C914="U"),3,TRUE,"FLAG")</f>
        <v>3</v>
      </c>
      <c r="K914" s="10">
        <f t="shared" si="590"/>
        <v>3</v>
      </c>
      <c r="L914" s="10">
        <f t="shared" si="590"/>
        <v>3</v>
      </c>
      <c r="M914" s="10" t="str">
        <f t="shared" si="590"/>
        <v>FLAG</v>
      </c>
      <c r="N914" s="10" t="str">
        <f t="shared" si="2"/>
        <v>21-6203(a)(1) - Disorderly Conduct; Engaging in brawling or fighting</v>
      </c>
      <c r="O914" s="10" t="str">
        <f t="shared" si="3"/>
        <v>Disorderly Conduct</v>
      </c>
    </row>
    <row r="915">
      <c r="A915" s="7" t="s">
        <v>1726</v>
      </c>
      <c r="B915" s="8" t="s">
        <v>1727</v>
      </c>
      <c r="C915" s="8" t="s">
        <v>19</v>
      </c>
      <c r="D915" s="8" t="s">
        <v>19</v>
      </c>
      <c r="E915" s="8" t="s">
        <v>19</v>
      </c>
      <c r="F915" s="8" t="s">
        <v>20</v>
      </c>
      <c r="G915" s="8" t="s">
        <v>21</v>
      </c>
      <c r="H915" s="9"/>
      <c r="I915" s="9"/>
      <c r="J915" s="10">
        <f t="shared" ref="J915:M915" si="591">ifs(OR($H915="R",$I915="N"),"N/A",OR(C915="A",C915="B",C915="C",C915="U"),3,TRUE,"FLAG")</f>
        <v>3</v>
      </c>
      <c r="K915" s="10">
        <f t="shared" si="591"/>
        <v>3</v>
      </c>
      <c r="L915" s="10">
        <f t="shared" si="591"/>
        <v>3</v>
      </c>
      <c r="M915" s="10" t="str">
        <f t="shared" si="591"/>
        <v>FLAG</v>
      </c>
      <c r="N915" s="10" t="str">
        <f t="shared" si="2"/>
        <v>21-6203(a)(3) - Disorderly Conduct; Using fighting words or engaging in noisy conduct tending reasonably to arouse alarm, anger or resentment in others</v>
      </c>
      <c r="O915" s="10" t="str">
        <f t="shared" si="3"/>
        <v>Disorderly Conduct</v>
      </c>
    </row>
    <row r="916">
      <c r="A916" s="7" t="s">
        <v>1728</v>
      </c>
      <c r="B916" s="8" t="s">
        <v>1729</v>
      </c>
      <c r="C916" s="8">
        <v>1.0</v>
      </c>
      <c r="D916" s="8">
        <v>3.0</v>
      </c>
      <c r="E916" s="8">
        <v>3.0</v>
      </c>
      <c r="F916" s="8">
        <v>4.0</v>
      </c>
      <c r="G916" s="8" t="s">
        <v>24</v>
      </c>
      <c r="H916" s="9"/>
      <c r="I916" s="9"/>
      <c r="N916" s="10" t="str">
        <f t="shared" si="2"/>
        <v>21-5430(b) - Distribution of a Controlled Substance Causing Death; Distribution of a controlled substance when death results from the use of such substance</v>
      </c>
      <c r="O916" s="10" t="str">
        <f t="shared" si="3"/>
        <v>Distribution of a Controlled Substance Causing Death</v>
      </c>
    </row>
    <row r="917">
      <c r="A917" s="7" t="s">
        <v>1730</v>
      </c>
      <c r="B917" s="8" t="s">
        <v>1731</v>
      </c>
      <c r="C917" s="8">
        <v>5.0</v>
      </c>
      <c r="D917" s="8">
        <v>7.0</v>
      </c>
      <c r="E917" s="8">
        <v>7.0</v>
      </c>
      <c r="F917" s="8">
        <v>8.0</v>
      </c>
      <c r="G917" s="8" t="s">
        <v>24</v>
      </c>
      <c r="H917" s="9"/>
      <c r="I917" s="9"/>
      <c r="N917" s="10" t="str">
        <f t="shared" si="2"/>
        <v>21-5430(a) - Distribution of a Controlled Substance Causing Great Bodily Harm; Distribution of a controlled substance when great bodily harm results from the use of such substance</v>
      </c>
      <c r="O917" s="10" t="str">
        <f t="shared" si="3"/>
        <v>Distribution of a Controlled Substance Causing Great Bodily Harm</v>
      </c>
    </row>
    <row r="918">
      <c r="A918" s="7" t="s">
        <v>1732</v>
      </c>
      <c r="B918" s="8" t="s">
        <v>1733</v>
      </c>
      <c r="C918" s="8" t="s">
        <v>28</v>
      </c>
      <c r="D918" s="8" t="s">
        <v>19</v>
      </c>
      <c r="E918" s="8" t="s">
        <v>19</v>
      </c>
      <c r="F918" s="8" t="s">
        <v>20</v>
      </c>
      <c r="G918" s="8" t="s">
        <v>21</v>
      </c>
      <c r="H918" s="9"/>
      <c r="I918" s="9"/>
      <c r="J918" s="10">
        <f t="shared" ref="J918:M918" si="592">ifs(OR($H918="R",$I918="N"),"N/A",OR(C918="A",C918="B",C918="C",C918="U"),3,TRUE,"FLAG")</f>
        <v>3</v>
      </c>
      <c r="K918" s="10">
        <f t="shared" si="592"/>
        <v>3</v>
      </c>
      <c r="L918" s="10">
        <f t="shared" si="592"/>
        <v>3</v>
      </c>
      <c r="M918" s="10" t="str">
        <f t="shared" si="592"/>
        <v>FLAG</v>
      </c>
      <c r="N918" s="10" t="str">
        <f t="shared" si="2"/>
        <v>22a-215(b) - District Officers &amp; Employers; District Coroner; Unauthorized disposition of body of deceased</v>
      </c>
      <c r="O918" s="10" t="str">
        <f t="shared" si="3"/>
        <v>District Officers &amp; Employers</v>
      </c>
    </row>
    <row r="919">
      <c r="A919" s="7" t="s">
        <v>1734</v>
      </c>
      <c r="B919" s="8" t="s">
        <v>1735</v>
      </c>
      <c r="C919" s="8">
        <v>10.0</v>
      </c>
      <c r="D919" s="8">
        <v>10.0</v>
      </c>
      <c r="E919" s="8">
        <v>10.0</v>
      </c>
      <c r="F919" s="8">
        <v>10.0</v>
      </c>
      <c r="G919" s="8" t="s">
        <v>21</v>
      </c>
      <c r="H919" s="9"/>
      <c r="I919" s="9"/>
      <c r="N919" s="10" t="str">
        <f t="shared" si="2"/>
        <v>21-6414(a)(1) - Dog Fighting; Cause dog fighting for amusement or gain</v>
      </c>
      <c r="O919" s="10" t="str">
        <f t="shared" si="3"/>
        <v>Dog Fighting</v>
      </c>
    </row>
    <row r="920">
      <c r="A920" s="7" t="s">
        <v>1736</v>
      </c>
      <c r="B920" s="8" t="s">
        <v>1737</v>
      </c>
      <c r="C920" s="8">
        <v>10.0</v>
      </c>
      <c r="D920" s="8">
        <v>10.0</v>
      </c>
      <c r="E920" s="8">
        <v>10.0</v>
      </c>
      <c r="F920" s="8">
        <v>10.0</v>
      </c>
      <c r="G920" s="8" t="s">
        <v>21</v>
      </c>
      <c r="H920" s="9"/>
      <c r="I920" s="9"/>
      <c r="N920" s="10" t="str">
        <f t="shared" si="2"/>
        <v>21-6414(a)(2) - Dog Fighting; Knowingly permit dog fighting on one's premises</v>
      </c>
      <c r="O920" s="10" t="str">
        <f t="shared" si="3"/>
        <v>Dog Fighting</v>
      </c>
    </row>
    <row r="921">
      <c r="A921" s="7" t="s">
        <v>1738</v>
      </c>
      <c r="B921" s="8" t="s">
        <v>1739</v>
      </c>
      <c r="C921" s="8">
        <v>10.0</v>
      </c>
      <c r="D921" s="8">
        <v>10.0</v>
      </c>
      <c r="E921" s="8">
        <v>10.0</v>
      </c>
      <c r="F921" s="8">
        <v>10.0</v>
      </c>
      <c r="G921" s="8" t="s">
        <v>21</v>
      </c>
      <c r="H921" s="9"/>
      <c r="I921" s="9"/>
      <c r="N921" s="10" t="str">
        <f t="shared" si="2"/>
        <v>21-6414(a)(3) - Dog Fighting; Train, own, keep, transport or sell any dog for the purpose of dog fighting</v>
      </c>
      <c r="O921" s="10" t="str">
        <f t="shared" si="3"/>
        <v>Dog Fighting</v>
      </c>
    </row>
    <row r="922">
      <c r="A922" s="7" t="s">
        <v>1740</v>
      </c>
      <c r="B922" s="8" t="s">
        <v>1741</v>
      </c>
      <c r="C922" s="8" t="s">
        <v>28</v>
      </c>
      <c r="D922" s="8" t="s">
        <v>19</v>
      </c>
      <c r="E922" s="8" t="s">
        <v>19</v>
      </c>
      <c r="F922" s="8" t="s">
        <v>20</v>
      </c>
      <c r="G922" s="8" t="s">
        <v>21</v>
      </c>
      <c r="H922" s="9"/>
      <c r="I922" s="9"/>
      <c r="J922" s="10">
        <f t="shared" ref="J922:M922" si="593">ifs(OR($H922="R",$I922="N"),"N/A",OR(C922="A",C922="B",C922="C",C922="U"),3,TRUE,"FLAG")</f>
        <v>3</v>
      </c>
      <c r="K922" s="10">
        <f t="shared" si="593"/>
        <v>3</v>
      </c>
      <c r="L922" s="10">
        <f t="shared" si="593"/>
        <v>3</v>
      </c>
      <c r="M922" s="10" t="str">
        <f t="shared" si="593"/>
        <v>FLAG</v>
      </c>
      <c r="N922" s="10" t="str">
        <f t="shared" si="2"/>
        <v>21-6414(c) - Dog Fighting; Unlawful attendance of dog fighting</v>
      </c>
      <c r="O922" s="10" t="str">
        <f t="shared" si="3"/>
        <v>Dog Fighting</v>
      </c>
    </row>
    <row r="923">
      <c r="A923" s="7" t="s">
        <v>1742</v>
      </c>
      <c r="B923" s="8" t="s">
        <v>1743</v>
      </c>
      <c r="C923" s="8" t="s">
        <v>27</v>
      </c>
      <c r="D923" s="8" t="s">
        <v>28</v>
      </c>
      <c r="E923" s="8" t="s">
        <v>19</v>
      </c>
      <c r="F923" s="8" t="s">
        <v>20</v>
      </c>
      <c r="G923" s="8" t="s">
        <v>21</v>
      </c>
      <c r="H923" s="9"/>
      <c r="I923" s="9"/>
      <c r="J923" s="10">
        <f t="shared" ref="J923:M923" si="594">ifs(OR($H923="R",$I923="N"),"N/A",OR(C923="A",C923="B",C923="C",C923="U"),3,TRUE,"FLAG")</f>
        <v>3</v>
      </c>
      <c r="K923" s="10">
        <f t="shared" si="594"/>
        <v>3</v>
      </c>
      <c r="L923" s="10">
        <f t="shared" si="594"/>
        <v>3</v>
      </c>
      <c r="M923" s="10" t="str">
        <f t="shared" si="594"/>
        <v>FLAG</v>
      </c>
      <c r="N923" s="10" t="str">
        <f t="shared" si="2"/>
        <v>21-6414(b) - Dog Fighting; Unlawful possession of dog fighting paraphernalia</v>
      </c>
      <c r="O923" s="10" t="str">
        <f t="shared" si="3"/>
        <v>Dog Fighting</v>
      </c>
    </row>
    <row r="924">
      <c r="A924" s="7" t="s">
        <v>1744</v>
      </c>
      <c r="B924" s="8" t="s">
        <v>1745</v>
      </c>
      <c r="C924" s="8" t="s">
        <v>1185</v>
      </c>
      <c r="D924" s="9"/>
      <c r="E924" s="9"/>
      <c r="F924" s="9"/>
      <c r="G924" s="8" t="s">
        <v>24</v>
      </c>
      <c r="H924" s="9"/>
      <c r="I924" s="9"/>
      <c r="N924" s="10" t="str">
        <f t="shared" si="2"/>
        <v>21-5414(a)(2) - Domestic Battery; Knowingly causing physical contact in rude, insulting or angry manner; 3rd or subs. within 5 yrs</v>
      </c>
      <c r="O924" s="10" t="str">
        <f t="shared" si="3"/>
        <v>Domestic Battery</v>
      </c>
    </row>
    <row r="925">
      <c r="A925" s="7" t="s">
        <v>1746</v>
      </c>
      <c r="B925" s="8" t="s">
        <v>1745</v>
      </c>
      <c r="C925" s="8" t="s">
        <v>28</v>
      </c>
      <c r="D925" s="8" t="s">
        <v>19</v>
      </c>
      <c r="E925" s="8" t="s">
        <v>19</v>
      </c>
      <c r="F925" s="8" t="s">
        <v>20</v>
      </c>
      <c r="G925" s="8" t="s">
        <v>24</v>
      </c>
      <c r="H925" s="9"/>
      <c r="I925" s="9"/>
      <c r="J925" s="10">
        <f t="shared" ref="J925:M925" si="595">ifs(OR($H925="R",$I925="N"),"N/A",OR(C925="A",C925="B",C925="C",C925="U"),3,TRUE,"FLAG")</f>
        <v>3</v>
      </c>
      <c r="K925" s="10">
        <f t="shared" si="595"/>
        <v>3</v>
      </c>
      <c r="L925" s="10">
        <f t="shared" si="595"/>
        <v>3</v>
      </c>
      <c r="M925" s="10" t="str">
        <f t="shared" si="595"/>
        <v>FLAG</v>
      </c>
      <c r="N925" s="10" t="str">
        <f t="shared" si="2"/>
        <v>21-5414(a)(2) - Domestic Battery; Knowingly causing physical contact with a family or household member by a family or household member when done in a rude, insulting or angry manner; 1st conviction</v>
      </c>
      <c r="O925" s="10" t="str">
        <f t="shared" si="3"/>
        <v>Domestic Battery</v>
      </c>
    </row>
    <row r="926">
      <c r="A926" s="7" t="s">
        <v>1747</v>
      </c>
      <c r="B926" s="8" t="s">
        <v>1745</v>
      </c>
      <c r="C926" s="8" t="s">
        <v>27</v>
      </c>
      <c r="D926" s="8" t="s">
        <v>28</v>
      </c>
      <c r="E926" s="8" t="s">
        <v>19</v>
      </c>
      <c r="F926" s="8" t="s">
        <v>20</v>
      </c>
      <c r="G926" s="8" t="s">
        <v>24</v>
      </c>
      <c r="H926" s="9"/>
      <c r="I926" s="9"/>
      <c r="J926" s="10">
        <f t="shared" ref="J926:M926" si="596">ifs(OR($H926="R",$I926="N"),"N/A",OR(C926="A",C926="B",C926="C",C926="U"),3,TRUE,"FLAG")</f>
        <v>3</v>
      </c>
      <c r="K926" s="10">
        <f t="shared" si="596"/>
        <v>3</v>
      </c>
      <c r="L926" s="10">
        <f t="shared" si="596"/>
        <v>3</v>
      </c>
      <c r="M926" s="10" t="str">
        <f t="shared" si="596"/>
        <v>FLAG</v>
      </c>
      <c r="N926" s="10" t="str">
        <f t="shared" si="2"/>
        <v>21-5414(a)(2) - Domestic Battery; Knowingly causing physical contact with a family or household member by a family or household member when done in a rude, insulting or angry manner; 2nd conviction within 5 yrs of 1st conviction</v>
      </c>
      <c r="O926" s="10" t="str">
        <f t="shared" si="3"/>
        <v>Domestic Battery</v>
      </c>
    </row>
    <row r="927">
      <c r="A927" s="7" t="s">
        <v>1748</v>
      </c>
      <c r="B927" s="8" t="s">
        <v>1749</v>
      </c>
      <c r="C927" s="8" t="s">
        <v>28</v>
      </c>
      <c r="D927" s="8" t="s">
        <v>19</v>
      </c>
      <c r="E927" s="8" t="s">
        <v>19</v>
      </c>
      <c r="F927" s="8" t="s">
        <v>20</v>
      </c>
      <c r="G927" s="8" t="s">
        <v>24</v>
      </c>
      <c r="H927" s="9"/>
      <c r="I927" s="9"/>
      <c r="J927" s="10">
        <f t="shared" ref="J927:M927" si="597">ifs(OR($H927="R",$I927="N"),"N/A",OR(C927="A",C927="B",C927="C",C927="U"),3,TRUE,"FLAG")</f>
        <v>3</v>
      </c>
      <c r="K927" s="10">
        <f t="shared" si="597"/>
        <v>3</v>
      </c>
      <c r="L927" s="10">
        <f t="shared" si="597"/>
        <v>3</v>
      </c>
      <c r="M927" s="10" t="str">
        <f t="shared" si="597"/>
        <v>FLAG</v>
      </c>
      <c r="N927" s="10" t="str">
        <f t="shared" si="2"/>
        <v>21-5414(a)(1) - Domestic Battery; Knowingly or recklessly causing bodily harm by a family or household member against a family or household member; 1st conviction</v>
      </c>
      <c r="O927" s="10" t="str">
        <f t="shared" si="3"/>
        <v>Domestic Battery</v>
      </c>
    </row>
    <row r="928">
      <c r="A928" s="7" t="s">
        <v>1750</v>
      </c>
      <c r="B928" s="8" t="s">
        <v>1749</v>
      </c>
      <c r="C928" s="8" t="s">
        <v>27</v>
      </c>
      <c r="D928" s="8" t="s">
        <v>28</v>
      </c>
      <c r="E928" s="8" t="s">
        <v>19</v>
      </c>
      <c r="F928" s="8" t="s">
        <v>20</v>
      </c>
      <c r="G928" s="8" t="s">
        <v>24</v>
      </c>
      <c r="H928" s="9"/>
      <c r="I928" s="9"/>
      <c r="J928" s="10">
        <f t="shared" ref="J928:M928" si="598">ifs(OR($H928="R",$I928="N"),"N/A",OR(C928="A",C928="B",C928="C",C928="U"),3,TRUE,"FLAG")</f>
        <v>3</v>
      </c>
      <c r="K928" s="10">
        <f t="shared" si="598"/>
        <v>3</v>
      </c>
      <c r="L928" s="10">
        <f t="shared" si="598"/>
        <v>3</v>
      </c>
      <c r="M928" s="10" t="str">
        <f t="shared" si="598"/>
        <v>FLAG</v>
      </c>
      <c r="N928" s="10" t="str">
        <f t="shared" si="2"/>
        <v>21-5414(a)(1) - Domestic Battery; Knowingly or recklessly causing bodily harm by a family or household member against a family or household member; 2nd conviction within 5 yrs of 1st conviction</v>
      </c>
      <c r="O928" s="10" t="str">
        <f t="shared" si="3"/>
        <v>Domestic Battery</v>
      </c>
    </row>
    <row r="929">
      <c r="A929" s="7" t="s">
        <v>1751</v>
      </c>
      <c r="B929" s="8" t="s">
        <v>1749</v>
      </c>
      <c r="C929" s="8" t="s">
        <v>1185</v>
      </c>
      <c r="D929" s="9"/>
      <c r="E929" s="9"/>
      <c r="F929" s="9"/>
      <c r="G929" s="8" t="s">
        <v>24</v>
      </c>
      <c r="H929" s="9"/>
      <c r="I929" s="9"/>
      <c r="N929" s="10" t="str">
        <f t="shared" si="2"/>
        <v>21-5414(a)(1) - Domestic Battery; Knowingly or recklessly causing bodily harm; 3rd or subs. within 5 yrs</v>
      </c>
      <c r="O929" s="10" t="str">
        <f t="shared" si="3"/>
        <v>Domestic Battery</v>
      </c>
    </row>
    <row r="930">
      <c r="A930" s="7" t="s">
        <v>1752</v>
      </c>
      <c r="B930" s="8" t="s">
        <v>1753</v>
      </c>
      <c r="C930" s="8" t="s">
        <v>18</v>
      </c>
      <c r="D930" s="8" t="s">
        <v>18</v>
      </c>
      <c r="E930" s="8" t="s">
        <v>19</v>
      </c>
      <c r="F930" s="8" t="s">
        <v>20</v>
      </c>
      <c r="G930" s="8" t="s">
        <v>21</v>
      </c>
      <c r="H930" s="9"/>
      <c r="I930" s="9"/>
      <c r="J930" s="10">
        <f t="shared" ref="J930:M930" si="599">ifs(OR($H930="R",$I930="N"),"N/A",OR(C930="A",C930="B",C930="C",C930="U"),3,TRUE,"FLAG")</f>
        <v>3</v>
      </c>
      <c r="K930" s="10">
        <f t="shared" si="599"/>
        <v>3</v>
      </c>
      <c r="L930" s="10">
        <f t="shared" si="599"/>
        <v>3</v>
      </c>
      <c r="M930" s="10" t="str">
        <f t="shared" si="599"/>
        <v>FLAG</v>
      </c>
      <c r="N930" s="10" t="str">
        <f t="shared" si="2"/>
        <v>24-126(a) - Drainage &amp; Levees; Unlawful to construct fills and levees without prior approval of chief engineer</v>
      </c>
      <c r="O930" s="10" t="str">
        <f t="shared" si="3"/>
        <v>Drainage &amp; Levees</v>
      </c>
    </row>
    <row r="931">
      <c r="A931" s="7" t="s">
        <v>1754</v>
      </c>
      <c r="B931" s="8" t="s">
        <v>1755</v>
      </c>
      <c r="C931" s="8" t="s">
        <v>18</v>
      </c>
      <c r="D931" s="8" t="s">
        <v>18</v>
      </c>
      <c r="E931" s="8" t="s">
        <v>19</v>
      </c>
      <c r="F931" s="8" t="s">
        <v>20</v>
      </c>
      <c r="G931" s="8" t="s">
        <v>21</v>
      </c>
      <c r="H931" s="9"/>
      <c r="I931" s="9"/>
      <c r="J931" s="10">
        <f t="shared" ref="J931:M931" si="600">ifs(OR($H931="R",$I931="N"),"N/A",OR(C931="A",C931="B",C931="C",C931="U"),3,TRUE,"FLAG")</f>
        <v>3</v>
      </c>
      <c r="K931" s="10">
        <f t="shared" si="600"/>
        <v>3</v>
      </c>
      <c r="L931" s="10">
        <f t="shared" si="600"/>
        <v>3</v>
      </c>
      <c r="M931" s="10" t="str">
        <f t="shared" si="600"/>
        <v>FLAG</v>
      </c>
      <c r="N931" s="10" t="str">
        <f t="shared" si="2"/>
        <v>24-455 - Drainage Districts within Counties or Cities; Failure of director to perform duty</v>
      </c>
      <c r="O931" s="10" t="str">
        <f t="shared" si="3"/>
        <v>Drainage Districts within Counties or Cities</v>
      </c>
    </row>
    <row r="932">
      <c r="A932" s="7" t="s">
        <v>1756</v>
      </c>
      <c r="B932" s="8" t="s">
        <v>1757</v>
      </c>
      <c r="C932" s="8" t="s">
        <v>18</v>
      </c>
      <c r="D932" s="8" t="s">
        <v>18</v>
      </c>
      <c r="E932" s="8" t="s">
        <v>19</v>
      </c>
      <c r="F932" s="8" t="s">
        <v>20</v>
      </c>
      <c r="G932" s="8" t="s">
        <v>21</v>
      </c>
      <c r="H932" s="9"/>
      <c r="I932" s="9"/>
      <c r="J932" s="10">
        <f t="shared" ref="J932:M932" si="601">ifs(OR($H932="R",$I932="N"),"N/A",OR(C932="A",C932="B",C932="C",C932="U"),3,TRUE,"FLAG")</f>
        <v>3</v>
      </c>
      <c r="K932" s="10">
        <f t="shared" si="601"/>
        <v>3</v>
      </c>
      <c r="L932" s="10">
        <f t="shared" si="601"/>
        <v>3</v>
      </c>
      <c r="M932" s="10" t="str">
        <f t="shared" si="601"/>
        <v>FLAG</v>
      </c>
      <c r="N932" s="10" t="str">
        <f t="shared" si="2"/>
        <v>24-473 - Drainage Districts within Counties or Cities; Interfering with possession of appropriated property; removal from property</v>
      </c>
      <c r="O932" s="10" t="str">
        <f t="shared" si="3"/>
        <v>Drainage Districts within Counties or Cities</v>
      </c>
    </row>
    <row r="933">
      <c r="A933" s="7" t="s">
        <v>1758</v>
      </c>
      <c r="B933" s="8" t="s">
        <v>1759</v>
      </c>
      <c r="C933" s="8" t="s">
        <v>18</v>
      </c>
      <c r="D933" s="8" t="s">
        <v>18</v>
      </c>
      <c r="E933" s="8" t="s">
        <v>19</v>
      </c>
      <c r="F933" s="8" t="s">
        <v>20</v>
      </c>
      <c r="G933" s="8" t="s">
        <v>21</v>
      </c>
      <c r="H933" s="9"/>
      <c r="I933" s="9"/>
      <c r="J933" s="10">
        <f t="shared" ref="J933:M933" si="602">ifs(OR($H933="R",$I933="N"),"N/A",OR(C933="A",C933="B",C933="C",C933="U"),3,TRUE,"FLAG")</f>
        <v>3</v>
      </c>
      <c r="K933" s="10">
        <f t="shared" si="602"/>
        <v>3</v>
      </c>
      <c r="L933" s="10">
        <f t="shared" si="602"/>
        <v>3</v>
      </c>
      <c r="M933" s="10" t="str">
        <f t="shared" si="602"/>
        <v>FLAG</v>
      </c>
      <c r="N933" s="10" t="str">
        <f t="shared" si="2"/>
        <v>24-456 - Drainage Districts within Counties or Cities; Wrongfully fill up, cut, injure, destroy or in any manner impair the usefulness of any drain, levee or other work constructed under the provisions of this act</v>
      </c>
      <c r="O933" s="10" t="str">
        <f t="shared" si="3"/>
        <v>Drainage Districts within Counties or Cities</v>
      </c>
    </row>
    <row r="934">
      <c r="A934" s="7" t="s">
        <v>1760</v>
      </c>
      <c r="B934" s="8" t="s">
        <v>1761</v>
      </c>
      <c r="C934" s="8" t="s">
        <v>18</v>
      </c>
      <c r="D934" s="8" t="s">
        <v>18</v>
      </c>
      <c r="E934" s="8" t="s">
        <v>19</v>
      </c>
      <c r="F934" s="8" t="s">
        <v>20</v>
      </c>
      <c r="G934" s="8" t="s">
        <v>21</v>
      </c>
      <c r="H934" s="9"/>
      <c r="I934" s="9"/>
      <c r="J934" s="10">
        <f t="shared" ref="J934:M934" si="603">ifs(OR($H934="R",$I934="N"),"N/A",OR(C934="A",C934="B",C934="C",C934="U"),3,TRUE,"FLAG")</f>
        <v>3</v>
      </c>
      <c r="K934" s="10">
        <f t="shared" si="603"/>
        <v>3</v>
      </c>
      <c r="L934" s="10">
        <f t="shared" si="603"/>
        <v>3</v>
      </c>
      <c r="M934" s="10" t="str">
        <f t="shared" si="603"/>
        <v>FLAG</v>
      </c>
      <c r="N934" s="10" t="str">
        <f t="shared" si="2"/>
        <v>24-636 - Drainage in One or More Counties; Willfully obstruct or injure any ditch, drain, or watercourse, or damage or destroy any dike or other work constructed under the provisions of this act</v>
      </c>
      <c r="O934" s="10" t="str">
        <f t="shared" si="3"/>
        <v>Drainage in One or More Counties</v>
      </c>
    </row>
    <row r="935">
      <c r="A935" s="7" t="s">
        <v>1762</v>
      </c>
      <c r="B935" s="8" t="s">
        <v>1763</v>
      </c>
      <c r="C935" s="8" t="s">
        <v>18</v>
      </c>
      <c r="D935" s="8" t="s">
        <v>18</v>
      </c>
      <c r="E935" s="8" t="s">
        <v>19</v>
      </c>
      <c r="F935" s="8" t="s">
        <v>20</v>
      </c>
      <c r="G935" s="8" t="s">
        <v>21</v>
      </c>
      <c r="H935" s="9"/>
      <c r="I935" s="9"/>
      <c r="J935" s="10">
        <f t="shared" ref="J935:M935" si="604">ifs(OR($H935="R",$I935="N"),"N/A",OR(C935="A",C935="B",C935="C",C935="U"),3,TRUE,"FLAG")</f>
        <v>3</v>
      </c>
      <c r="K935" s="10">
        <f t="shared" si="604"/>
        <v>3</v>
      </c>
      <c r="L935" s="10">
        <f t="shared" si="604"/>
        <v>3</v>
      </c>
      <c r="M935" s="10" t="str">
        <f t="shared" si="604"/>
        <v>FLAG</v>
      </c>
      <c r="N935" s="10" t="str">
        <f t="shared" si="2"/>
        <v>24-307 - Drainage of Swamps, Bottoms or Lowlands; Obstructing ditch, drain or stream</v>
      </c>
      <c r="O935" s="10" t="str">
        <f t="shared" si="3"/>
        <v>Drainage of Swamps, Bottoms or Lowlands</v>
      </c>
    </row>
    <row r="936">
      <c r="A936" s="7" t="s">
        <v>1764</v>
      </c>
      <c r="B936" s="8" t="s">
        <v>1765</v>
      </c>
      <c r="C936" s="8" t="s">
        <v>18</v>
      </c>
      <c r="D936" s="8" t="s">
        <v>18</v>
      </c>
      <c r="E936" s="8" t="s">
        <v>19</v>
      </c>
      <c r="F936" s="8" t="s">
        <v>20</v>
      </c>
      <c r="G936" s="8" t="s">
        <v>21</v>
      </c>
      <c r="H936" s="9"/>
      <c r="I936" s="9"/>
      <c r="J936" s="10">
        <f t="shared" ref="J936:M936" si="605">ifs(OR($H936="R",$I936="N"),"N/A",OR(C936="A",C936="B",C936="C",C936="U"),3,TRUE,"FLAG")</f>
        <v>3</v>
      </c>
      <c r="K936" s="10">
        <f t="shared" si="605"/>
        <v>3</v>
      </c>
      <c r="L936" s="10">
        <f t="shared" si="605"/>
        <v>3</v>
      </c>
      <c r="M936" s="10" t="str">
        <f t="shared" si="605"/>
        <v>FLAG</v>
      </c>
      <c r="N936" s="10" t="str">
        <f t="shared" si="2"/>
        <v>24-715 - Drainage on Petition to Court; Willfully obstruct or injure or destroy any ditch or drain constructed under the provisions of this act</v>
      </c>
      <c r="O936" s="10" t="str">
        <f t="shared" si="3"/>
        <v>Drainage on Petition to Court</v>
      </c>
    </row>
    <row r="937">
      <c r="A937" s="7" t="s">
        <v>1766</v>
      </c>
      <c r="B937" s="8" t="s">
        <v>1767</v>
      </c>
      <c r="C937" s="8" t="s">
        <v>27</v>
      </c>
      <c r="D937" s="8" t="s">
        <v>28</v>
      </c>
      <c r="E937" s="8" t="s">
        <v>19</v>
      </c>
      <c r="F937" s="8" t="s">
        <v>20</v>
      </c>
      <c r="G937" s="8" t="s">
        <v>21</v>
      </c>
      <c r="H937" s="9"/>
      <c r="I937" s="9"/>
      <c r="J937" s="10">
        <f t="shared" ref="J937:M937" si="606">ifs(OR($H937="R",$I937="N"),"N/A",OR(C937="A",C937="B",C937="C",C937="U"),3,TRUE,"FLAG")</f>
        <v>3</v>
      </c>
      <c r="K937" s="10">
        <f t="shared" si="606"/>
        <v>3</v>
      </c>
      <c r="L937" s="10">
        <f t="shared" si="606"/>
        <v>3</v>
      </c>
      <c r="M937" s="10" t="str">
        <f t="shared" si="606"/>
        <v>FLAG</v>
      </c>
      <c r="N937" s="10" t="str">
        <f t="shared" si="2"/>
        <v>8-260(a)(8) - Drivers' Licenses; Display or possess any duplicated/photographed DL</v>
      </c>
      <c r="O937" s="10" t="str">
        <f t="shared" si="3"/>
        <v>Drivers' Licenses</v>
      </c>
    </row>
    <row r="938">
      <c r="A938" s="7" t="s">
        <v>1768</v>
      </c>
      <c r="B938" s="8" t="s">
        <v>1769</v>
      </c>
      <c r="C938" s="8" t="s">
        <v>28</v>
      </c>
      <c r="D938" s="8" t="s">
        <v>19</v>
      </c>
      <c r="E938" s="8" t="s">
        <v>19</v>
      </c>
      <c r="F938" s="8" t="s">
        <v>20</v>
      </c>
      <c r="G938" s="8" t="s">
        <v>21</v>
      </c>
      <c r="H938" s="9"/>
      <c r="I938" s="9"/>
      <c r="J938" s="10">
        <f t="shared" ref="J938:M938" si="607">ifs(OR($H938="R",$I938="N"),"N/A",OR(C938="A",C938="B",C938="C",C938="U"),3,TRUE,"FLAG")</f>
        <v>3</v>
      </c>
      <c r="K938" s="10">
        <f t="shared" si="607"/>
        <v>3</v>
      </c>
      <c r="L938" s="10">
        <f t="shared" si="607"/>
        <v>3</v>
      </c>
      <c r="M938" s="10" t="str">
        <f t="shared" si="607"/>
        <v>FLAG</v>
      </c>
      <c r="N938" s="10" t="str">
        <f t="shared" si="2"/>
        <v>8-260(a)(1) - Drivers' Licenses; Display or possess fictitious or fraudulently altered DL</v>
      </c>
      <c r="O938" s="10" t="str">
        <f t="shared" si="3"/>
        <v>Drivers' Licenses</v>
      </c>
    </row>
    <row r="939">
      <c r="A939" s="7" t="s">
        <v>1770</v>
      </c>
      <c r="B939" s="8" t="s">
        <v>1771</v>
      </c>
      <c r="C939" s="8" t="s">
        <v>28</v>
      </c>
      <c r="D939" s="8" t="s">
        <v>19</v>
      </c>
      <c r="E939" s="8" t="s">
        <v>19</v>
      </c>
      <c r="F939" s="8" t="s">
        <v>20</v>
      </c>
      <c r="G939" s="8" t="s">
        <v>21</v>
      </c>
      <c r="H939" s="9"/>
      <c r="I939" s="9"/>
      <c r="J939" s="10">
        <f t="shared" ref="J939:M939" si="608">ifs(OR($H939="R",$I939="N"),"N/A",OR(C939="A",C939="B",C939="C",C939="U"),3,TRUE,"FLAG")</f>
        <v>3</v>
      </c>
      <c r="K939" s="10">
        <f t="shared" si="608"/>
        <v>3</v>
      </c>
      <c r="L939" s="10">
        <f t="shared" si="608"/>
        <v>3</v>
      </c>
      <c r="M939" s="10" t="str">
        <f t="shared" si="608"/>
        <v>FLAG</v>
      </c>
      <c r="N939" s="10" t="str">
        <f t="shared" si="2"/>
        <v>8-260(a)(9) - Drivers' Licenses; Display/ permit display of canceled/revoked/suspended DL</v>
      </c>
      <c r="O939" s="10" t="str">
        <f t="shared" si="3"/>
        <v>Drivers' Licenses</v>
      </c>
    </row>
    <row r="940">
      <c r="A940" s="7" t="s">
        <v>1772</v>
      </c>
      <c r="B940" s="8" t="s">
        <v>1773</v>
      </c>
      <c r="C940" s="8" t="s">
        <v>28</v>
      </c>
      <c r="D940" s="8" t="s">
        <v>19</v>
      </c>
      <c r="E940" s="8" t="s">
        <v>19</v>
      </c>
      <c r="F940" s="8" t="s">
        <v>20</v>
      </c>
      <c r="G940" s="8" t="s">
        <v>21</v>
      </c>
      <c r="H940" s="9"/>
      <c r="I940" s="9"/>
      <c r="J940" s="10">
        <f t="shared" ref="J940:M940" si="609">ifs(OR($H940="R",$I940="N"),"N/A",OR(C940="A",C940="B",C940="C",C940="U"),3,TRUE,"FLAG")</f>
        <v>3</v>
      </c>
      <c r="K940" s="10">
        <f t="shared" si="609"/>
        <v>3</v>
      </c>
      <c r="L940" s="10">
        <f t="shared" si="609"/>
        <v>3</v>
      </c>
      <c r="M940" s="10" t="str">
        <f t="shared" si="609"/>
        <v>FLAG</v>
      </c>
      <c r="N940" s="10" t="str">
        <f t="shared" si="2"/>
        <v>8-260(c)(4) - Drivers' Licenses; Display/possess a fictitious/fraudulently altered DL by one &lt; 21 for the purchase of any alcoholic liquor or cereal malt beverage; 1st conviction</v>
      </c>
      <c r="O940" s="10" t="str">
        <f t="shared" si="3"/>
        <v>Drivers' Licenses</v>
      </c>
    </row>
    <row r="941">
      <c r="A941" s="7" t="s">
        <v>1774</v>
      </c>
      <c r="B941" s="8" t="s">
        <v>1773</v>
      </c>
      <c r="C941" s="8" t="s">
        <v>27</v>
      </c>
      <c r="D941" s="8" t="s">
        <v>28</v>
      </c>
      <c r="E941" s="8" t="s">
        <v>19</v>
      </c>
      <c r="F941" s="8" t="s">
        <v>20</v>
      </c>
      <c r="G941" s="8" t="s">
        <v>21</v>
      </c>
      <c r="H941" s="9"/>
      <c r="I941" s="9"/>
      <c r="J941" s="10">
        <f t="shared" ref="J941:M941" si="610">ifs(OR($H941="R",$I941="N"),"N/A",OR(C941="A",C941="B",C941="C",C941="U"),3,TRUE,"FLAG")</f>
        <v>3</v>
      </c>
      <c r="K941" s="10">
        <f t="shared" si="610"/>
        <v>3</v>
      </c>
      <c r="L941" s="10">
        <f t="shared" si="610"/>
        <v>3</v>
      </c>
      <c r="M941" s="10" t="str">
        <f t="shared" si="610"/>
        <v>FLAG</v>
      </c>
      <c r="N941" s="10" t="str">
        <f t="shared" si="2"/>
        <v>8-260(c)(4) - Drivers' Licenses; Display/possess a fictitious/fraudulently altered DL by one &lt; 21 for the purchase of any alcoholic liquor or cereal malt beverage; 2nd conviction</v>
      </c>
      <c r="O941" s="10" t="str">
        <f t="shared" si="3"/>
        <v>Drivers' Licenses</v>
      </c>
    </row>
    <row r="942">
      <c r="A942" s="7" t="s">
        <v>1775</v>
      </c>
      <c r="B942" s="8" t="s">
        <v>1776</v>
      </c>
      <c r="C942" s="8" t="s">
        <v>27</v>
      </c>
      <c r="D942" s="8" t="s">
        <v>28</v>
      </c>
      <c r="E942" s="8" t="s">
        <v>19</v>
      </c>
      <c r="F942" s="8" t="s">
        <v>20</v>
      </c>
      <c r="G942" s="8" t="s">
        <v>21</v>
      </c>
      <c r="H942" s="9"/>
      <c r="I942" s="9"/>
      <c r="J942" s="10">
        <f t="shared" ref="J942:M942" si="611">ifs(OR($H942="R",$I942="N"),"N/A",OR(C942="A",C942="B",C942="C",C942="U"),3,TRUE,"FLAG")</f>
        <v>3</v>
      </c>
      <c r="K942" s="10">
        <f t="shared" si="611"/>
        <v>3</v>
      </c>
      <c r="L942" s="10">
        <f t="shared" si="611"/>
        <v>3</v>
      </c>
      <c r="M942" s="10" t="str">
        <f t="shared" si="611"/>
        <v>FLAG</v>
      </c>
      <c r="N942" s="10" t="str">
        <f t="shared" si="2"/>
        <v>8-260(a)(3) - Drivers' Licenses; Display/represent as one's own, any DL not issued to same person</v>
      </c>
      <c r="O942" s="10" t="str">
        <f t="shared" si="3"/>
        <v>Drivers' Licenses</v>
      </c>
    </row>
    <row r="943">
      <c r="A943" s="7" t="s">
        <v>1777</v>
      </c>
      <c r="B943" s="8" t="s">
        <v>1778</v>
      </c>
      <c r="C943" s="8" t="s">
        <v>27</v>
      </c>
      <c r="D943" s="8" t="s">
        <v>28</v>
      </c>
      <c r="E943" s="8" t="s">
        <v>19</v>
      </c>
      <c r="F943" s="8" t="s">
        <v>20</v>
      </c>
      <c r="G943" s="8" t="s">
        <v>21</v>
      </c>
      <c r="H943" s="9"/>
      <c r="I943" s="9"/>
      <c r="J943" s="10">
        <f t="shared" ref="J943:M943" si="612">ifs(OR($H943="R",$I943="N"),"N/A",OR(C943="A",C943="B",C943="C",C943="U"),3,TRUE,"FLAG")</f>
        <v>3</v>
      </c>
      <c r="K943" s="10">
        <f t="shared" si="612"/>
        <v>3</v>
      </c>
      <c r="L943" s="10">
        <f t="shared" si="612"/>
        <v>3</v>
      </c>
      <c r="M943" s="10" t="str">
        <f t="shared" si="612"/>
        <v>FLAG</v>
      </c>
      <c r="N943" s="10" t="str">
        <f t="shared" si="2"/>
        <v>8-287 - Drivers' Licenses; Driving while a habitual violator; 3rd and subs.</v>
      </c>
      <c r="O943" s="10" t="str">
        <f t="shared" si="3"/>
        <v>Drivers' Licenses</v>
      </c>
    </row>
    <row r="944">
      <c r="A944" s="7" t="s">
        <v>1779</v>
      </c>
      <c r="B944" s="8" t="s">
        <v>1780</v>
      </c>
      <c r="C944" s="8" t="s">
        <v>28</v>
      </c>
      <c r="D944" s="8" t="s">
        <v>19</v>
      </c>
      <c r="E944" s="8" t="s">
        <v>19</v>
      </c>
      <c r="F944" s="8" t="s">
        <v>20</v>
      </c>
      <c r="G944" s="8" t="s">
        <v>21</v>
      </c>
      <c r="H944" s="9"/>
      <c r="I944" s="9"/>
      <c r="J944" s="10">
        <f t="shared" ref="J944:M944" si="613">ifs(OR($H944="R",$I944="N"),"N/A",OR(C944="A",C944="B",C944="C",C944="U"),3,TRUE,"FLAG")</f>
        <v>3</v>
      </c>
      <c r="K944" s="10">
        <f t="shared" si="613"/>
        <v>3</v>
      </c>
      <c r="L944" s="10">
        <f t="shared" si="613"/>
        <v>3</v>
      </c>
      <c r="M944" s="10" t="str">
        <f t="shared" si="613"/>
        <v>FLAG</v>
      </c>
      <c r="N944" s="10" t="str">
        <f t="shared" si="2"/>
        <v>8-262(a)(1) - Drivers' Licenses; Driving while suspended - 1st conviction</v>
      </c>
      <c r="O944" s="10" t="str">
        <f t="shared" si="3"/>
        <v>Drivers' Licenses</v>
      </c>
    </row>
    <row r="945">
      <c r="A945" s="7" t="s">
        <v>1781</v>
      </c>
      <c r="B945" s="8" t="s">
        <v>1780</v>
      </c>
      <c r="C945" s="8" t="s">
        <v>27</v>
      </c>
      <c r="D945" s="8" t="s">
        <v>28</v>
      </c>
      <c r="E945" s="8" t="s">
        <v>19</v>
      </c>
      <c r="F945" s="8" t="s">
        <v>20</v>
      </c>
      <c r="G945" s="8" t="s">
        <v>21</v>
      </c>
      <c r="H945" s="9"/>
      <c r="I945" s="9"/>
      <c r="J945" s="10">
        <f t="shared" ref="J945:M945" si="614">ifs(OR($H945="R",$I945="N"),"N/A",OR(C945="A",C945="B",C945="C",C945="U"),3,TRUE,"FLAG")</f>
        <v>3</v>
      </c>
      <c r="K945" s="10">
        <f t="shared" si="614"/>
        <v>3</v>
      </c>
      <c r="L945" s="10">
        <f t="shared" si="614"/>
        <v>3</v>
      </c>
      <c r="M945" s="10" t="str">
        <f t="shared" si="614"/>
        <v>FLAG</v>
      </c>
      <c r="N945" s="10" t="str">
        <f t="shared" si="2"/>
        <v>8-262(a)(1) - Drivers' Licenses; Driving while suspended - 2nd or subs. conviction</v>
      </c>
      <c r="O945" s="10" t="str">
        <f t="shared" si="3"/>
        <v>Drivers' Licenses</v>
      </c>
    </row>
    <row r="946">
      <c r="A946" s="7" t="s">
        <v>1782</v>
      </c>
      <c r="B946" s="8" t="s">
        <v>1780</v>
      </c>
      <c r="C946" s="8" t="s">
        <v>27</v>
      </c>
      <c r="D946" s="8" t="s">
        <v>28</v>
      </c>
      <c r="E946" s="8" t="s">
        <v>19</v>
      </c>
      <c r="F946" s="8" t="s">
        <v>20</v>
      </c>
      <c r="G946" s="8" t="s">
        <v>21</v>
      </c>
      <c r="H946" s="9"/>
      <c r="I946" s="9"/>
      <c r="J946" s="10">
        <f t="shared" ref="J946:M946" si="615">ifs(OR($H946="R",$I946="N"),"N/A",OR(C946="A",C946="B",C946="C",C946="U"),3,TRUE,"FLAG")</f>
        <v>3</v>
      </c>
      <c r="K946" s="10">
        <f t="shared" si="615"/>
        <v>3</v>
      </c>
      <c r="L946" s="10">
        <f t="shared" si="615"/>
        <v>3</v>
      </c>
      <c r="M946" s="10" t="str">
        <f t="shared" si="615"/>
        <v>FLAG</v>
      </c>
      <c r="N946" s="10" t="str">
        <f t="shared" si="2"/>
        <v>8-262(a)(1) - Drivers' Licenses; Driving while suspended - 3rd or subs. conviction; additional penalties applied</v>
      </c>
      <c r="O946" s="10" t="str">
        <f t="shared" si="3"/>
        <v>Drivers' Licenses</v>
      </c>
    </row>
    <row r="947">
      <c r="A947" s="7" t="s">
        <v>1783</v>
      </c>
      <c r="B947" s="8" t="s">
        <v>1784</v>
      </c>
      <c r="C947" s="8" t="s">
        <v>18</v>
      </c>
      <c r="D947" s="8" t="s">
        <v>18</v>
      </c>
      <c r="E947" s="8" t="s">
        <v>19</v>
      </c>
      <c r="F947" s="8" t="s">
        <v>20</v>
      </c>
      <c r="G947" s="8" t="s">
        <v>21</v>
      </c>
      <c r="H947" s="9"/>
      <c r="I947" s="9"/>
      <c r="J947" s="10">
        <f t="shared" ref="J947:M947" si="616">ifs(OR($H947="R",$I947="N"),"N/A",OR(C947="A",C947="B",C947="C",C947="U"),3,TRUE,"FLAG")</f>
        <v>3</v>
      </c>
      <c r="K947" s="10">
        <f t="shared" si="616"/>
        <v>3</v>
      </c>
      <c r="L947" s="10">
        <f t="shared" si="616"/>
        <v>3</v>
      </c>
      <c r="M947" s="10" t="str">
        <f t="shared" si="616"/>
        <v>FLAG</v>
      </c>
      <c r="N947" s="10" t="str">
        <f t="shared" si="2"/>
        <v>8-265 - Drivers' Licenses; Employing person to operate a vehicle such person is not licensed to operate</v>
      </c>
      <c r="O947" s="10" t="str">
        <f t="shared" si="3"/>
        <v>Drivers' Licenses</v>
      </c>
    </row>
    <row r="948">
      <c r="A948" s="7" t="s">
        <v>1785</v>
      </c>
      <c r="B948" s="8" t="s">
        <v>1786</v>
      </c>
      <c r="C948" s="8" t="s">
        <v>27</v>
      </c>
      <c r="D948" s="8" t="s">
        <v>28</v>
      </c>
      <c r="E948" s="8" t="s">
        <v>19</v>
      </c>
      <c r="F948" s="8" t="s">
        <v>20</v>
      </c>
      <c r="G948" s="8" t="s">
        <v>21</v>
      </c>
      <c r="H948" s="9"/>
      <c r="I948" s="9"/>
      <c r="J948" s="10">
        <f t="shared" ref="J948:M948" si="617">ifs(OR($H948="R",$I948="N"),"N/A",OR(C948="A",C948="B",C948="C",C948="U"),3,TRUE,"FLAG")</f>
        <v>3</v>
      </c>
      <c r="K948" s="10">
        <f t="shared" si="617"/>
        <v>3</v>
      </c>
      <c r="L948" s="10">
        <f t="shared" si="617"/>
        <v>3</v>
      </c>
      <c r="M948" s="10" t="str">
        <f t="shared" si="617"/>
        <v>FLAG</v>
      </c>
      <c r="N948" s="10" t="str">
        <f t="shared" si="2"/>
        <v>8-260(a)(4) - Drivers' Licenses; Fail / refuse to surrender any suspended, revoked, or cancelled DL upon lawful demand</v>
      </c>
      <c r="O948" s="10" t="str">
        <f t="shared" si="3"/>
        <v>Drivers' Licenses</v>
      </c>
    </row>
    <row r="949">
      <c r="A949" s="7" t="s">
        <v>1787</v>
      </c>
      <c r="B949" s="8" t="s">
        <v>1778</v>
      </c>
      <c r="C949" s="8" t="s">
        <v>27</v>
      </c>
      <c r="D949" s="8" t="s">
        <v>28</v>
      </c>
      <c r="E949" s="8" t="s">
        <v>19</v>
      </c>
      <c r="F949" s="8" t="s">
        <v>20</v>
      </c>
      <c r="G949" s="8" t="s">
        <v>21</v>
      </c>
      <c r="H949" s="9"/>
      <c r="I949" s="9"/>
      <c r="J949" s="10">
        <f t="shared" ref="J949:M949" si="618">ifs(OR($H949="R",$I949="N"),"N/A",OR(C949="A",C949="B",C949="C",C949="U"),3,TRUE,"FLAG")</f>
        <v>3</v>
      </c>
      <c r="K949" s="10">
        <f t="shared" si="618"/>
        <v>3</v>
      </c>
      <c r="L949" s="10">
        <f t="shared" si="618"/>
        <v>3</v>
      </c>
      <c r="M949" s="10" t="str">
        <f t="shared" si="618"/>
        <v>FLAG</v>
      </c>
      <c r="N949" s="10" t="str">
        <f t="shared" si="2"/>
        <v>8-287 - Drivers' Licenses; Habitual violators; driving while a habitual violator</v>
      </c>
      <c r="O949" s="10" t="str">
        <f t="shared" si="3"/>
        <v>Drivers' Licenses</v>
      </c>
    </row>
    <row r="950">
      <c r="A950" s="7" t="s">
        <v>1788</v>
      </c>
      <c r="B950" s="8" t="s">
        <v>1789</v>
      </c>
      <c r="C950" s="8" t="s">
        <v>27</v>
      </c>
      <c r="D950" s="8" t="s">
        <v>28</v>
      </c>
      <c r="E950" s="8" t="s">
        <v>19</v>
      </c>
      <c r="F950" s="8" t="s">
        <v>20</v>
      </c>
      <c r="G950" s="8" t="s">
        <v>21</v>
      </c>
      <c r="H950" s="9"/>
      <c r="I950" s="9"/>
      <c r="J950" s="10">
        <f t="shared" ref="J950:M950" si="619">ifs(OR($H950="R",$I950="N"),"N/A",OR(C950="A",C950="B",C950="C",C950="U"),3,TRUE,"FLAG")</f>
        <v>3</v>
      </c>
      <c r="K950" s="10">
        <f t="shared" si="619"/>
        <v>3</v>
      </c>
      <c r="L950" s="10">
        <f t="shared" si="619"/>
        <v>3</v>
      </c>
      <c r="M950" s="10" t="str">
        <f t="shared" si="619"/>
        <v>FLAG</v>
      </c>
      <c r="N950" s="10" t="str">
        <f t="shared" si="2"/>
        <v>8-260(a)(2) - Drivers' Licenses; Lend DL to another/knowingly permit use by another</v>
      </c>
      <c r="O950" s="10" t="str">
        <f t="shared" si="3"/>
        <v>Drivers' Licenses</v>
      </c>
    </row>
    <row r="951">
      <c r="A951" s="7" t="s">
        <v>1790</v>
      </c>
      <c r="B951" s="8" t="s">
        <v>1791</v>
      </c>
      <c r="C951" s="8" t="s">
        <v>28</v>
      </c>
      <c r="D951" s="8" t="s">
        <v>19</v>
      </c>
      <c r="E951" s="8" t="s">
        <v>19</v>
      </c>
      <c r="F951" s="8" t="s">
        <v>20</v>
      </c>
      <c r="G951" s="8" t="s">
        <v>21</v>
      </c>
      <c r="H951" s="9"/>
      <c r="I951" s="9"/>
      <c r="J951" s="10">
        <f t="shared" ref="J951:M951" si="620">ifs(OR($H951="R",$I951="N"),"N/A",OR(C951="A",C951="B",C951="C",C951="U"),3,TRUE,"FLAG")</f>
        <v>3</v>
      </c>
      <c r="K951" s="10">
        <f t="shared" si="620"/>
        <v>3</v>
      </c>
      <c r="L951" s="10">
        <f t="shared" si="620"/>
        <v>3</v>
      </c>
      <c r="M951" s="10" t="str">
        <f t="shared" si="620"/>
        <v>FLAG</v>
      </c>
      <c r="N951" s="10" t="str">
        <f t="shared" si="2"/>
        <v>8-260(c)(2) - Drivers' Licenses; Lend DL to person &lt; 21 to consume/purchase cereal malt beverage; 1st conviction</v>
      </c>
      <c r="O951" s="10" t="str">
        <f t="shared" si="3"/>
        <v>Drivers' Licenses</v>
      </c>
    </row>
    <row r="952">
      <c r="A952" s="7" t="s">
        <v>1792</v>
      </c>
      <c r="B952" s="8" t="s">
        <v>1791</v>
      </c>
      <c r="C952" s="8" t="s">
        <v>27</v>
      </c>
      <c r="D952" s="8" t="s">
        <v>28</v>
      </c>
      <c r="E952" s="8" t="s">
        <v>19</v>
      </c>
      <c r="F952" s="8" t="s">
        <v>20</v>
      </c>
      <c r="G952" s="8" t="s">
        <v>21</v>
      </c>
      <c r="H952" s="9"/>
      <c r="I952" s="9"/>
      <c r="J952" s="10">
        <f t="shared" ref="J952:M952" si="621">ifs(OR($H952="R",$I952="N"),"N/A",OR(C952="A",C952="B",C952="C",C952="U"),3,TRUE,"FLAG")</f>
        <v>3</v>
      </c>
      <c r="K952" s="10">
        <f t="shared" si="621"/>
        <v>3</v>
      </c>
      <c r="L952" s="10">
        <f t="shared" si="621"/>
        <v>3</v>
      </c>
      <c r="M952" s="10" t="str">
        <f t="shared" si="621"/>
        <v>FLAG</v>
      </c>
      <c r="N952" s="10" t="str">
        <f t="shared" si="2"/>
        <v>8-260(c)(2) - Drivers' Licenses; Lend DL to person &lt; 21 to consume/purchase cereal malt beverage; 2nd conviction</v>
      </c>
      <c r="O952" s="10" t="str">
        <f t="shared" si="3"/>
        <v>Drivers' Licenses</v>
      </c>
    </row>
    <row r="953">
      <c r="A953" s="7" t="s">
        <v>1793</v>
      </c>
      <c r="B953" s="8" t="s">
        <v>1794</v>
      </c>
      <c r="C953" s="8" t="s">
        <v>28</v>
      </c>
      <c r="D953" s="8" t="s">
        <v>19</v>
      </c>
      <c r="E953" s="8" t="s">
        <v>19</v>
      </c>
      <c r="F953" s="8" t="s">
        <v>20</v>
      </c>
      <c r="G953" s="8" t="s">
        <v>21</v>
      </c>
      <c r="H953" s="9"/>
      <c r="I953" s="9"/>
      <c r="J953" s="10">
        <f t="shared" ref="J953:M953" si="622">ifs(OR($H953="R",$I953="N"),"N/A",OR(C953="A",C953="B",C953="C",C953="U"),3,TRUE,"FLAG")</f>
        <v>3</v>
      </c>
      <c r="K953" s="10">
        <f t="shared" si="622"/>
        <v>3</v>
      </c>
      <c r="L953" s="10">
        <f t="shared" si="622"/>
        <v>3</v>
      </c>
      <c r="M953" s="10" t="str">
        <f t="shared" si="622"/>
        <v>FLAG</v>
      </c>
      <c r="N953" s="10" t="str">
        <f t="shared" si="2"/>
        <v>8-260(c)(1) - Drivers' Licenses; Lend DL to person &lt; 21 to purchase alcohol; 1st conviction</v>
      </c>
      <c r="O953" s="10" t="str">
        <f t="shared" si="3"/>
        <v>Drivers' Licenses</v>
      </c>
    </row>
    <row r="954">
      <c r="A954" s="7" t="s">
        <v>1795</v>
      </c>
      <c r="B954" s="8" t="s">
        <v>1794</v>
      </c>
      <c r="C954" s="8" t="s">
        <v>27</v>
      </c>
      <c r="D954" s="8" t="s">
        <v>28</v>
      </c>
      <c r="E954" s="8" t="s">
        <v>19</v>
      </c>
      <c r="F954" s="8" t="s">
        <v>20</v>
      </c>
      <c r="G954" s="8" t="s">
        <v>21</v>
      </c>
      <c r="H954" s="9"/>
      <c r="I954" s="9"/>
      <c r="J954" s="10">
        <f t="shared" ref="J954:M954" si="623">ifs(OR($H954="R",$I954="N"),"N/A",OR(C954="A",C954="B",C954="C",C954="U"),3,TRUE,"FLAG")</f>
        <v>3</v>
      </c>
      <c r="K954" s="10">
        <f t="shared" si="623"/>
        <v>3</v>
      </c>
      <c r="L954" s="10">
        <f t="shared" si="623"/>
        <v>3</v>
      </c>
      <c r="M954" s="10" t="str">
        <f t="shared" si="623"/>
        <v>FLAG</v>
      </c>
      <c r="N954" s="10" t="str">
        <f t="shared" si="2"/>
        <v>8-260(c)(1) - Drivers' Licenses; Lend DL to person &lt; 21 to purchase alcohol; 2nd conviction</v>
      </c>
      <c r="O954" s="10" t="str">
        <f t="shared" si="3"/>
        <v>Drivers' Licenses</v>
      </c>
    </row>
    <row r="955">
      <c r="A955" s="7" t="s">
        <v>1796</v>
      </c>
      <c r="B955" s="8" t="s">
        <v>1797</v>
      </c>
      <c r="C955" s="8" t="s">
        <v>28</v>
      </c>
      <c r="D955" s="8" t="s">
        <v>19</v>
      </c>
      <c r="E955" s="8" t="s">
        <v>19</v>
      </c>
      <c r="F955" s="8" t="s">
        <v>20</v>
      </c>
      <c r="G955" s="8" t="s">
        <v>21</v>
      </c>
      <c r="H955" s="9"/>
      <c r="I955" s="9"/>
      <c r="J955" s="10">
        <f t="shared" ref="J955:M955" si="624">ifs(OR($H955="R",$I955="N"),"N/A",OR(C955="A",C955="B",C955="C",C955="U"),3,TRUE,"FLAG")</f>
        <v>3</v>
      </c>
      <c r="K955" s="10">
        <f t="shared" si="624"/>
        <v>3</v>
      </c>
      <c r="L955" s="10">
        <f t="shared" si="624"/>
        <v>3</v>
      </c>
      <c r="M955" s="10" t="str">
        <f t="shared" si="624"/>
        <v>FLAG</v>
      </c>
      <c r="N955" s="10" t="str">
        <f t="shared" si="2"/>
        <v>8-260(c)(3) - Drivers' Licenses; Lend DL, nondriver's ID card or other ID to wrongfully obtain a DL for another; 1st conviction</v>
      </c>
      <c r="O955" s="10" t="str">
        <f t="shared" si="3"/>
        <v>Drivers' Licenses</v>
      </c>
    </row>
    <row r="956">
      <c r="A956" s="7" t="s">
        <v>1798</v>
      </c>
      <c r="B956" s="8" t="s">
        <v>1797</v>
      </c>
      <c r="C956" s="8" t="s">
        <v>27</v>
      </c>
      <c r="D956" s="8" t="s">
        <v>28</v>
      </c>
      <c r="E956" s="8" t="s">
        <v>19</v>
      </c>
      <c r="F956" s="8" t="s">
        <v>20</v>
      </c>
      <c r="G956" s="8" t="s">
        <v>21</v>
      </c>
      <c r="H956" s="9"/>
      <c r="I956" s="9"/>
      <c r="J956" s="10">
        <f t="shared" ref="J956:M956" si="625">ifs(OR($H956="R",$I956="N"),"N/A",OR(C956="A",C956="B",C956="C",C956="U"),3,TRUE,"FLAG")</f>
        <v>3</v>
      </c>
      <c r="K956" s="10">
        <f t="shared" si="625"/>
        <v>3</v>
      </c>
      <c r="L956" s="10">
        <f t="shared" si="625"/>
        <v>3</v>
      </c>
      <c r="M956" s="10" t="str">
        <f t="shared" si="625"/>
        <v>FLAG</v>
      </c>
      <c r="N956" s="10" t="str">
        <f t="shared" si="2"/>
        <v>8-260(c)(3) - Drivers' Licenses; Lend DL, nondriver's ID card or other ID to wrongfully obtain a DL for another; 2nd conviction</v>
      </c>
      <c r="O956" s="10" t="str">
        <f t="shared" si="3"/>
        <v>Drivers' Licenses</v>
      </c>
    </row>
    <row r="957">
      <c r="A957" s="7" t="s">
        <v>1799</v>
      </c>
      <c r="B957" s="8" t="s">
        <v>1800</v>
      </c>
      <c r="C957" s="8">
        <v>7.0</v>
      </c>
      <c r="D957" s="8">
        <v>9.0</v>
      </c>
      <c r="E957" s="8">
        <v>9.0</v>
      </c>
      <c r="F957" s="8">
        <v>10.0</v>
      </c>
      <c r="G957" s="8" t="s">
        <v>21</v>
      </c>
      <c r="H957" s="9"/>
      <c r="I957" s="9"/>
      <c r="N957" s="10" t="str">
        <f t="shared" si="2"/>
        <v>8-261a - Drivers' Licenses; Make a false affidavit; penalty of perjury; made during a felony trial</v>
      </c>
      <c r="O957" s="10" t="str">
        <f t="shared" si="3"/>
        <v>Drivers' Licenses</v>
      </c>
    </row>
    <row r="958">
      <c r="A958" s="7" t="s">
        <v>1801</v>
      </c>
      <c r="B958" s="8" t="s">
        <v>1800</v>
      </c>
      <c r="C958" s="8">
        <v>9.0</v>
      </c>
      <c r="D958" s="8">
        <v>10.0</v>
      </c>
      <c r="E958" s="8">
        <v>10.0</v>
      </c>
      <c r="F958" s="8">
        <v>10.0</v>
      </c>
      <c r="G958" s="8" t="s">
        <v>21</v>
      </c>
      <c r="H958" s="9"/>
      <c r="I958" s="9"/>
      <c r="N958" s="10" t="str">
        <f t="shared" si="2"/>
        <v>8-261a - Drivers' Licenses; Make a false affidavit; penalty of perjury; made in a cause, matter or proceeding other than a felony trial</v>
      </c>
      <c r="O958" s="10" t="str">
        <f t="shared" si="3"/>
        <v>Drivers' Licenses</v>
      </c>
    </row>
    <row r="959">
      <c r="A959" s="7" t="s">
        <v>1802</v>
      </c>
      <c r="B959" s="8" t="s">
        <v>1803</v>
      </c>
      <c r="C959" s="8" t="s">
        <v>28</v>
      </c>
      <c r="D959" s="8" t="s">
        <v>19</v>
      </c>
      <c r="E959" s="8" t="s">
        <v>19</v>
      </c>
      <c r="F959" s="8" t="s">
        <v>20</v>
      </c>
      <c r="G959" s="8" t="s">
        <v>21</v>
      </c>
      <c r="H959" s="9"/>
      <c r="I959" s="9"/>
      <c r="J959" s="10">
        <f t="shared" ref="J959:M959" si="626">ifs(OR($H959="R",$I959="N"),"N/A",OR(C959="A",C959="B",C959="C",C959="U"),3,TRUE,"FLAG")</f>
        <v>3</v>
      </c>
      <c r="K959" s="10">
        <f t="shared" si="626"/>
        <v>3</v>
      </c>
      <c r="L959" s="10">
        <f t="shared" si="626"/>
        <v>3</v>
      </c>
      <c r="M959" s="10" t="str">
        <f t="shared" si="626"/>
        <v>FLAG</v>
      </c>
      <c r="N959" s="10" t="str">
        <f t="shared" si="2"/>
        <v>8-235(a) - Drivers' Licenses; Operating a motor vehicle on highway without driver's license</v>
      </c>
      <c r="O959" s="10" t="str">
        <f t="shared" si="3"/>
        <v>Drivers' Licenses</v>
      </c>
    </row>
    <row r="960">
      <c r="A960" s="7" t="s">
        <v>1804</v>
      </c>
      <c r="B960" s="8" t="s">
        <v>1805</v>
      </c>
      <c r="C960" s="8" t="s">
        <v>28</v>
      </c>
      <c r="D960" s="8" t="s">
        <v>19</v>
      </c>
      <c r="E960" s="8" t="s">
        <v>19</v>
      </c>
      <c r="F960" s="8" t="s">
        <v>20</v>
      </c>
      <c r="G960" s="8" t="s">
        <v>21</v>
      </c>
      <c r="H960" s="9"/>
      <c r="I960" s="9"/>
      <c r="J960" s="10">
        <f t="shared" ref="J960:M960" si="627">ifs(OR($H960="R",$I960="N"),"N/A",OR(C960="A",C960="B",C960="C",C960="U"),3,TRUE,"FLAG")</f>
        <v>3</v>
      </c>
      <c r="K960" s="10">
        <f t="shared" si="627"/>
        <v>3</v>
      </c>
      <c r="L960" s="10">
        <f t="shared" si="627"/>
        <v>3</v>
      </c>
      <c r="M960" s="10" t="str">
        <f t="shared" si="627"/>
        <v>FLAG</v>
      </c>
      <c r="N960" s="10" t="str">
        <f t="shared" si="2"/>
        <v>8-235(c) - Drivers' Licenses; Operating a motorcycle without class M driver's license</v>
      </c>
      <c r="O960" s="10" t="str">
        <f t="shared" si="3"/>
        <v>Drivers' Licenses</v>
      </c>
    </row>
    <row r="961">
      <c r="A961" s="7" t="s">
        <v>1806</v>
      </c>
      <c r="B961" s="8" t="s">
        <v>1807</v>
      </c>
      <c r="C961" s="8" t="s">
        <v>28</v>
      </c>
      <c r="D961" s="8" t="s">
        <v>19</v>
      </c>
      <c r="E961" s="8" t="s">
        <v>19</v>
      </c>
      <c r="F961" s="8" t="s">
        <v>20</v>
      </c>
      <c r="G961" s="8" t="s">
        <v>21</v>
      </c>
      <c r="H961" s="9"/>
      <c r="I961" s="9"/>
      <c r="J961" s="10">
        <f t="shared" ref="J961:M961" si="628">ifs(OR($H961="R",$I961="N"),"N/A",OR(C961="A",C961="B",C961="C",C961="U"),3,TRUE,"FLAG")</f>
        <v>3</v>
      </c>
      <c r="K961" s="10">
        <f t="shared" si="628"/>
        <v>3</v>
      </c>
      <c r="L961" s="10">
        <f t="shared" si="628"/>
        <v>3</v>
      </c>
      <c r="M961" s="10" t="str">
        <f t="shared" si="628"/>
        <v>FLAG</v>
      </c>
      <c r="N961" s="10" t="str">
        <f t="shared" si="2"/>
        <v>8-235(d) - Drivers' Licenses; Operating a motorized bicycle on highway without meeting requirements</v>
      </c>
      <c r="O961" s="10" t="str">
        <f t="shared" si="3"/>
        <v>Drivers' Licenses</v>
      </c>
    </row>
    <row r="962">
      <c r="A962" s="7" t="s">
        <v>1808</v>
      </c>
      <c r="B962" s="8" t="s">
        <v>1809</v>
      </c>
      <c r="C962" s="8" t="s">
        <v>18</v>
      </c>
      <c r="D962" s="8" t="s">
        <v>18</v>
      </c>
      <c r="E962" s="8" t="s">
        <v>19</v>
      </c>
      <c r="F962" s="8" t="s">
        <v>20</v>
      </c>
      <c r="G962" s="8" t="s">
        <v>21</v>
      </c>
      <c r="H962" s="9"/>
      <c r="I962" s="9"/>
      <c r="J962" s="10">
        <f t="shared" ref="J962:M962" si="629">ifs(OR($H962="R",$I962="N"),"N/A",OR(C962="A",C962="B",C962="C",C962="U"),3,TRUE,"FLAG")</f>
        <v>3</v>
      </c>
      <c r="K962" s="10">
        <f t="shared" si="629"/>
        <v>3</v>
      </c>
      <c r="L962" s="10">
        <f t="shared" si="629"/>
        <v>3</v>
      </c>
      <c r="M962" s="10" t="str">
        <f t="shared" si="629"/>
        <v>FLAG</v>
      </c>
      <c r="N962" s="10" t="str">
        <f t="shared" si="2"/>
        <v>8-274 - Drivers' Licenses; Operation of a driver training school or giving driving instruction for hire without driver training school or instructor license</v>
      </c>
      <c r="O962" s="10" t="str">
        <f t="shared" si="3"/>
        <v>Drivers' Licenses</v>
      </c>
    </row>
    <row r="963">
      <c r="A963" s="7" t="s">
        <v>1810</v>
      </c>
      <c r="B963" s="8" t="s">
        <v>1811</v>
      </c>
      <c r="C963" s="8" t="s">
        <v>18</v>
      </c>
      <c r="D963" s="8" t="s">
        <v>18</v>
      </c>
      <c r="E963" s="8" t="s">
        <v>19</v>
      </c>
      <c r="F963" s="8" t="s">
        <v>20</v>
      </c>
      <c r="G963" s="8" t="s">
        <v>21</v>
      </c>
      <c r="H963" s="9"/>
      <c r="I963" s="9"/>
      <c r="J963" s="10">
        <f t="shared" ref="J963:M963" si="630">ifs(OR($H963="R",$I963="N"),"N/A",OR(C963="A",C963="B",C963="C",C963="U"),3,TRUE,"FLAG")</f>
        <v>3</v>
      </c>
      <c r="K963" s="10">
        <f t="shared" si="630"/>
        <v>3</v>
      </c>
      <c r="L963" s="10">
        <f t="shared" si="630"/>
        <v>3</v>
      </c>
      <c r="M963" s="10" t="str">
        <f t="shared" si="630"/>
        <v>FLAG</v>
      </c>
      <c r="N963" s="10" t="str">
        <f t="shared" si="2"/>
        <v>8-291(a) - Drivers' Licenses; Operation of a motor vehicle in violation of the restrictions on any driver's license or permit imposed pursuant to any statute</v>
      </c>
      <c r="O963" s="10" t="str">
        <f t="shared" si="3"/>
        <v>Drivers' Licenses</v>
      </c>
    </row>
    <row r="964">
      <c r="A964" s="7" t="s">
        <v>1812</v>
      </c>
      <c r="B964" s="8" t="s">
        <v>1813</v>
      </c>
      <c r="C964" s="8" t="s">
        <v>18</v>
      </c>
      <c r="D964" s="8" t="s">
        <v>18</v>
      </c>
      <c r="E964" s="8" t="s">
        <v>19</v>
      </c>
      <c r="F964" s="8" t="s">
        <v>20</v>
      </c>
      <c r="G964" s="8" t="s">
        <v>21</v>
      </c>
      <c r="H964" s="9"/>
      <c r="I964" s="9"/>
      <c r="J964" s="10">
        <f t="shared" ref="J964:M964" si="631">ifs(OR($H964="R",$I964="N"),"N/A",OR(C964="A",C964="B",C964="C",C964="U"),3,TRUE,"FLAG")</f>
        <v>3</v>
      </c>
      <c r="K964" s="10">
        <f t="shared" si="631"/>
        <v>3</v>
      </c>
      <c r="L964" s="10">
        <f t="shared" si="631"/>
        <v>3</v>
      </c>
      <c r="M964" s="10" t="str">
        <f t="shared" si="631"/>
        <v>FLAG</v>
      </c>
      <c r="N964" s="10" t="str">
        <f t="shared" si="2"/>
        <v>8-292(a) - Drivers' Licenses; Operation of motor vehicle in violation of Court imposed restrictions; penalized according to 8-291</v>
      </c>
      <c r="O964" s="10" t="str">
        <f t="shared" si="3"/>
        <v>Drivers' Licenses</v>
      </c>
    </row>
    <row r="965">
      <c r="A965" s="7" t="s">
        <v>1814</v>
      </c>
      <c r="B965" s="8" t="s">
        <v>1815</v>
      </c>
      <c r="C965" s="8" t="s">
        <v>18</v>
      </c>
      <c r="D965" s="8" t="s">
        <v>18</v>
      </c>
      <c r="E965" s="8" t="s">
        <v>19</v>
      </c>
      <c r="F965" s="8" t="s">
        <v>20</v>
      </c>
      <c r="G965" s="8" t="s">
        <v>21</v>
      </c>
      <c r="H965" s="9"/>
      <c r="I965" s="9"/>
      <c r="J965" s="10">
        <f t="shared" ref="J965:M965" si="632">ifs(OR($H965="R",$I965="N"),"N/A",OR(C965="A",C965="B",C965="C",C965="U"),3,TRUE,"FLAG")</f>
        <v>3</v>
      </c>
      <c r="K965" s="10">
        <f t="shared" si="632"/>
        <v>3</v>
      </c>
      <c r="L965" s="10">
        <f t="shared" si="632"/>
        <v>3</v>
      </c>
      <c r="M965" s="10" t="str">
        <f t="shared" si="632"/>
        <v>FLAG</v>
      </c>
      <c r="N965" s="10" t="str">
        <f t="shared" si="2"/>
        <v>8-245(a) - Drivers' Licenses; Operation of motor vehicle in violation of restrictions imposed in a restricted driver's license</v>
      </c>
      <c r="O965" s="10" t="str">
        <f t="shared" si="3"/>
        <v>Drivers' Licenses</v>
      </c>
    </row>
    <row r="966">
      <c r="A966" s="7" t="s">
        <v>1816</v>
      </c>
      <c r="B966" s="8" t="s">
        <v>1817</v>
      </c>
      <c r="C966" s="8" t="s">
        <v>27</v>
      </c>
      <c r="D966" s="8" t="s">
        <v>28</v>
      </c>
      <c r="E966" s="8" t="s">
        <v>19</v>
      </c>
      <c r="F966" s="8" t="s">
        <v>20</v>
      </c>
      <c r="G966" s="8" t="s">
        <v>21</v>
      </c>
      <c r="H966" s="9"/>
      <c r="I966" s="9"/>
      <c r="J966" s="10">
        <f t="shared" ref="J966:M966" si="633">ifs(OR($H966="R",$I966="N"),"N/A",OR(C966="A",C966="B",C966="C",C966="U"),3,TRUE,"FLAG")</f>
        <v>3</v>
      </c>
      <c r="K966" s="10">
        <f t="shared" si="633"/>
        <v>3</v>
      </c>
      <c r="L966" s="10">
        <f t="shared" si="633"/>
        <v>3</v>
      </c>
      <c r="M966" s="10" t="str">
        <f t="shared" si="633"/>
        <v>FLAG</v>
      </c>
      <c r="N966" s="10" t="str">
        <f t="shared" si="2"/>
        <v>8-260(a)(6) - Drivers' Licenses; Permit any unlawful use of DL issued to any person</v>
      </c>
      <c r="O966" s="10" t="str">
        <f t="shared" si="3"/>
        <v>Drivers' Licenses</v>
      </c>
    </row>
    <row r="967">
      <c r="A967" s="7" t="s">
        <v>1818</v>
      </c>
      <c r="B967" s="8" t="s">
        <v>1819</v>
      </c>
      <c r="C967" s="8" t="s">
        <v>18</v>
      </c>
      <c r="D967" s="8" t="s">
        <v>18</v>
      </c>
      <c r="E967" s="8" t="s">
        <v>19</v>
      </c>
      <c r="F967" s="8" t="s">
        <v>20</v>
      </c>
      <c r="G967" s="8" t="s">
        <v>21</v>
      </c>
      <c r="H967" s="9"/>
      <c r="I967" s="9"/>
      <c r="J967" s="10">
        <f t="shared" ref="J967:M967" si="634">ifs(OR($H967="R",$I967="N"),"N/A",OR(C967="A",C967="B",C967="C",C967="U"),3,TRUE,"FLAG")</f>
        <v>3</v>
      </c>
      <c r="K967" s="10">
        <f t="shared" si="634"/>
        <v>3</v>
      </c>
      <c r="L967" s="10">
        <f t="shared" si="634"/>
        <v>3</v>
      </c>
      <c r="M967" s="10" t="str">
        <f t="shared" si="634"/>
        <v>FLAG</v>
      </c>
      <c r="N967" s="10" t="str">
        <f t="shared" si="2"/>
        <v>8-263 - Drivers' Licenses; Permitting unauthorized minor to drive</v>
      </c>
      <c r="O967" s="10" t="str">
        <f t="shared" si="3"/>
        <v>Drivers' Licenses</v>
      </c>
    </row>
    <row r="968">
      <c r="A968" s="7" t="s">
        <v>1820</v>
      </c>
      <c r="B968" s="8" t="s">
        <v>1821</v>
      </c>
      <c r="C968" s="8" t="s">
        <v>18</v>
      </c>
      <c r="D968" s="8" t="s">
        <v>18</v>
      </c>
      <c r="E968" s="8" t="s">
        <v>19</v>
      </c>
      <c r="F968" s="8" t="s">
        <v>20</v>
      </c>
      <c r="G968" s="8" t="s">
        <v>21</v>
      </c>
      <c r="H968" s="9"/>
      <c r="I968" s="9"/>
      <c r="J968" s="10">
        <f t="shared" ref="J968:M968" si="635">ifs(OR($H968="R",$I968="N"),"N/A",OR(C968="A",C968="B",C968="C",C968="U"),3,TRUE,"FLAG")</f>
        <v>3</v>
      </c>
      <c r="K968" s="10">
        <f t="shared" si="635"/>
        <v>3</v>
      </c>
      <c r="L968" s="10">
        <f t="shared" si="635"/>
        <v>3</v>
      </c>
      <c r="M968" s="10" t="str">
        <f t="shared" si="635"/>
        <v>FLAG</v>
      </c>
      <c r="N968" s="10" t="str">
        <f t="shared" si="2"/>
        <v>8-264 - Drivers' Licenses; Permitting unauthorized person to drive</v>
      </c>
      <c r="O968" s="10" t="str">
        <f t="shared" si="3"/>
        <v>Drivers' Licenses</v>
      </c>
    </row>
    <row r="969">
      <c r="A969" s="7" t="s">
        <v>1822</v>
      </c>
      <c r="B969" s="8" t="s">
        <v>1823</v>
      </c>
      <c r="C969" s="8" t="s">
        <v>18</v>
      </c>
      <c r="D969" s="8" t="s">
        <v>18</v>
      </c>
      <c r="E969" s="8" t="s">
        <v>19</v>
      </c>
      <c r="F969" s="8" t="s">
        <v>20</v>
      </c>
      <c r="G969" s="8" t="s">
        <v>21</v>
      </c>
      <c r="H969" s="9"/>
      <c r="I969" s="9"/>
      <c r="J969" s="10">
        <f t="shared" ref="J969:M969" si="636">ifs(OR($H969="R",$I969="N"),"N/A",OR(C969="A",C969="B",C969="C",C969="U"),3,TRUE,"FLAG")</f>
        <v>3</v>
      </c>
      <c r="K969" s="10">
        <f t="shared" si="636"/>
        <v>3</v>
      </c>
      <c r="L969" s="10">
        <f t="shared" si="636"/>
        <v>3</v>
      </c>
      <c r="M969" s="10" t="str">
        <f t="shared" si="636"/>
        <v>FLAG</v>
      </c>
      <c r="N969" s="10" t="str">
        <f t="shared" si="2"/>
        <v>8-266(a) - Drivers' Licenses; Renting motor vehicle to person not licensed to operate it</v>
      </c>
      <c r="O969" s="10" t="str">
        <f t="shared" si="3"/>
        <v>Drivers' Licenses</v>
      </c>
    </row>
    <row r="970">
      <c r="A970" s="7" t="s">
        <v>1824</v>
      </c>
      <c r="B970" s="8" t="s">
        <v>1825</v>
      </c>
      <c r="C970" s="8" t="s">
        <v>18</v>
      </c>
      <c r="D970" s="8" t="s">
        <v>18</v>
      </c>
      <c r="E970" s="8" t="s">
        <v>19</v>
      </c>
      <c r="F970" s="8" t="s">
        <v>20</v>
      </c>
      <c r="G970" s="8" t="s">
        <v>21</v>
      </c>
      <c r="H970" s="9"/>
      <c r="I970" s="9"/>
      <c r="J970" s="10">
        <f t="shared" ref="J970:M970" si="637">ifs(OR($H970="R",$I970="N"),"N/A",OR(C970="A",C970="B",C970="C",C970="U"),3,TRUE,"FLAG")</f>
        <v>3</v>
      </c>
      <c r="K970" s="10">
        <f t="shared" si="637"/>
        <v>3</v>
      </c>
      <c r="L970" s="10">
        <f t="shared" si="637"/>
        <v>3</v>
      </c>
      <c r="M970" s="10" t="str">
        <f t="shared" si="637"/>
        <v>FLAG</v>
      </c>
      <c r="N970" s="10" t="str">
        <f t="shared" si="2"/>
        <v>8-266(b) - Drivers' Licenses; Renting motor vehicle to person without inspecting such person's license and verifying signature</v>
      </c>
      <c r="O970" s="10" t="str">
        <f t="shared" si="3"/>
        <v>Drivers' Licenses</v>
      </c>
    </row>
    <row r="971">
      <c r="A971" s="7" t="s">
        <v>1826</v>
      </c>
      <c r="B971" s="8" t="s">
        <v>1827</v>
      </c>
      <c r="C971" s="8" t="s">
        <v>18</v>
      </c>
      <c r="D971" s="8" t="s">
        <v>18</v>
      </c>
      <c r="E971" s="8" t="s">
        <v>19</v>
      </c>
      <c r="F971" s="8" t="s">
        <v>20</v>
      </c>
      <c r="G971" s="8" t="s">
        <v>21</v>
      </c>
      <c r="H971" s="9"/>
      <c r="I971" s="9"/>
      <c r="J971" s="10">
        <f t="shared" ref="J971:M971" si="638">ifs(OR($H971="R",$I971="N"),"N/A",OR(C971="A",C971="B",C971="C",C971="U"),3,TRUE,"FLAG")</f>
        <v>3</v>
      </c>
      <c r="K971" s="10">
        <f t="shared" si="638"/>
        <v>3</v>
      </c>
      <c r="L971" s="10">
        <f t="shared" si="638"/>
        <v>3</v>
      </c>
      <c r="M971" s="10" t="str">
        <f t="shared" si="638"/>
        <v>FLAG</v>
      </c>
      <c r="N971" s="10" t="str">
        <f t="shared" si="2"/>
        <v>8-266(c) - Drivers' Licenses; Renting motor vehicle without keeping proper records</v>
      </c>
      <c r="O971" s="10" t="str">
        <f t="shared" si="3"/>
        <v>Drivers' Licenses</v>
      </c>
    </row>
    <row r="972">
      <c r="A972" s="7" t="s">
        <v>1828</v>
      </c>
      <c r="B972" s="8" t="s">
        <v>1829</v>
      </c>
      <c r="C972" s="8" t="s">
        <v>27</v>
      </c>
      <c r="D972" s="8" t="s">
        <v>28</v>
      </c>
      <c r="E972" s="8" t="s">
        <v>19</v>
      </c>
      <c r="F972" s="8" t="s">
        <v>20</v>
      </c>
      <c r="G972" s="8" t="s">
        <v>21</v>
      </c>
      <c r="H972" s="9"/>
      <c r="I972" s="9"/>
      <c r="J972" s="10">
        <f t="shared" ref="J972:M972" si="639">ifs(OR($H972="R",$I972="N"),"N/A",OR(C972="A",C972="B",C972="C",C972="U"),3,TRUE,"FLAG")</f>
        <v>3</v>
      </c>
      <c r="K972" s="10">
        <f t="shared" si="639"/>
        <v>3</v>
      </c>
      <c r="L972" s="10">
        <f t="shared" si="639"/>
        <v>3</v>
      </c>
      <c r="M972" s="10" t="str">
        <f t="shared" si="639"/>
        <v>FLAG</v>
      </c>
      <c r="N972" s="10" t="str">
        <f t="shared" si="2"/>
        <v>8-260(a)(7) - Drivers' Licenses; Reproduce any DL so that it could be mistaken for a valid DL; display or possess any such reproduction</v>
      </c>
      <c r="O972" s="10" t="str">
        <f t="shared" si="3"/>
        <v>Drivers' Licenses</v>
      </c>
    </row>
    <row r="973">
      <c r="A973" s="7" t="s">
        <v>1830</v>
      </c>
      <c r="B973" s="8" t="s">
        <v>1831</v>
      </c>
      <c r="C973" s="8">
        <v>9.0</v>
      </c>
      <c r="D973" s="8">
        <v>10.0</v>
      </c>
      <c r="E973" s="8">
        <v>10.0</v>
      </c>
      <c r="F973" s="8">
        <v>10.0</v>
      </c>
      <c r="G973" s="8" t="s">
        <v>21</v>
      </c>
      <c r="H973" s="9"/>
      <c r="I973" s="9"/>
      <c r="N973" s="10" t="str">
        <f t="shared" si="2"/>
        <v>8-260(a)(5) - Drivers' Licenses; Use of false or fictitious name in any application for a DL</v>
      </c>
      <c r="O973" s="10" t="str">
        <f t="shared" si="3"/>
        <v>Drivers' Licenses</v>
      </c>
    </row>
    <row r="974">
      <c r="A974" s="7" t="s">
        <v>1832</v>
      </c>
      <c r="B974" s="8" t="s">
        <v>1833</v>
      </c>
      <c r="C974" s="8" t="s">
        <v>1834</v>
      </c>
      <c r="D974" s="9"/>
      <c r="E974" s="9"/>
      <c r="F974" s="9"/>
      <c r="G974" s="8" t="s">
        <v>21</v>
      </c>
      <c r="H974" s="9"/>
      <c r="I974" s="9"/>
      <c r="N974" s="10" t="str">
        <f t="shared" si="2"/>
        <v>21-5710(a)(2) - Drugs; Advertise, market, label, distribute or possess with intent to distribute any product containing ephedrine, pseudoephedrine or phenylpropanolamine for indication of stimulation, mental alertness, weight loss, appetite control, energy or other indications not approved</v>
      </c>
      <c r="O974" s="10" t="str">
        <f t="shared" si="3"/>
        <v>Drugs</v>
      </c>
    </row>
    <row r="975">
      <c r="A975" s="7" t="s">
        <v>1835</v>
      </c>
      <c r="B975" s="8" t="s">
        <v>1836</v>
      </c>
      <c r="C975" s="8" t="s">
        <v>1834</v>
      </c>
      <c r="D975" s="9"/>
      <c r="E975" s="9"/>
      <c r="F975" s="9"/>
      <c r="G975" s="8" t="s">
        <v>21</v>
      </c>
      <c r="H975" s="9"/>
      <c r="I975" s="9"/>
      <c r="N975" s="10" t="str">
        <f t="shared" si="2"/>
        <v>21-5710(a)(1) - Drugs; Advertise, market, label, distribute or possess with intent to distribute any product containing ephedrine, pseudoephedrine, red phosphorus, lithium metal, sodium metal, iodine, anhydrous ammonia, pressurized ammonia or phenylpropanolamine or if the person knows or reasonably should know that the purchaser will use the product to manufacture a controlled substance or controlled substance analog</v>
      </c>
      <c r="O975" s="10" t="str">
        <f t="shared" si="3"/>
        <v>Drugs</v>
      </c>
    </row>
    <row r="976">
      <c r="A976" s="7" t="s">
        <v>1837</v>
      </c>
      <c r="B976" s="8" t="s">
        <v>1838</v>
      </c>
      <c r="C976" s="8" t="s">
        <v>1839</v>
      </c>
      <c r="D976" s="9"/>
      <c r="E976" s="9"/>
      <c r="F976" s="9"/>
      <c r="G976" s="8" t="s">
        <v>21</v>
      </c>
      <c r="H976" s="9"/>
      <c r="I976" s="9"/>
      <c r="N976" s="10" t="str">
        <f t="shared" si="2"/>
        <v>21-5716(d) - Drugs; Conduct financial transaction involving proceeds derived from the commission of any crime in K.S.A. 2011 Supp. 21-5701 through 21-5717, when the transaction is designed in whole or in part to conceal or disguise the nature, location, source, ownership or control of proceeds known to be derived from the commission of any crime in K.S.A. 2011 Supp. 21-5701 through 21-5717, or to avoid a transaction reporting requirement under state or federal law; $500,000 or more</v>
      </c>
      <c r="O976" s="10" t="str">
        <f t="shared" si="3"/>
        <v>Drugs</v>
      </c>
    </row>
    <row r="977">
      <c r="A977" s="7" t="s">
        <v>1840</v>
      </c>
      <c r="B977" s="8" t="s">
        <v>1838</v>
      </c>
      <c r="C977" s="8" t="s">
        <v>1841</v>
      </c>
      <c r="D977" s="9"/>
      <c r="E977" s="9"/>
      <c r="F977" s="9"/>
      <c r="G977" s="8" t="s">
        <v>21</v>
      </c>
      <c r="H977" s="9"/>
      <c r="I977" s="9"/>
      <c r="N977" s="10" t="str">
        <f t="shared" si="2"/>
        <v>21-5716(d) - Drugs; Conduct financial transaction involving proceeds derived from the commission of any crime in K.S.A. 21-5701 through 21-5717, when the transaction is designed in whole or in part to conceal or disguise the nature, location, source, ownership or control of proceeds known to be derived from the commission of any crime in K.S.A. 21-5701 through 21-5717, or to avoid a transaction reporting requirement under state or federal law; less than $5,000</v>
      </c>
      <c r="O977" s="10" t="str">
        <f t="shared" si="3"/>
        <v>Drugs</v>
      </c>
    </row>
    <row r="978">
      <c r="A978" s="7" t="s">
        <v>1842</v>
      </c>
      <c r="B978" s="8" t="s">
        <v>1838</v>
      </c>
      <c r="C978" s="8" t="s">
        <v>1843</v>
      </c>
      <c r="D978" s="9"/>
      <c r="E978" s="9"/>
      <c r="F978" s="9"/>
      <c r="G978" s="8" t="s">
        <v>21</v>
      </c>
      <c r="H978" s="9"/>
      <c r="I978" s="9"/>
      <c r="N978" s="10" t="str">
        <f t="shared" si="2"/>
        <v>21-5716(d) - Drugs; Conduct financial transaction involving proceeds derived from the commission of any crime in K.S.A. 21-5701 through 21-5717, when the transaction is designed in whole or in part to conceal or disguise the nature, location, source, ownership or control of proceeds known to be derived from the commission of any crime in K.S.A. 21-5701 through 21-5717, or to avoid a transaction reporting requirement under state or federal law; at least $5,000 but less than $100,000</v>
      </c>
      <c r="O978" s="10" t="str">
        <f t="shared" si="3"/>
        <v>Drugs</v>
      </c>
    </row>
    <row r="979">
      <c r="A979" s="7" t="s">
        <v>1844</v>
      </c>
      <c r="B979" s="8" t="s">
        <v>1838</v>
      </c>
      <c r="C979" s="8" t="s">
        <v>1834</v>
      </c>
      <c r="D979" s="9"/>
      <c r="E979" s="9"/>
      <c r="F979" s="9"/>
      <c r="G979" s="8" t="s">
        <v>21</v>
      </c>
      <c r="H979" s="9"/>
      <c r="I979" s="9"/>
      <c r="N979" s="10" t="str">
        <f t="shared" si="2"/>
        <v>21-5716(d) - Drugs; Conduct financial transaction involving proceeds derived from the commission of any crime in K.S.A. 21-5701 through 21-5717, when the transaction is designed in whole or in part to conceal or disguise the nature, location, source, ownership or control of proceeds known to be derived from the commission of any crime in K.S.A. 21-5701 through 21-5717, or to avoid a transaction reporting requirement under state or federal law; at least $100,000 but less than $250,000</v>
      </c>
      <c r="O979" s="10" t="str">
        <f t="shared" si="3"/>
        <v>Drugs</v>
      </c>
    </row>
    <row r="980">
      <c r="A980" s="7" t="s">
        <v>1845</v>
      </c>
      <c r="B980" s="8" t="s">
        <v>1838</v>
      </c>
      <c r="C980" s="8" t="s">
        <v>1846</v>
      </c>
      <c r="D980" s="9"/>
      <c r="E980" s="9"/>
      <c r="F980" s="9"/>
      <c r="G980" s="8" t="s">
        <v>21</v>
      </c>
      <c r="H980" s="9"/>
      <c r="I980" s="9"/>
      <c r="N980" s="10" t="str">
        <f t="shared" si="2"/>
        <v>21-5716(d) - Drugs; Conduct financial transaction involving proceeds derived from the commission of any crime in K.S.A. 21-5701 through 21-5717, when the transaction is designed in whole or in part to conceal or disguise the nature, location, source, ownership or control of proceeds known to be derived from the commission of any crime in K.S.A. 21-5701 through 21-5717, or to avoid a transaction reporting requirement under state or federal law; at least $250,000 but less than $500,000</v>
      </c>
      <c r="O980" s="10" t="str">
        <f t="shared" si="3"/>
        <v>Drugs</v>
      </c>
    </row>
    <row r="981">
      <c r="A981" s="7" t="s">
        <v>1847</v>
      </c>
      <c r="B981" s="8" t="s">
        <v>1848</v>
      </c>
      <c r="C981" s="8" t="s">
        <v>1839</v>
      </c>
      <c r="D981" s="9"/>
      <c r="E981" s="9"/>
      <c r="F981" s="9"/>
      <c r="G981" s="8" t="s">
        <v>21</v>
      </c>
      <c r="H981" s="9"/>
      <c r="I981" s="9"/>
      <c r="N981" s="10" t="str">
        <f t="shared" si="2"/>
        <v>21-5705(c) - Drugs; Cultivation of any substance listed in (a); Quantity of 100 plants or more</v>
      </c>
      <c r="O981" s="10" t="str">
        <f t="shared" si="3"/>
        <v>Drugs</v>
      </c>
    </row>
    <row r="982">
      <c r="A982" s="7" t="s">
        <v>1849</v>
      </c>
      <c r="B982" s="8" t="s">
        <v>1848</v>
      </c>
      <c r="C982" s="8" t="s">
        <v>1846</v>
      </c>
      <c r="D982" s="9"/>
      <c r="E982" s="9"/>
      <c r="F982" s="9"/>
      <c r="G982" s="8" t="s">
        <v>21</v>
      </c>
      <c r="H982" s="9"/>
      <c r="I982" s="9"/>
      <c r="N982" s="10" t="str">
        <f t="shared" si="2"/>
        <v>21-5705(c) - Drugs; Cultivation of any substance listed in (a); Quantity of 50 but fewer than 100 plants</v>
      </c>
      <c r="O982" s="10" t="str">
        <f t="shared" si="3"/>
        <v>Drugs</v>
      </c>
    </row>
    <row r="983">
      <c r="A983" s="7" t="s">
        <v>1850</v>
      </c>
      <c r="B983" s="8" t="s">
        <v>1848</v>
      </c>
      <c r="C983" s="8" t="s">
        <v>1834</v>
      </c>
      <c r="D983" s="9"/>
      <c r="E983" s="9"/>
      <c r="F983" s="9"/>
      <c r="G983" s="8" t="s">
        <v>21</v>
      </c>
      <c r="H983" s="9"/>
      <c r="I983" s="9"/>
      <c r="N983" s="10" t="str">
        <f t="shared" si="2"/>
        <v>21-5705(c) - Drugs; Cultivation of any substance listed in (a); Quantity of more than 4 but fewer than 50 plants</v>
      </c>
      <c r="O983" s="10" t="str">
        <f t="shared" si="3"/>
        <v>Drugs</v>
      </c>
    </row>
    <row r="984">
      <c r="A984" s="7" t="s">
        <v>1851</v>
      </c>
      <c r="B984" s="8" t="s">
        <v>1852</v>
      </c>
      <c r="C984" s="8" t="s">
        <v>1839</v>
      </c>
      <c r="D984" s="9"/>
      <c r="E984" s="9"/>
      <c r="F984" s="9"/>
      <c r="G984" s="8" t="s">
        <v>21</v>
      </c>
      <c r="H984" s="9"/>
      <c r="I984" s="9"/>
      <c r="N984" s="10" t="str">
        <f t="shared" si="2"/>
        <v>21-5716(c) - Drugs; Direct/plan/organize/initiate/finance/manage/supervise or facilitate the transportation or transfer of proceeds known to be derived from any violation of K.S.A. 21-5701 through 21-5717;  $500,000 or more</v>
      </c>
      <c r="O984" s="10" t="str">
        <f t="shared" si="3"/>
        <v>Drugs</v>
      </c>
    </row>
    <row r="985">
      <c r="A985" s="7" t="s">
        <v>1853</v>
      </c>
      <c r="B985" s="8" t="s">
        <v>1852</v>
      </c>
      <c r="C985" s="8" t="s">
        <v>1846</v>
      </c>
      <c r="D985" s="9"/>
      <c r="E985" s="9"/>
      <c r="F985" s="9"/>
      <c r="G985" s="8" t="s">
        <v>21</v>
      </c>
      <c r="H985" s="9"/>
      <c r="I985" s="9"/>
      <c r="N985" s="10" t="str">
        <f t="shared" si="2"/>
        <v>21-5716(c) - Drugs; Direct/plan/organize/initiate/finance/manage/supervise or facilitate the transportation or transfer of proceeds known to be derived from any violation of K.S.A. 21-5701 through 21-5717;  at least $250,000 but less than $500,000</v>
      </c>
      <c r="O985" s="10" t="str">
        <f t="shared" si="3"/>
        <v>Drugs</v>
      </c>
    </row>
    <row r="986">
      <c r="A986" s="7" t="s">
        <v>1854</v>
      </c>
      <c r="B986" s="8" t="s">
        <v>1852</v>
      </c>
      <c r="C986" s="8" t="s">
        <v>1843</v>
      </c>
      <c r="D986" s="9"/>
      <c r="E986" s="9"/>
      <c r="F986" s="9"/>
      <c r="G986" s="8" t="s">
        <v>21</v>
      </c>
      <c r="H986" s="9"/>
      <c r="I986" s="9"/>
      <c r="N986" s="10" t="str">
        <f t="shared" si="2"/>
        <v>21-5716(c) - Drugs; Direct/plan/organize/initiate/finance/manage/supervise or facilitate the transportation or transfer of proceeds known to be derived from any violation of K.S.A. 21-5701 through 21-5717;  at least $5,000 but less than $100,000</v>
      </c>
      <c r="O986" s="10" t="str">
        <f t="shared" si="3"/>
        <v>Drugs</v>
      </c>
    </row>
    <row r="987">
      <c r="A987" s="7" t="s">
        <v>1855</v>
      </c>
      <c r="B987" s="8" t="s">
        <v>1852</v>
      </c>
      <c r="C987" s="8" t="s">
        <v>1834</v>
      </c>
      <c r="D987" s="9"/>
      <c r="E987" s="9"/>
      <c r="F987" s="9"/>
      <c r="G987" s="8" t="s">
        <v>21</v>
      </c>
      <c r="H987" s="9"/>
      <c r="I987" s="9"/>
      <c r="N987" s="10" t="str">
        <f t="shared" si="2"/>
        <v>21-5716(c) - Drugs; Direct/plan/organize/initiate/finance/manage/supervise or facilitate the transportation or transfer of proceeds known to be derived from any violation of K.S.A. 21-5701 through 21-5717; at least $100,000 but less than $250,000</v>
      </c>
      <c r="O987" s="10" t="str">
        <f t="shared" si="3"/>
        <v>Drugs</v>
      </c>
    </row>
    <row r="988">
      <c r="A988" s="7" t="s">
        <v>1856</v>
      </c>
      <c r="B988" s="8" t="s">
        <v>1852</v>
      </c>
      <c r="C988" s="8" t="s">
        <v>1841</v>
      </c>
      <c r="D988" s="9"/>
      <c r="E988" s="9"/>
      <c r="F988" s="9"/>
      <c r="G988" s="8" t="s">
        <v>21</v>
      </c>
      <c r="H988" s="9"/>
      <c r="I988" s="9"/>
      <c r="N988" s="10" t="str">
        <f t="shared" si="2"/>
        <v>21-5716(c) - Drugs; Direct/plan/organize/initiate/finance/manage/supervise or facilitate the transportation or transfer of proceeds known to be derived from any violation of K.S.A. 21-5701 through 21-5717; less than $5,000</v>
      </c>
      <c r="O988" s="10" t="str">
        <f t="shared" si="3"/>
        <v>Drugs</v>
      </c>
    </row>
    <row r="989">
      <c r="A989" s="7" t="s">
        <v>1857</v>
      </c>
      <c r="B989" s="8" t="s">
        <v>1858</v>
      </c>
      <c r="C989" s="8" t="s">
        <v>1839</v>
      </c>
      <c r="D989" s="9"/>
      <c r="E989" s="9"/>
      <c r="F989" s="9"/>
      <c r="G989" s="8" t="s">
        <v>21</v>
      </c>
      <c r="H989" s="8" t="s">
        <v>109</v>
      </c>
      <c r="I989" s="9"/>
      <c r="N989" s="10" t="str">
        <f t="shared" si="2"/>
        <v>21-5705(a)(1) - Drugs; Distribute or possess with intent to distribute; Any substance listed in subsection (a)(1) other than marijuana, heroin, methamphetamine or a drug distributed by dosage units; Quantity of 1 kilogram or more</v>
      </c>
      <c r="O989" s="10" t="str">
        <f t="shared" si="3"/>
        <v>Drugs</v>
      </c>
    </row>
    <row r="990">
      <c r="A990" s="7" t="s">
        <v>1859</v>
      </c>
      <c r="B990" s="8" t="s">
        <v>1858</v>
      </c>
      <c r="C990" s="8" t="s">
        <v>1839</v>
      </c>
      <c r="D990" s="9"/>
      <c r="E990" s="9"/>
      <c r="F990" s="9"/>
      <c r="G990" s="8" t="s">
        <v>21</v>
      </c>
      <c r="H990" s="8" t="s">
        <v>109</v>
      </c>
      <c r="I990" s="9"/>
      <c r="N990" s="10" t="str">
        <f t="shared" si="2"/>
        <v>21-5705(a)(1) - Drugs; Distribute or possess with intent to distribute; Any substance listed in subsection (a)(1) other than marijuana, heroin, methamphetamine or a drug distributed by dosage units; Quantity of 1 kilogram or more within 1000 feet of school property</v>
      </c>
      <c r="O990" s="10" t="str">
        <f t="shared" si="3"/>
        <v>Drugs</v>
      </c>
    </row>
    <row r="991">
      <c r="A991" s="7" t="s">
        <v>1860</v>
      </c>
      <c r="B991" s="8" t="s">
        <v>1858</v>
      </c>
      <c r="C991" s="8" t="s">
        <v>1846</v>
      </c>
      <c r="D991" s="9"/>
      <c r="E991" s="9"/>
      <c r="F991" s="9"/>
      <c r="G991" s="8" t="s">
        <v>21</v>
      </c>
      <c r="H991" s="8" t="s">
        <v>109</v>
      </c>
      <c r="I991" s="9"/>
      <c r="N991" s="10" t="str">
        <f t="shared" si="2"/>
        <v>21-5705(a)(1) - Drugs; Distribute or possess with intent to distribute; Any substance listed in subsection (a)(1) other than marijuana, heroin, methamphetamine or a drug distributed by dosage units; Quantity of 100 grams but less than 1 kilogram</v>
      </c>
      <c r="O991" s="10" t="str">
        <f t="shared" si="3"/>
        <v>Drugs</v>
      </c>
    </row>
    <row r="992">
      <c r="A992" s="7" t="s">
        <v>1861</v>
      </c>
      <c r="B992" s="8" t="s">
        <v>1858</v>
      </c>
      <c r="C992" s="8" t="s">
        <v>1839</v>
      </c>
      <c r="D992" s="9"/>
      <c r="E992" s="9"/>
      <c r="F992" s="9"/>
      <c r="G992" s="8" t="s">
        <v>21</v>
      </c>
      <c r="H992" s="8" t="s">
        <v>109</v>
      </c>
      <c r="I992" s="9"/>
      <c r="N992" s="10" t="str">
        <f t="shared" si="2"/>
        <v>21-5705(a)(1) - Drugs; Distribute or possess with intent to distribute; Any substance listed in subsection (a)(1) other than marijuana, heroin, methamphetamine or a drug distributed by dosage units; Quantity of 100 grams but less than 1 kilogram; within 1000 feet of school property</v>
      </c>
      <c r="O992" s="10" t="str">
        <f t="shared" si="3"/>
        <v>Drugs</v>
      </c>
    </row>
    <row r="993">
      <c r="A993" s="7" t="s">
        <v>1862</v>
      </c>
      <c r="B993" s="8" t="s">
        <v>1858</v>
      </c>
      <c r="C993" s="8" t="s">
        <v>1834</v>
      </c>
      <c r="D993" s="9"/>
      <c r="E993" s="9"/>
      <c r="F993" s="9"/>
      <c r="G993" s="8" t="s">
        <v>21</v>
      </c>
      <c r="H993" s="8" t="s">
        <v>109</v>
      </c>
      <c r="I993" s="9"/>
      <c r="N993" s="10" t="str">
        <f t="shared" si="2"/>
        <v>21-5705(a)(1) - Drugs; Distribute or possess with intent to distribute; Any substance listed in subsection (a)(1) other than marijuana, heroin, methamphetamine or a drug distributed by dosage units; Quantity of 3.5 grams but less than 100 grams</v>
      </c>
      <c r="O993" s="10" t="str">
        <f t="shared" si="3"/>
        <v>Drugs</v>
      </c>
    </row>
    <row r="994">
      <c r="A994" s="7" t="s">
        <v>1863</v>
      </c>
      <c r="B994" s="8" t="s">
        <v>1858</v>
      </c>
      <c r="C994" s="8" t="s">
        <v>1846</v>
      </c>
      <c r="D994" s="9"/>
      <c r="E994" s="9"/>
      <c r="F994" s="9"/>
      <c r="G994" s="8" t="s">
        <v>21</v>
      </c>
      <c r="H994" s="8" t="s">
        <v>109</v>
      </c>
      <c r="I994" s="9"/>
      <c r="N994" s="10" t="str">
        <f t="shared" si="2"/>
        <v>21-5705(a)(1) - Drugs; Distribute or possess with intent to distribute; Any substance listed in subsection (a)(1) other than marijuana, heroin, methamphetamine or a drug distributed by dosage units; Quantity of 3.5 grams but less than 100 grams; within 1000 feet of school property</v>
      </c>
      <c r="O994" s="10" t="str">
        <f t="shared" si="3"/>
        <v>Drugs</v>
      </c>
    </row>
    <row r="995">
      <c r="A995" s="7" t="s">
        <v>1864</v>
      </c>
      <c r="B995" s="8" t="s">
        <v>1858</v>
      </c>
      <c r="C995" s="8" t="s">
        <v>1843</v>
      </c>
      <c r="D995" s="9"/>
      <c r="E995" s="9"/>
      <c r="F995" s="9"/>
      <c r="G995" s="8" t="s">
        <v>21</v>
      </c>
      <c r="H995" s="8" t="s">
        <v>109</v>
      </c>
      <c r="I995" s="9"/>
      <c r="N995" s="10" t="str">
        <f t="shared" si="2"/>
        <v>21-5705(a)(1) - Drugs; Distribute or possess with intent to distribute; Any substance listed in subsection (a)(1) other than marijuana, heroin, methamphetamine or a drug distributed by dosage units; Quantity of less than 3.5 grams</v>
      </c>
      <c r="O995" s="10" t="str">
        <f t="shared" si="3"/>
        <v>Drugs</v>
      </c>
    </row>
    <row r="996">
      <c r="A996" s="7" t="s">
        <v>1865</v>
      </c>
      <c r="B996" s="8" t="s">
        <v>1858</v>
      </c>
      <c r="C996" s="8" t="s">
        <v>1834</v>
      </c>
      <c r="D996" s="9"/>
      <c r="E996" s="9"/>
      <c r="F996" s="9"/>
      <c r="G996" s="8" t="s">
        <v>21</v>
      </c>
      <c r="H996" s="8" t="s">
        <v>109</v>
      </c>
      <c r="I996" s="9"/>
      <c r="N996" s="10" t="str">
        <f t="shared" si="2"/>
        <v>21-5705(a)(1) - Drugs; Distribute or possess with intent to distribute; Any substance listed in subsection (a)(1) other than marijuana, heroin, methamphetamine or a drug distributed by dosage units; Quantity of less than 3.5 grams; within 1000 feet of school property</v>
      </c>
      <c r="O996" s="10" t="str">
        <f t="shared" si="3"/>
        <v>Drugs</v>
      </c>
    </row>
    <row r="997">
      <c r="A997" s="7" t="s">
        <v>1866</v>
      </c>
      <c r="B997" s="8" t="s">
        <v>1867</v>
      </c>
      <c r="C997" s="8" t="s">
        <v>1839</v>
      </c>
      <c r="D997" s="9"/>
      <c r="E997" s="9"/>
      <c r="F997" s="9"/>
      <c r="G997" s="8" t="s">
        <v>21</v>
      </c>
      <c r="H997" s="9"/>
      <c r="I997" s="9"/>
      <c r="N997" s="10" t="str">
        <f t="shared" si="2"/>
        <v>21-5705(a)(2)-(7) - Drugs; Distribute or possess with intent to distribute; Any substance listed in subsections (a)(2) through (a)(7) other than marijuana, heroin, methamphetamine or a drug distributed by dosage units; Quantity of 1 kilogram or more</v>
      </c>
      <c r="O997" s="10" t="str">
        <f t="shared" si="3"/>
        <v>Drugs</v>
      </c>
    </row>
    <row r="998">
      <c r="A998" s="7" t="s">
        <v>1868</v>
      </c>
      <c r="B998" s="8" t="s">
        <v>1867</v>
      </c>
      <c r="C998" s="8" t="s">
        <v>1839</v>
      </c>
      <c r="D998" s="9"/>
      <c r="E998" s="9"/>
      <c r="F998" s="9"/>
      <c r="G998" s="8" t="s">
        <v>21</v>
      </c>
      <c r="H998" s="9"/>
      <c r="I998" s="9"/>
      <c r="N998" s="10" t="str">
        <f t="shared" si="2"/>
        <v>21-5705(a)(2)-(7) - Drugs; Distribute or possess with intent to distribute; Any substance listed in subsections (a)(2) through (a)(7) other than marijuana, heroin, methamphetamine or a drug distributed by dosage units; Quantity of 1 kilogram or more within 1000 feet of school property</v>
      </c>
      <c r="O998" s="10" t="str">
        <f t="shared" si="3"/>
        <v>Drugs</v>
      </c>
    </row>
    <row r="999">
      <c r="A999" s="7" t="s">
        <v>1869</v>
      </c>
      <c r="B999" s="8" t="s">
        <v>1867</v>
      </c>
      <c r="C999" s="8" t="s">
        <v>1846</v>
      </c>
      <c r="D999" s="9"/>
      <c r="E999" s="9"/>
      <c r="F999" s="9"/>
      <c r="G999" s="8" t="s">
        <v>21</v>
      </c>
      <c r="H999" s="9"/>
      <c r="I999" s="9"/>
      <c r="N999" s="10" t="str">
        <f t="shared" si="2"/>
        <v>21-5705(a)(2)-(7) - Drugs; Distribute or possess with intent to distribute; Any substance listed in subsections (a)(2) through (a)(7) other than marijuana, heroin, methamphetamine or a drug distributed by dosage units; Quantity of 100 grams but less than 1 kilogram</v>
      </c>
      <c r="O999" s="10" t="str">
        <f t="shared" si="3"/>
        <v>Drugs</v>
      </c>
    </row>
    <row r="1000">
      <c r="A1000" s="7" t="s">
        <v>1870</v>
      </c>
      <c r="B1000" s="8" t="s">
        <v>1867</v>
      </c>
      <c r="C1000" s="8" t="s">
        <v>1839</v>
      </c>
      <c r="D1000" s="9"/>
      <c r="E1000" s="9"/>
      <c r="F1000" s="9"/>
      <c r="G1000" s="8" t="s">
        <v>21</v>
      </c>
      <c r="H1000" s="9"/>
      <c r="I1000" s="9"/>
      <c r="N1000" s="10" t="str">
        <f t="shared" si="2"/>
        <v>21-5705(a)(2)-(7) - Drugs; Distribute or possess with intent to distribute; Any substance listed in subsections (a)(2) through (a)(7) other than marijuana, heroin, methamphetamine or a drug distributed by dosage units; Quantity of 100 grams but less than 1 kilogram; within 1000 feet of school property</v>
      </c>
      <c r="O1000" s="10" t="str">
        <f t="shared" si="3"/>
        <v>Drugs</v>
      </c>
    </row>
    <row r="1001">
      <c r="A1001" s="7" t="s">
        <v>1871</v>
      </c>
      <c r="B1001" s="8" t="s">
        <v>1867</v>
      </c>
      <c r="C1001" s="8" t="s">
        <v>1834</v>
      </c>
      <c r="D1001" s="9"/>
      <c r="E1001" s="9"/>
      <c r="F1001" s="9"/>
      <c r="G1001" s="8" t="s">
        <v>21</v>
      </c>
      <c r="H1001" s="9"/>
      <c r="I1001" s="9"/>
      <c r="N1001" s="10" t="str">
        <f t="shared" si="2"/>
        <v>21-5705(a)(2)-(7) - Drugs; Distribute or possess with intent to distribute; Any substance listed in subsections (a)(2) through (a)(7) other than marijuana, heroin, methamphetamine or a drug distributed by dosage units; Quantity of 3.5 grams but less than 100 grams</v>
      </c>
      <c r="O1001" s="10" t="str">
        <f t="shared" si="3"/>
        <v>Drugs</v>
      </c>
    </row>
    <row r="1002">
      <c r="A1002" s="7" t="s">
        <v>1872</v>
      </c>
      <c r="B1002" s="8" t="s">
        <v>1867</v>
      </c>
      <c r="C1002" s="8" t="s">
        <v>1846</v>
      </c>
      <c r="D1002" s="9"/>
      <c r="E1002" s="9"/>
      <c r="F1002" s="9"/>
      <c r="G1002" s="8" t="s">
        <v>21</v>
      </c>
      <c r="H1002" s="9"/>
      <c r="I1002" s="9"/>
      <c r="N1002" s="10" t="str">
        <f t="shared" si="2"/>
        <v>21-5705(a)(2)-(7) - Drugs; Distribute or possess with intent to distribute; Any substance listed in subsections (a)(2) through (a)(7) other than marijuana, heroin, methamphetamine or a drug distributed by dosage units; Quantity of 3.5 grams but less than 100 grams; within 1000 feet of school property</v>
      </c>
      <c r="O1002" s="10" t="str">
        <f t="shared" si="3"/>
        <v>Drugs</v>
      </c>
    </row>
    <row r="1003">
      <c r="A1003" s="7" t="s">
        <v>1873</v>
      </c>
      <c r="B1003" s="8" t="s">
        <v>1867</v>
      </c>
      <c r="C1003" s="8" t="s">
        <v>1843</v>
      </c>
      <c r="D1003" s="9"/>
      <c r="E1003" s="9"/>
      <c r="F1003" s="9"/>
      <c r="G1003" s="8" t="s">
        <v>21</v>
      </c>
      <c r="H1003" s="9"/>
      <c r="I1003" s="9"/>
      <c r="N1003" s="10" t="str">
        <f t="shared" si="2"/>
        <v>21-5705(a)(2)-(7) - Drugs; Distribute or possess with intent to distribute; Any substance listed in subsections (a)(2) through (a)(7) other than marijuana, heroin, methamphetamine or a drug distributed by dosage units; Quantity of less than 3.5 grams</v>
      </c>
      <c r="O1003" s="10" t="str">
        <f t="shared" si="3"/>
        <v>Drugs</v>
      </c>
    </row>
    <row r="1004">
      <c r="A1004" s="7" t="s">
        <v>1874</v>
      </c>
      <c r="B1004" s="8" t="s">
        <v>1867</v>
      </c>
      <c r="C1004" s="8" t="s">
        <v>1834</v>
      </c>
      <c r="D1004" s="9"/>
      <c r="E1004" s="9"/>
      <c r="F1004" s="9"/>
      <c r="G1004" s="8" t="s">
        <v>21</v>
      </c>
      <c r="H1004" s="9"/>
      <c r="I1004" s="9"/>
      <c r="N1004" s="10" t="str">
        <f t="shared" si="2"/>
        <v>21-5705(a)(2)-(7) - Drugs; Distribute or possess with intent to distribute; Any substance listed in subsections (a)(2) through (a)(7) other than marijuana, heroin, methamphetamine or a drug distributed by dosage units; Quantity of less than 3.5 grams; within 1000 feet of school property</v>
      </c>
      <c r="O1004" s="10" t="str">
        <f t="shared" si="3"/>
        <v>Drugs</v>
      </c>
    </row>
    <row r="1005">
      <c r="A1005" s="7" t="s">
        <v>1875</v>
      </c>
      <c r="B1005" s="8" t="s">
        <v>1876</v>
      </c>
      <c r="C1005" s="8" t="s">
        <v>27</v>
      </c>
      <c r="D1005" s="8" t="s">
        <v>28</v>
      </c>
      <c r="E1005" s="8" t="s">
        <v>19</v>
      </c>
      <c r="F1005" s="8" t="s">
        <v>20</v>
      </c>
      <c r="G1005" s="8" t="s">
        <v>24</v>
      </c>
      <c r="H1005" s="9"/>
      <c r="I1005" s="9"/>
      <c r="J1005" s="10">
        <f t="shared" ref="J1005:M1005" si="640">ifs(OR($H1005="R",$I1005="N"),"N/A",OR(C1005="A",C1005="B",C1005="C",C1005="U"),3,TRUE,"FLAG")</f>
        <v>3</v>
      </c>
      <c r="K1005" s="10">
        <f t="shared" si="640"/>
        <v>3</v>
      </c>
      <c r="L1005" s="10">
        <f t="shared" si="640"/>
        <v>3</v>
      </c>
      <c r="M1005" s="10" t="str">
        <f t="shared" si="640"/>
        <v>FLAG</v>
      </c>
      <c r="N1005" s="10" t="str">
        <f t="shared" si="2"/>
        <v>21-5705(b) - Drugs; Distribute or possess with intent to distribute; Drugs designated in K.S.A. 65-4113</v>
      </c>
      <c r="O1005" s="10" t="str">
        <f t="shared" si="3"/>
        <v>Drugs</v>
      </c>
    </row>
    <row r="1006">
      <c r="A1006" s="7" t="s">
        <v>1877</v>
      </c>
      <c r="B1006" s="8" t="s">
        <v>1876</v>
      </c>
      <c r="C1006" s="8">
        <v>7.0</v>
      </c>
      <c r="D1006" s="8">
        <v>9.0</v>
      </c>
      <c r="E1006" s="8">
        <v>9.0</v>
      </c>
      <c r="F1006" s="8">
        <v>10.0</v>
      </c>
      <c r="G1006" s="8" t="s">
        <v>24</v>
      </c>
      <c r="H1006" s="9"/>
      <c r="I1006" s="9"/>
      <c r="N1006" s="10" t="str">
        <f t="shared" si="2"/>
        <v>21-5705(b) - Drugs; Distribute or possess with intent to distribute; Drugs designated in K.S.A. 65-4113; If distributed or possessed with intent to distribute to a minor</v>
      </c>
      <c r="O1006" s="10" t="str">
        <f t="shared" si="3"/>
        <v>Drugs</v>
      </c>
    </row>
    <row r="1007">
      <c r="A1007" s="7" t="s">
        <v>1878</v>
      </c>
      <c r="B1007" s="8" t="s">
        <v>1858</v>
      </c>
      <c r="C1007" s="8" t="s">
        <v>1834</v>
      </c>
      <c r="D1007" s="9"/>
      <c r="E1007" s="9"/>
      <c r="F1007" s="9"/>
      <c r="G1007" s="8" t="s">
        <v>21</v>
      </c>
      <c r="H1007" s="8" t="s">
        <v>109</v>
      </c>
      <c r="I1007" s="9"/>
      <c r="N1007" s="10" t="str">
        <f t="shared" si="2"/>
        <v>21-5705(a)(1) - Drugs; Distribute or possess with intent to distribute; Drugs listed in subsection (a)(1) which are distributed by dosage unit; Quantity of 10 but less than 100</v>
      </c>
      <c r="O1007" s="10" t="str">
        <f t="shared" si="3"/>
        <v>Drugs</v>
      </c>
    </row>
    <row r="1008">
      <c r="A1008" s="7" t="s">
        <v>1879</v>
      </c>
      <c r="B1008" s="8" t="s">
        <v>1858</v>
      </c>
      <c r="C1008" s="8" t="s">
        <v>1846</v>
      </c>
      <c r="D1008" s="9"/>
      <c r="E1008" s="9"/>
      <c r="F1008" s="9"/>
      <c r="G1008" s="8" t="s">
        <v>21</v>
      </c>
      <c r="H1008" s="8" t="s">
        <v>109</v>
      </c>
      <c r="I1008" s="9"/>
      <c r="N1008" s="10" t="str">
        <f t="shared" si="2"/>
        <v>21-5705(a)(1) - Drugs; Distribute or possess with intent to distribute; Drugs listed in subsection (a)(1) which are distributed by dosage unit; Quantity of 10 but less than 100; Within 1000 feet of school property</v>
      </c>
      <c r="O1008" s="10" t="str">
        <f t="shared" si="3"/>
        <v>Drugs</v>
      </c>
    </row>
    <row r="1009">
      <c r="A1009" s="7" t="s">
        <v>1880</v>
      </c>
      <c r="B1009" s="8" t="s">
        <v>1858</v>
      </c>
      <c r="C1009" s="8" t="s">
        <v>1846</v>
      </c>
      <c r="D1009" s="9"/>
      <c r="E1009" s="9"/>
      <c r="F1009" s="9"/>
      <c r="G1009" s="8" t="s">
        <v>21</v>
      </c>
      <c r="H1009" s="8" t="s">
        <v>109</v>
      </c>
      <c r="I1009" s="9"/>
      <c r="N1009" s="10" t="str">
        <f t="shared" si="2"/>
        <v>21-5705(a)(1) - Drugs; Distribute or possess with intent to distribute; Drugs listed in subsection (a)(1) which are distributed by dosage unit; Quantity of 100 but less than 1000</v>
      </c>
      <c r="O1009" s="10" t="str">
        <f t="shared" si="3"/>
        <v>Drugs</v>
      </c>
    </row>
    <row r="1010">
      <c r="A1010" s="7" t="s">
        <v>1881</v>
      </c>
      <c r="B1010" s="8" t="s">
        <v>1858</v>
      </c>
      <c r="C1010" s="8" t="s">
        <v>1839</v>
      </c>
      <c r="D1010" s="9"/>
      <c r="E1010" s="9"/>
      <c r="F1010" s="9"/>
      <c r="G1010" s="8" t="s">
        <v>21</v>
      </c>
      <c r="H1010" s="8" t="s">
        <v>109</v>
      </c>
      <c r="I1010" s="9"/>
      <c r="N1010" s="10" t="str">
        <f t="shared" si="2"/>
        <v>21-5705(a)(1) - Drugs; Distribute or possess with intent to distribute; Drugs listed in subsection (a)(1) which are distributed by dosage unit; Quantity of 100 but less than 1000; Within 1000 feet of school property</v>
      </c>
      <c r="O1010" s="10" t="str">
        <f t="shared" si="3"/>
        <v>Drugs</v>
      </c>
    </row>
    <row r="1011">
      <c r="A1011" s="7" t="s">
        <v>1882</v>
      </c>
      <c r="B1011" s="8" t="s">
        <v>1858</v>
      </c>
      <c r="C1011" s="8" t="s">
        <v>1839</v>
      </c>
      <c r="D1011" s="9"/>
      <c r="E1011" s="9"/>
      <c r="F1011" s="9"/>
      <c r="G1011" s="8" t="s">
        <v>21</v>
      </c>
      <c r="H1011" s="8" t="s">
        <v>109</v>
      </c>
      <c r="I1011" s="9"/>
      <c r="N1011" s="10" t="str">
        <f t="shared" si="2"/>
        <v>21-5705(a)(1) - Drugs; Distribute or possess with intent to distribute; Drugs listed in subsection (a)(1) which are distributed by dosage unit; Quantity of 1000 or more; Within 1000 feet of school property</v>
      </c>
      <c r="O1011" s="10" t="str">
        <f t="shared" si="3"/>
        <v>Drugs</v>
      </c>
    </row>
    <row r="1012">
      <c r="A1012" s="7" t="s">
        <v>1883</v>
      </c>
      <c r="B1012" s="8" t="s">
        <v>1858</v>
      </c>
      <c r="C1012" s="8" t="s">
        <v>1843</v>
      </c>
      <c r="D1012" s="9"/>
      <c r="E1012" s="9"/>
      <c r="F1012" s="9"/>
      <c r="G1012" s="8" t="s">
        <v>21</v>
      </c>
      <c r="H1012" s="8" t="s">
        <v>109</v>
      </c>
      <c r="I1012" s="9"/>
      <c r="N1012" s="10" t="str">
        <f t="shared" si="2"/>
        <v>21-5705(a)(1) - Drugs; Distribute or possess with intent to distribute; Drugs listed in subsection (a)(1) which are distributed by dosage unit; Quantity of fewer than 10</v>
      </c>
      <c r="O1012" s="10" t="str">
        <f t="shared" si="3"/>
        <v>Drugs</v>
      </c>
    </row>
    <row r="1013">
      <c r="A1013" s="7" t="s">
        <v>1884</v>
      </c>
      <c r="B1013" s="8" t="s">
        <v>1858</v>
      </c>
      <c r="C1013" s="8" t="s">
        <v>1834</v>
      </c>
      <c r="D1013" s="9"/>
      <c r="E1013" s="9"/>
      <c r="F1013" s="9"/>
      <c r="G1013" s="8" t="s">
        <v>21</v>
      </c>
      <c r="H1013" s="8" t="s">
        <v>109</v>
      </c>
      <c r="I1013" s="9"/>
      <c r="N1013" s="10" t="str">
        <f t="shared" si="2"/>
        <v>21-5705(a)(1) - Drugs; Distribute or possess with intent to distribute; Drugs listed in subsection (a)(1) which are distributed by dosage unit; Quantity of fewer than 10; Within 1000 feet of school property</v>
      </c>
      <c r="O1013" s="10" t="str">
        <f t="shared" si="3"/>
        <v>Drugs</v>
      </c>
    </row>
    <row r="1014">
      <c r="A1014" s="7" t="s">
        <v>1885</v>
      </c>
      <c r="B1014" s="8" t="s">
        <v>1858</v>
      </c>
      <c r="C1014" s="8" t="s">
        <v>1839</v>
      </c>
      <c r="D1014" s="9"/>
      <c r="E1014" s="9"/>
      <c r="F1014" s="9"/>
      <c r="G1014" s="8" t="s">
        <v>21</v>
      </c>
      <c r="H1014" s="8" t="s">
        <v>109</v>
      </c>
      <c r="I1014" s="9"/>
      <c r="N1014" s="10" t="str">
        <f t="shared" si="2"/>
        <v>21-5705(a)(1) - Drugs; Distribute or possess with intent to distribute; Drugs listed in subsection (a)(1)which are distributed by dosage unit; Quantity of 1000 or more</v>
      </c>
      <c r="O1014" s="10" t="str">
        <f t="shared" si="3"/>
        <v>Drugs</v>
      </c>
    </row>
    <row r="1015">
      <c r="A1015" s="7" t="s">
        <v>1886</v>
      </c>
      <c r="B1015" s="8" t="s">
        <v>1867</v>
      </c>
      <c r="C1015" s="8" t="s">
        <v>1834</v>
      </c>
      <c r="D1015" s="9"/>
      <c r="E1015" s="9"/>
      <c r="F1015" s="9"/>
      <c r="G1015" s="8" t="s">
        <v>21</v>
      </c>
      <c r="H1015" s="9"/>
      <c r="I1015" s="9"/>
      <c r="N1015" s="10" t="str">
        <f t="shared" si="2"/>
        <v>21-5705(a)(2)-(7) - Drugs; Distribute or possess with intent to distribute; Drugs listed in subsection (a)(2) through (a)(7) which are distributed by dosage unit; Quantity of 10 but less than 100</v>
      </c>
      <c r="O1015" s="10" t="str">
        <f t="shared" si="3"/>
        <v>Drugs</v>
      </c>
    </row>
    <row r="1016">
      <c r="A1016" s="7" t="s">
        <v>1887</v>
      </c>
      <c r="B1016" s="8" t="s">
        <v>1867</v>
      </c>
      <c r="C1016" s="8" t="s">
        <v>1846</v>
      </c>
      <c r="D1016" s="9"/>
      <c r="E1016" s="9"/>
      <c r="F1016" s="9"/>
      <c r="G1016" s="8" t="s">
        <v>21</v>
      </c>
      <c r="H1016" s="9"/>
      <c r="I1016" s="9"/>
      <c r="N1016" s="10" t="str">
        <f t="shared" si="2"/>
        <v>21-5705(a)(2)-(7) - Drugs; Distribute or possess with intent to distribute; Drugs listed in subsection (a)(2) through (a)(7) which are distributed by dosage unit; Quantity of 10 but less than 100; Within 1000 feet of school property</v>
      </c>
      <c r="O1016" s="10" t="str">
        <f t="shared" si="3"/>
        <v>Drugs</v>
      </c>
    </row>
    <row r="1017">
      <c r="A1017" s="7" t="s">
        <v>1888</v>
      </c>
      <c r="B1017" s="8" t="s">
        <v>1867</v>
      </c>
      <c r="C1017" s="8" t="s">
        <v>1846</v>
      </c>
      <c r="D1017" s="9"/>
      <c r="E1017" s="9"/>
      <c r="F1017" s="9"/>
      <c r="G1017" s="8" t="s">
        <v>21</v>
      </c>
      <c r="H1017" s="9"/>
      <c r="I1017" s="9"/>
      <c r="N1017" s="10" t="str">
        <f t="shared" si="2"/>
        <v>21-5705(a)(2)-(7) - Drugs; Distribute or possess with intent to distribute; Drugs listed in subsection (a)(2) through (a)(7) which are distributed by dosage unit; Quantity of 100 but less than 1000</v>
      </c>
      <c r="O1017" s="10" t="str">
        <f t="shared" si="3"/>
        <v>Drugs</v>
      </c>
    </row>
    <row r="1018">
      <c r="A1018" s="7" t="s">
        <v>1889</v>
      </c>
      <c r="B1018" s="8" t="s">
        <v>1867</v>
      </c>
      <c r="C1018" s="8" t="s">
        <v>1839</v>
      </c>
      <c r="D1018" s="9"/>
      <c r="E1018" s="9"/>
      <c r="F1018" s="9"/>
      <c r="G1018" s="8" t="s">
        <v>21</v>
      </c>
      <c r="H1018" s="9"/>
      <c r="I1018" s="9"/>
      <c r="N1018" s="10" t="str">
        <f t="shared" si="2"/>
        <v>21-5705(a)(2)-(7) - Drugs; Distribute or possess with intent to distribute; Drugs listed in subsection (a)(2) through (a)(7) which are distributed by dosage unit; Quantity of 100 but less than 1000; Within 1000 feet of school property</v>
      </c>
      <c r="O1018" s="10" t="str">
        <f t="shared" si="3"/>
        <v>Drugs</v>
      </c>
    </row>
    <row r="1019">
      <c r="A1019" s="7" t="s">
        <v>1890</v>
      </c>
      <c r="B1019" s="8" t="s">
        <v>1867</v>
      </c>
      <c r="C1019" s="8" t="s">
        <v>1839</v>
      </c>
      <c r="D1019" s="9"/>
      <c r="E1019" s="9"/>
      <c r="F1019" s="9"/>
      <c r="G1019" s="8" t="s">
        <v>21</v>
      </c>
      <c r="H1019" s="9"/>
      <c r="I1019" s="9"/>
      <c r="N1019" s="10" t="str">
        <f t="shared" si="2"/>
        <v>21-5705(a)(2)-(7) - Drugs; Distribute or possess with intent to distribute; Drugs listed in subsection (a)(2) through (a)(7) which are distributed by dosage unit; Quantity of 1000 or more</v>
      </c>
      <c r="O1019" s="10" t="str">
        <f t="shared" si="3"/>
        <v>Drugs</v>
      </c>
    </row>
    <row r="1020">
      <c r="A1020" s="7" t="s">
        <v>1891</v>
      </c>
      <c r="B1020" s="8" t="s">
        <v>1867</v>
      </c>
      <c r="C1020" s="8" t="s">
        <v>1839</v>
      </c>
      <c r="D1020" s="9"/>
      <c r="E1020" s="9"/>
      <c r="F1020" s="9"/>
      <c r="G1020" s="8" t="s">
        <v>21</v>
      </c>
      <c r="H1020" s="9"/>
      <c r="I1020" s="9"/>
      <c r="N1020" s="10" t="str">
        <f t="shared" si="2"/>
        <v>21-5705(a)(2)-(7) - Drugs; Distribute or possess with intent to distribute; Drugs listed in subsection (a)(2) through (a)(7) which are distributed by dosage unit; Quantity of 1000 or more; Within 1000 feet of school property</v>
      </c>
      <c r="O1020" s="10" t="str">
        <f t="shared" si="3"/>
        <v>Drugs</v>
      </c>
    </row>
    <row r="1021">
      <c r="A1021" s="7" t="s">
        <v>1892</v>
      </c>
      <c r="B1021" s="8" t="s">
        <v>1867</v>
      </c>
      <c r="C1021" s="8" t="s">
        <v>1843</v>
      </c>
      <c r="D1021" s="9"/>
      <c r="E1021" s="9"/>
      <c r="F1021" s="9"/>
      <c r="G1021" s="8" t="s">
        <v>21</v>
      </c>
      <c r="H1021" s="9"/>
      <c r="I1021" s="9"/>
      <c r="N1021" s="10" t="str">
        <f t="shared" si="2"/>
        <v>21-5705(a)(2)-(7) - Drugs; Distribute or possess with intent to distribute; Drugs listed in subsection (a)(2) through (a)(7) which are distributed by dosage unit; Quantity of fewer than 10</v>
      </c>
      <c r="O1021" s="10" t="str">
        <f t="shared" si="3"/>
        <v>Drugs</v>
      </c>
    </row>
    <row r="1022">
      <c r="A1022" s="7" t="s">
        <v>1893</v>
      </c>
      <c r="B1022" s="8" t="s">
        <v>1867</v>
      </c>
      <c r="C1022" s="8" t="s">
        <v>1834</v>
      </c>
      <c r="D1022" s="9"/>
      <c r="E1022" s="9"/>
      <c r="F1022" s="9"/>
      <c r="G1022" s="8" t="s">
        <v>21</v>
      </c>
      <c r="H1022" s="9"/>
      <c r="I1022" s="9"/>
      <c r="N1022" s="10" t="str">
        <f t="shared" si="2"/>
        <v>21-5705(a)(2)-(7) - Drugs; Distribute or possess with intent to distribute; Drugs listed in subsection (a)(2) through (a)(7) which are distributed by dosage unit; Quantity of fewer than 10; Within 1000 feet of school property</v>
      </c>
      <c r="O1022" s="10" t="str">
        <f t="shared" si="3"/>
        <v>Drugs</v>
      </c>
    </row>
    <row r="1023">
      <c r="A1023" s="7" t="s">
        <v>1894</v>
      </c>
      <c r="B1023" s="8" t="s">
        <v>1858</v>
      </c>
      <c r="C1023" s="8" t="s">
        <v>1834</v>
      </c>
      <c r="D1023" s="9"/>
      <c r="E1023" s="9"/>
      <c r="F1023" s="9"/>
      <c r="G1023" s="8" t="s">
        <v>21</v>
      </c>
      <c r="H1023" s="8" t="s">
        <v>109</v>
      </c>
      <c r="I1023" s="9"/>
      <c r="N1023" s="10" t="str">
        <f t="shared" si="2"/>
        <v>21-5705(a)(1) - Drugs; Distribute or possess with intent to distribute; Heroin or Methamphetamine; Quantity of 1 gram but less than 3.5 grams</v>
      </c>
      <c r="O1023" s="10" t="str">
        <f t="shared" si="3"/>
        <v>Drugs</v>
      </c>
    </row>
    <row r="1024">
      <c r="A1024" s="7" t="s">
        <v>1895</v>
      </c>
      <c r="B1024" s="8" t="s">
        <v>1858</v>
      </c>
      <c r="C1024" s="8" t="s">
        <v>1846</v>
      </c>
      <c r="D1024" s="9"/>
      <c r="E1024" s="9"/>
      <c r="F1024" s="9"/>
      <c r="G1024" s="8" t="s">
        <v>21</v>
      </c>
      <c r="H1024" s="8" t="s">
        <v>109</v>
      </c>
      <c r="I1024" s="9"/>
      <c r="N1024" s="10" t="str">
        <f t="shared" si="2"/>
        <v>21-5705(a)(1) - Drugs; Distribute or possess with intent to distribute; Heroin or Methamphetamine; Quantity of 1 gram but less than 3.5 grams; Within 1000 feet of school property</v>
      </c>
      <c r="O1024" s="10" t="str">
        <f t="shared" si="3"/>
        <v>Drugs</v>
      </c>
    </row>
    <row r="1025">
      <c r="A1025" s="7" t="s">
        <v>1896</v>
      </c>
      <c r="B1025" s="8" t="s">
        <v>1858</v>
      </c>
      <c r="C1025" s="8" t="s">
        <v>1839</v>
      </c>
      <c r="D1025" s="9"/>
      <c r="E1025" s="9"/>
      <c r="F1025" s="9"/>
      <c r="G1025" s="8" t="s">
        <v>21</v>
      </c>
      <c r="H1025" s="8" t="s">
        <v>109</v>
      </c>
      <c r="I1025" s="9"/>
      <c r="N1025" s="10" t="str">
        <f t="shared" si="2"/>
        <v>21-5705(a)(1) - Drugs; Distribute or possess with intent to distribute; Heroin or Methamphetamine; Quantity of 100 grams or more</v>
      </c>
      <c r="O1025" s="10" t="str">
        <f t="shared" si="3"/>
        <v>Drugs</v>
      </c>
    </row>
    <row r="1026">
      <c r="A1026" s="7" t="s">
        <v>1897</v>
      </c>
      <c r="B1026" s="8" t="s">
        <v>1858</v>
      </c>
      <c r="C1026" s="8" t="s">
        <v>1839</v>
      </c>
      <c r="D1026" s="9"/>
      <c r="E1026" s="9"/>
      <c r="F1026" s="9"/>
      <c r="G1026" s="8" t="s">
        <v>21</v>
      </c>
      <c r="H1026" s="8" t="s">
        <v>109</v>
      </c>
      <c r="I1026" s="9"/>
      <c r="N1026" s="10" t="str">
        <f t="shared" si="2"/>
        <v>21-5705(a)(1) - Drugs; Distribute or possess with intent to distribute; Heroin or Methamphetamine; Quantity of 100 grams or more; Within 1000 feet of school property</v>
      </c>
      <c r="O1026" s="10" t="str">
        <f t="shared" si="3"/>
        <v>Drugs</v>
      </c>
    </row>
    <row r="1027">
      <c r="A1027" s="7" t="s">
        <v>1898</v>
      </c>
      <c r="B1027" s="8" t="s">
        <v>1858</v>
      </c>
      <c r="C1027" s="8" t="s">
        <v>1846</v>
      </c>
      <c r="D1027" s="9"/>
      <c r="E1027" s="9"/>
      <c r="F1027" s="9"/>
      <c r="G1027" s="8" t="s">
        <v>21</v>
      </c>
      <c r="H1027" s="8" t="s">
        <v>109</v>
      </c>
      <c r="I1027" s="9"/>
      <c r="N1027" s="10" t="str">
        <f t="shared" si="2"/>
        <v>21-5705(a)(1) - Drugs; Distribute or possess with intent to distribute; Heroin or Methamphetamine; Quantity of 3.5 grams but less than 100 grams</v>
      </c>
      <c r="O1027" s="10" t="str">
        <f t="shared" si="3"/>
        <v>Drugs</v>
      </c>
    </row>
    <row r="1028">
      <c r="A1028" s="7" t="s">
        <v>1899</v>
      </c>
      <c r="B1028" s="8" t="s">
        <v>1858</v>
      </c>
      <c r="C1028" s="8" t="s">
        <v>1839</v>
      </c>
      <c r="D1028" s="9"/>
      <c r="E1028" s="9"/>
      <c r="F1028" s="9"/>
      <c r="G1028" s="8" t="s">
        <v>21</v>
      </c>
      <c r="H1028" s="8" t="s">
        <v>109</v>
      </c>
      <c r="I1028" s="9"/>
      <c r="N1028" s="10" t="str">
        <f t="shared" si="2"/>
        <v>21-5705(a)(1) - Drugs; Distribute or possess with intent to distribute; Heroin or Methamphetamine; Quantity of 3.5 grams but less than 100 grams; Within 1000 feet of school property</v>
      </c>
      <c r="O1028" s="10" t="str">
        <f t="shared" si="3"/>
        <v>Drugs</v>
      </c>
    </row>
    <row r="1029">
      <c r="A1029" s="7" t="s">
        <v>1900</v>
      </c>
      <c r="B1029" s="8" t="s">
        <v>1858</v>
      </c>
      <c r="C1029" s="8" t="s">
        <v>1843</v>
      </c>
      <c r="D1029" s="9"/>
      <c r="E1029" s="9"/>
      <c r="F1029" s="9"/>
      <c r="G1029" s="8" t="s">
        <v>21</v>
      </c>
      <c r="H1029" s="8" t="s">
        <v>109</v>
      </c>
      <c r="I1029" s="9"/>
      <c r="N1029" s="10" t="str">
        <f t="shared" si="2"/>
        <v>21-5705(a)(1) - Drugs; Distribute or possess with intent to distribute; Heroin or Methamphetamine; Quantity of less than 1 gram</v>
      </c>
      <c r="O1029" s="10" t="str">
        <f t="shared" si="3"/>
        <v>Drugs</v>
      </c>
    </row>
    <row r="1030">
      <c r="A1030" s="7" t="s">
        <v>1901</v>
      </c>
      <c r="B1030" s="8" t="s">
        <v>1858</v>
      </c>
      <c r="C1030" s="8" t="s">
        <v>1834</v>
      </c>
      <c r="D1030" s="9"/>
      <c r="E1030" s="9"/>
      <c r="F1030" s="9"/>
      <c r="G1030" s="8" t="s">
        <v>21</v>
      </c>
      <c r="H1030" s="8" t="s">
        <v>109</v>
      </c>
      <c r="I1030" s="9"/>
      <c r="N1030" s="10" t="str">
        <f t="shared" si="2"/>
        <v>21-5705(a)(1) - Drugs; Distribute or possess with intent to distribute; Heroin or Methamphetamine; Quantity of less than 1 gram; Within 1000 feet of school property</v>
      </c>
      <c r="O1030" s="10" t="str">
        <f t="shared" si="3"/>
        <v>Drugs</v>
      </c>
    </row>
    <row r="1031">
      <c r="A1031" s="7" t="s">
        <v>1902</v>
      </c>
      <c r="B1031" s="8" t="s">
        <v>1903</v>
      </c>
      <c r="C1031" s="8" t="s">
        <v>1834</v>
      </c>
      <c r="D1031" s="9"/>
      <c r="E1031" s="9"/>
      <c r="F1031" s="9"/>
      <c r="G1031" s="8" t="s">
        <v>21</v>
      </c>
      <c r="H1031" s="9"/>
      <c r="I1031" s="9"/>
      <c r="N1031" s="10" t="str">
        <f t="shared" si="2"/>
        <v>21-5705(a) - Drugs; Distribute or possess with intent to distribute; Marijuana; Quantity of 25 grams but less than 450 grams</v>
      </c>
      <c r="O1031" s="10" t="str">
        <f t="shared" si="3"/>
        <v>Drugs</v>
      </c>
    </row>
    <row r="1032">
      <c r="A1032" s="7" t="s">
        <v>1904</v>
      </c>
      <c r="B1032" s="8" t="s">
        <v>1903</v>
      </c>
      <c r="C1032" s="8" t="s">
        <v>1846</v>
      </c>
      <c r="D1032" s="9"/>
      <c r="E1032" s="9"/>
      <c r="F1032" s="9"/>
      <c r="G1032" s="8" t="s">
        <v>21</v>
      </c>
      <c r="H1032" s="9"/>
      <c r="I1032" s="9"/>
      <c r="N1032" s="10" t="str">
        <f t="shared" si="2"/>
        <v>21-5705(a) - Drugs; Distribute or possess with intent to distribute; Marijuana; Quantity of 25 grams but less than 450 grams; Within 1000 feet of school property</v>
      </c>
      <c r="O1032" s="10" t="str">
        <f t="shared" si="3"/>
        <v>Drugs</v>
      </c>
    </row>
    <row r="1033">
      <c r="A1033" s="7" t="s">
        <v>1905</v>
      </c>
      <c r="B1033" s="8" t="s">
        <v>1903</v>
      </c>
      <c r="C1033" s="8" t="s">
        <v>1839</v>
      </c>
      <c r="D1033" s="9"/>
      <c r="E1033" s="9"/>
      <c r="F1033" s="9"/>
      <c r="G1033" s="8" t="s">
        <v>21</v>
      </c>
      <c r="H1033" s="9"/>
      <c r="I1033" s="9"/>
      <c r="N1033" s="10" t="str">
        <f t="shared" si="2"/>
        <v>21-5705(a) - Drugs; Distribute or possess with intent to distribute; Marijuana; Quantity of 30 kilograms or more</v>
      </c>
      <c r="O1033" s="10" t="str">
        <f t="shared" si="3"/>
        <v>Drugs</v>
      </c>
    </row>
    <row r="1034">
      <c r="A1034" s="7" t="s">
        <v>1906</v>
      </c>
      <c r="B1034" s="8" t="s">
        <v>1903</v>
      </c>
      <c r="C1034" s="8" t="s">
        <v>1839</v>
      </c>
      <c r="D1034" s="9"/>
      <c r="E1034" s="9"/>
      <c r="F1034" s="9"/>
      <c r="G1034" s="8" t="s">
        <v>21</v>
      </c>
      <c r="H1034" s="9"/>
      <c r="I1034" s="9"/>
      <c r="N1034" s="10" t="str">
        <f t="shared" si="2"/>
        <v>21-5705(a) - Drugs; Distribute or possess with intent to distribute; Marijuana; Quantity of 30 kilograms or more; Within 1000 feet of school property</v>
      </c>
      <c r="O1034" s="10" t="str">
        <f t="shared" si="3"/>
        <v>Drugs</v>
      </c>
    </row>
    <row r="1035">
      <c r="A1035" s="7" t="s">
        <v>1907</v>
      </c>
      <c r="B1035" s="8" t="s">
        <v>1903</v>
      </c>
      <c r="C1035" s="8" t="s">
        <v>1846</v>
      </c>
      <c r="D1035" s="9"/>
      <c r="E1035" s="9"/>
      <c r="F1035" s="9"/>
      <c r="G1035" s="8" t="s">
        <v>21</v>
      </c>
      <c r="H1035" s="9"/>
      <c r="I1035" s="9"/>
      <c r="N1035" s="10" t="str">
        <f t="shared" si="2"/>
        <v>21-5705(a) - Drugs; Distribute or possess with intent to distribute; Marijuana; Quantity of 450 grams but less than 30 kilograms</v>
      </c>
      <c r="O1035" s="10" t="str">
        <f t="shared" si="3"/>
        <v>Drugs</v>
      </c>
    </row>
    <row r="1036">
      <c r="A1036" s="7" t="s">
        <v>1908</v>
      </c>
      <c r="B1036" s="8" t="s">
        <v>1903</v>
      </c>
      <c r="C1036" s="8" t="s">
        <v>1839</v>
      </c>
      <c r="D1036" s="9"/>
      <c r="E1036" s="9"/>
      <c r="F1036" s="9"/>
      <c r="G1036" s="8" t="s">
        <v>21</v>
      </c>
      <c r="H1036" s="9"/>
      <c r="I1036" s="9"/>
      <c r="N1036" s="10" t="str">
        <f t="shared" si="2"/>
        <v>21-5705(a) - Drugs; Distribute or possess with intent to distribute; Marijuana; Quantity of 450 grams but less than 30 kilograms; Within 1000 feet of school property</v>
      </c>
      <c r="O1036" s="10" t="str">
        <f t="shared" si="3"/>
        <v>Drugs</v>
      </c>
    </row>
    <row r="1037">
      <c r="A1037" s="7" t="s">
        <v>1909</v>
      </c>
      <c r="B1037" s="8" t="s">
        <v>1903</v>
      </c>
      <c r="C1037" s="8" t="s">
        <v>1843</v>
      </c>
      <c r="D1037" s="9"/>
      <c r="E1037" s="9"/>
      <c r="F1037" s="9"/>
      <c r="G1037" s="8" t="s">
        <v>21</v>
      </c>
      <c r="H1037" s="9"/>
      <c r="I1037" s="9"/>
      <c r="N1037" s="10" t="str">
        <f t="shared" si="2"/>
        <v>21-5705(a) - Drugs; Distribute or possess with intent to distribute; Marijuana; Quantity of less than 25 grams</v>
      </c>
      <c r="O1037" s="10" t="str">
        <f t="shared" si="3"/>
        <v>Drugs</v>
      </c>
    </row>
    <row r="1038">
      <c r="A1038" s="7" t="s">
        <v>1910</v>
      </c>
      <c r="B1038" s="8" t="s">
        <v>1903</v>
      </c>
      <c r="C1038" s="8" t="s">
        <v>1834</v>
      </c>
      <c r="D1038" s="9"/>
      <c r="E1038" s="9"/>
      <c r="F1038" s="9"/>
      <c r="G1038" s="8" t="s">
        <v>21</v>
      </c>
      <c r="H1038" s="9"/>
      <c r="I1038" s="9"/>
      <c r="N1038" s="10" t="str">
        <f t="shared" si="2"/>
        <v>21-5705(a) - Drugs; Distribute or possess with intent to distribute; Marijuana; Quantity of less than 25 grams; Within 1000 feet of school property</v>
      </c>
      <c r="O1038" s="10" t="str">
        <f t="shared" si="3"/>
        <v>Drugs</v>
      </c>
    </row>
    <row r="1039">
      <c r="A1039" s="7" t="s">
        <v>1911</v>
      </c>
      <c r="B1039" s="8" t="s">
        <v>1912</v>
      </c>
      <c r="C1039" s="8" t="s">
        <v>27</v>
      </c>
      <c r="D1039" s="8" t="s">
        <v>28</v>
      </c>
      <c r="E1039" s="8" t="s">
        <v>19</v>
      </c>
      <c r="F1039" s="8" t="s">
        <v>20</v>
      </c>
      <c r="G1039" s="8" t="s">
        <v>21</v>
      </c>
      <c r="H1039" s="9"/>
      <c r="I1039" s="9"/>
      <c r="J1039" s="10">
        <f t="shared" ref="J1039:M1039" si="641">ifs(OR($H1039="R",$I1039="N"),"N/A",OR(C1039="A",C1039="B",C1039="C",C1039="U"),3,TRUE,"FLAG")</f>
        <v>3</v>
      </c>
      <c r="K1039" s="10">
        <f t="shared" si="641"/>
        <v>3</v>
      </c>
      <c r="L1039" s="10">
        <f t="shared" si="641"/>
        <v>3</v>
      </c>
      <c r="M1039" s="10" t="str">
        <f t="shared" si="641"/>
        <v>FLAG</v>
      </c>
      <c r="N1039" s="10" t="str">
        <f t="shared" si="2"/>
        <v>21-5714(a)(2) - Drugs; Distribute, possess with intent to distribute any substance which is not a controlled substance under circumstances which would give a reasonable person reason to believe that substance is controlled substance</v>
      </c>
      <c r="O1039" s="10" t="str">
        <f t="shared" si="3"/>
        <v>Drugs</v>
      </c>
    </row>
    <row r="1040">
      <c r="A1040" s="7" t="s">
        <v>1913</v>
      </c>
      <c r="B1040" s="8" t="s">
        <v>1914</v>
      </c>
      <c r="C1040" s="8" t="s">
        <v>27</v>
      </c>
      <c r="D1040" s="8" t="s">
        <v>28</v>
      </c>
      <c r="E1040" s="8" t="s">
        <v>19</v>
      </c>
      <c r="F1040" s="8" t="s">
        <v>20</v>
      </c>
      <c r="G1040" s="8" t="s">
        <v>21</v>
      </c>
      <c r="H1040" s="9"/>
      <c r="I1040" s="9"/>
      <c r="J1040" s="10">
        <f t="shared" ref="J1040:M1040" si="642">ifs(OR($H1040="R",$I1040="N"),"N/A",OR(C1040="A",C1040="B",C1040="C",C1040="U"),3,TRUE,"FLAG")</f>
        <v>3</v>
      </c>
      <c r="K1040" s="10">
        <f t="shared" si="642"/>
        <v>3</v>
      </c>
      <c r="L1040" s="10">
        <f t="shared" si="642"/>
        <v>3</v>
      </c>
      <c r="M1040" s="10" t="str">
        <f t="shared" si="642"/>
        <v>FLAG</v>
      </c>
      <c r="N1040" s="10" t="str">
        <f t="shared" si="2"/>
        <v>21-5714(a)(1) - Drugs; Distribute, possess with intent to distribute any substance which is not a controlled substance upon express representation that noncontrolled substance is controlled substance, or that substance is of such nature/appearance that the recipient will be able to distribute the substance as a controlled substance</v>
      </c>
      <c r="O1040" s="10" t="str">
        <f t="shared" si="3"/>
        <v>Drugs</v>
      </c>
    </row>
    <row r="1041">
      <c r="A1041" s="7" t="s">
        <v>1915</v>
      </c>
      <c r="B1041" s="8" t="s">
        <v>1916</v>
      </c>
      <c r="C1041" s="8" t="s">
        <v>1841</v>
      </c>
      <c r="D1041" s="9"/>
      <c r="E1041" s="9"/>
      <c r="F1041" s="9"/>
      <c r="G1041" s="8" t="s">
        <v>21</v>
      </c>
      <c r="H1041" s="9"/>
      <c r="I1041" s="9"/>
      <c r="N1041" s="10" t="str">
        <f t="shared" si="2"/>
        <v>21-5710(b) - Drugs; Distribute, possess with intent to distribute or manufacture with intent to distribute any drug paraphernalia, knowing or reasonably should know that it will be used to manufacture or distribute a controlled substance or controlled substance analog</v>
      </c>
      <c r="O1041" s="10" t="str">
        <f t="shared" si="3"/>
        <v>Drugs</v>
      </c>
    </row>
    <row r="1042">
      <c r="A1042" s="7" t="s">
        <v>1917</v>
      </c>
      <c r="B1042" s="8" t="s">
        <v>1916</v>
      </c>
      <c r="C1042" s="8" t="s">
        <v>1843</v>
      </c>
      <c r="D1042" s="9"/>
      <c r="E1042" s="9"/>
      <c r="F1042" s="9"/>
      <c r="G1042" s="8" t="s">
        <v>21</v>
      </c>
      <c r="H1042" s="9"/>
      <c r="I1042" s="9"/>
      <c r="N1042" s="10" t="str">
        <f t="shared" si="2"/>
        <v>21-5710(b) - Drugs; Distribute, possess with intent to distribute or manufacture with intent to distribute any drug paraphernalia, knowing or reasonably should know that it will be used to manufacture or distribute a controlled substance or controlled substance analog; finding that offender distributed or caused drug paraphernalia to be distributed on or within 1,000 ft of school property OR to a minor</v>
      </c>
      <c r="O1042" s="10" t="str">
        <f t="shared" si="3"/>
        <v>Drugs</v>
      </c>
    </row>
    <row r="1043">
      <c r="A1043" s="7" t="s">
        <v>1918</v>
      </c>
      <c r="B1043" s="8" t="s">
        <v>1919</v>
      </c>
      <c r="C1043" s="8">
        <v>9.0</v>
      </c>
      <c r="D1043" s="8">
        <v>10.0</v>
      </c>
      <c r="E1043" s="8">
        <v>10.0</v>
      </c>
      <c r="F1043" s="8">
        <v>10.0</v>
      </c>
      <c r="G1043" s="8" t="s">
        <v>21</v>
      </c>
      <c r="H1043" s="9"/>
      <c r="I1043" s="9"/>
      <c r="N1043" s="10" t="str">
        <f t="shared" si="2"/>
        <v>21-5710(c) - Drugs; Distribute, possess with intent to distribute or manufacture with intent to distribute, any drug paraphernalia, knowing or reasonably should know it will be used in violation of K.S.A. 21-5701 through 21-5717 , except K.S.A. 21-5706(b)</v>
      </c>
      <c r="O1043" s="10" t="str">
        <f t="shared" si="3"/>
        <v>Drugs</v>
      </c>
    </row>
    <row r="1044">
      <c r="A1044" s="7" t="s">
        <v>1920</v>
      </c>
      <c r="B1044" s="8" t="s">
        <v>1919</v>
      </c>
      <c r="C1044" s="8" t="s">
        <v>1841</v>
      </c>
      <c r="D1044" s="9"/>
      <c r="E1044" s="9"/>
      <c r="F1044" s="9"/>
      <c r="G1044" s="8" t="s">
        <v>21</v>
      </c>
      <c r="H1044" s="9"/>
      <c r="I1044" s="9"/>
      <c r="N1044" s="10" t="str">
        <f t="shared" si="2"/>
        <v>21-5710(c) - Drugs; Distribute, possess with intent to distribute or manufacture with intent to distribute, any drug paraphernalia, knowing or reasonably should know it will be used in violation of K.S.A. 21-5701 through 21-5717, except K.S.A. 21-5706(b); finding that offender distributed or caused drug paraphernalia to be distributed on or within 1000 ft. of school property OR to a minor</v>
      </c>
      <c r="O1044" s="10" t="str">
        <f t="shared" si="3"/>
        <v>Drugs</v>
      </c>
    </row>
    <row r="1045">
      <c r="A1045" s="7" t="s">
        <v>1921</v>
      </c>
      <c r="B1045" s="8" t="s">
        <v>1922</v>
      </c>
      <c r="C1045" s="8" t="s">
        <v>27</v>
      </c>
      <c r="D1045" s="8" t="s">
        <v>28</v>
      </c>
      <c r="E1045" s="8" t="s">
        <v>19</v>
      </c>
      <c r="F1045" s="8" t="s">
        <v>20</v>
      </c>
      <c r="G1045" s="8" t="s">
        <v>21</v>
      </c>
      <c r="H1045" s="9"/>
      <c r="I1045" s="9"/>
      <c r="J1045" s="10">
        <f t="shared" ref="J1045:M1045" si="643">ifs(OR($H1045="R",$I1045="N"),"N/A",OR(C1045="A",C1045="B",C1045="C",C1045="U"),3,TRUE,"FLAG")</f>
        <v>3</v>
      </c>
      <c r="K1045" s="10">
        <f t="shared" si="643"/>
        <v>3</v>
      </c>
      <c r="L1045" s="10">
        <f t="shared" si="643"/>
        <v>3</v>
      </c>
      <c r="M1045" s="10" t="str">
        <f t="shared" si="643"/>
        <v>FLAG</v>
      </c>
      <c r="N1045" s="10" t="str">
        <f t="shared" si="2"/>
        <v>21-5710(d) - Drugs; Distribute, possess with intent to distribute or manufacture with intent to distribute, any drug paraphernalia, knowing or reasonably should know it will be used in violation of K.S.A. 21-5706(b)</v>
      </c>
      <c r="O1045" s="10" t="str">
        <f t="shared" si="3"/>
        <v>Drugs</v>
      </c>
    </row>
    <row r="1046">
      <c r="A1046" s="7" t="s">
        <v>1923</v>
      </c>
      <c r="B1046" s="8" t="s">
        <v>1922</v>
      </c>
      <c r="C1046" s="8">
        <v>9.0</v>
      </c>
      <c r="D1046" s="8">
        <v>10.0</v>
      </c>
      <c r="E1046" s="8">
        <v>10.0</v>
      </c>
      <c r="F1046" s="8">
        <v>10.0</v>
      </c>
      <c r="G1046" s="8" t="s">
        <v>21</v>
      </c>
      <c r="H1046" s="9"/>
      <c r="I1046" s="9"/>
      <c r="N1046" s="10" t="str">
        <f t="shared" si="2"/>
        <v>21-5710(d) - Drugs; Distribute, possess with intent to distribute or manufacture with intent to distribute, any drug paraphernalia, knowing or reasonably should know it will be used in violation of K.S.A. 21-5706(b); finding that offender distributed or caused drug paraphernalia to be distributed within 1000 ft. of school property OR to a minor</v>
      </c>
      <c r="O1046" s="10" t="str">
        <f t="shared" si="3"/>
        <v>Drugs</v>
      </c>
    </row>
    <row r="1047">
      <c r="A1047" s="7" t="s">
        <v>1924</v>
      </c>
      <c r="B1047" s="8" t="s">
        <v>1912</v>
      </c>
      <c r="C1047" s="8">
        <v>9.0</v>
      </c>
      <c r="D1047" s="8">
        <v>10.0</v>
      </c>
      <c r="E1047" s="8">
        <v>10.0</v>
      </c>
      <c r="F1047" s="8">
        <v>10.0</v>
      </c>
      <c r="G1047" s="8" t="s">
        <v>21</v>
      </c>
      <c r="H1047" s="9"/>
      <c r="I1047" s="9"/>
      <c r="N1047" s="10" t="str">
        <f t="shared" si="2"/>
        <v>21-5714(a)(2) - Drugs; Distribute, possess with intent to distribute, any substance which is not a controlled substance under circumstances which would give a reasonable person reason to believe that substance is controlled substance; to minor by a person over 18 and at least 3 yrs older than minor</v>
      </c>
      <c r="O1047" s="10" t="str">
        <f t="shared" si="3"/>
        <v>Drugs</v>
      </c>
    </row>
    <row r="1048">
      <c r="A1048" s="7" t="s">
        <v>1925</v>
      </c>
      <c r="B1048" s="8" t="s">
        <v>1914</v>
      </c>
      <c r="C1048" s="8">
        <v>9.0</v>
      </c>
      <c r="D1048" s="8">
        <v>10.0</v>
      </c>
      <c r="E1048" s="8">
        <v>10.0</v>
      </c>
      <c r="F1048" s="8">
        <v>10.0</v>
      </c>
      <c r="G1048" s="8" t="s">
        <v>21</v>
      </c>
      <c r="H1048" s="9"/>
      <c r="I1048" s="9"/>
      <c r="N1048" s="10" t="str">
        <f t="shared" si="2"/>
        <v>21-5714(a)(1) - Drugs; Distribute, possess with intent to distribute, any substance which is not a controlled substance upon express representation that noncontrolled substance is controlled substance, or that substance is of such nature/appearance that the recipient will be able to distribute the substance as a controlled substance; to minor by a person over 18 and at least 3 yrs older than minor</v>
      </c>
      <c r="O1048" s="10" t="str">
        <f t="shared" si="3"/>
        <v>Drugs</v>
      </c>
    </row>
    <row r="1049">
      <c r="A1049" s="7" t="s">
        <v>1926</v>
      </c>
      <c r="B1049" s="8" t="s">
        <v>1927</v>
      </c>
      <c r="C1049" s="8">
        <v>9.0</v>
      </c>
      <c r="D1049" s="8">
        <v>10.0</v>
      </c>
      <c r="E1049" s="8">
        <v>10.0</v>
      </c>
      <c r="F1049" s="8">
        <v>10.0</v>
      </c>
      <c r="G1049" s="8" t="s">
        <v>21</v>
      </c>
      <c r="H1049" s="9"/>
      <c r="I1049" s="9"/>
      <c r="N1049" s="10" t="str">
        <f t="shared" si="2"/>
        <v>21-5713(a) - Drugs; Distribute, possess with intent to distribute, or manufacture with intent to distribute any simulated controlled substance</v>
      </c>
      <c r="O1049" s="10" t="str">
        <f t="shared" si="3"/>
        <v>Drugs</v>
      </c>
    </row>
    <row r="1050">
      <c r="A1050" s="7" t="s">
        <v>1928</v>
      </c>
      <c r="B1050" s="8" t="s">
        <v>1929</v>
      </c>
      <c r="C1050" s="8">
        <v>7.0</v>
      </c>
      <c r="D1050" s="8">
        <v>9.0</v>
      </c>
      <c r="E1050" s="8">
        <v>9.0</v>
      </c>
      <c r="F1050" s="8">
        <v>10.0</v>
      </c>
      <c r="G1050" s="8" t="s">
        <v>21</v>
      </c>
      <c r="H1050" s="9"/>
      <c r="I1050" s="9"/>
      <c r="N1050" s="10" t="str">
        <f t="shared" si="2"/>
        <v>21-5713(b) - Drugs; Distribute, possess with intent to distribute, or manufacture with intent to distribute any simulated controlled substance; finding that offender is 18 or more yrs of age and violation occurred on or within 1000 ft. of school property</v>
      </c>
      <c r="O1050" s="10" t="str">
        <f t="shared" si="3"/>
        <v>Drugs</v>
      </c>
    </row>
    <row r="1051">
      <c r="A1051" s="7" t="s">
        <v>1930</v>
      </c>
      <c r="B1051" s="8" t="s">
        <v>1931</v>
      </c>
      <c r="C1051" s="8" t="s">
        <v>1843</v>
      </c>
      <c r="D1051" s="9"/>
      <c r="E1051" s="9"/>
      <c r="F1051" s="9"/>
      <c r="G1051" s="8" t="s">
        <v>21</v>
      </c>
      <c r="H1051" s="9"/>
      <c r="I1051" s="9"/>
      <c r="N1051" s="10" t="str">
        <f t="shared" si="2"/>
        <v>21-5716(b) - Drugs; Distribute/invest/conceal/transport/maintain an interest in or otherwise make available anything of value which that person knows is intended to be used for the purpose of committing or furthering the commission of any crime in K.S.A. 21-36a01 through 21-36a17; at least $5,000 but less than $100,000</v>
      </c>
      <c r="O1051" s="10" t="str">
        <f t="shared" si="3"/>
        <v>Drugs</v>
      </c>
    </row>
    <row r="1052">
      <c r="A1052" s="7" t="s">
        <v>1932</v>
      </c>
      <c r="B1052" s="8" t="s">
        <v>1933</v>
      </c>
      <c r="C1052" s="8" t="s">
        <v>1834</v>
      </c>
      <c r="D1052" s="9"/>
      <c r="E1052" s="9"/>
      <c r="F1052" s="9"/>
      <c r="G1052" s="8" t="s">
        <v>21</v>
      </c>
      <c r="H1052" s="9"/>
      <c r="I1052" s="9"/>
      <c r="N1052" s="10" t="str">
        <f t="shared" si="2"/>
        <v>21-5716(a) - Drugs; Distribute/invest/conceal/transport/maintain an interest in or otherwise make available anything of value which that person knows is intended to be used for the purpose of committing or furthering the commission of any crime in K.S.A. 21-5701 through 21-5717; at least $100,000 but less than $250,000</v>
      </c>
      <c r="O1052" s="10" t="str">
        <f t="shared" si="3"/>
        <v>Drugs</v>
      </c>
    </row>
    <row r="1053">
      <c r="A1053" s="7" t="s">
        <v>1934</v>
      </c>
      <c r="B1053" s="8" t="s">
        <v>1933</v>
      </c>
      <c r="C1053" s="8" t="s">
        <v>1846</v>
      </c>
      <c r="D1053" s="9"/>
      <c r="E1053" s="9"/>
      <c r="F1053" s="9"/>
      <c r="G1053" s="8" t="s">
        <v>21</v>
      </c>
      <c r="H1053" s="9"/>
      <c r="I1053" s="9"/>
      <c r="N1053" s="10" t="str">
        <f t="shared" si="2"/>
        <v>21-5716(a) - Drugs; Distribute/invest/conceal/transport/maintain an interest in or otherwise make available anything of value which that person knows is intended to be used for the purpose of committing or furthering the commission of any crime in K.S.A. 21-5701 through 21-5717; at least $250,000 but less than $500,000</v>
      </c>
      <c r="O1053" s="10" t="str">
        <f t="shared" si="3"/>
        <v>Drugs</v>
      </c>
    </row>
    <row r="1054">
      <c r="A1054" s="7" t="s">
        <v>1935</v>
      </c>
      <c r="B1054" s="8" t="s">
        <v>1933</v>
      </c>
      <c r="C1054" s="8" t="s">
        <v>1839</v>
      </c>
      <c r="D1054" s="9"/>
      <c r="E1054" s="9"/>
      <c r="F1054" s="9"/>
      <c r="G1054" s="8" t="s">
        <v>21</v>
      </c>
      <c r="H1054" s="9"/>
      <c r="I1054" s="9"/>
      <c r="N1054" s="10" t="str">
        <f t="shared" si="2"/>
        <v>21-5716(a) - Drugs; Distribute/invest/conceal/transport/maintain an interest in or otherwise make available anything of value which that person knows is intended to be used for the purpose of committing or furthering the commission of any crime in K.S.A. 21-5701 through 21-5717; $500,000 or more</v>
      </c>
      <c r="O1054" s="10" t="str">
        <f t="shared" si="3"/>
        <v>Drugs</v>
      </c>
    </row>
    <row r="1055">
      <c r="A1055" s="7" t="s">
        <v>1936</v>
      </c>
      <c r="B1055" s="8" t="s">
        <v>1931</v>
      </c>
      <c r="C1055" s="8" t="s">
        <v>1841</v>
      </c>
      <c r="D1055" s="9"/>
      <c r="E1055" s="9"/>
      <c r="F1055" s="9"/>
      <c r="G1055" s="8" t="s">
        <v>21</v>
      </c>
      <c r="H1055" s="9"/>
      <c r="I1055" s="9"/>
      <c r="N1055" s="10" t="str">
        <f t="shared" si="2"/>
        <v>21-5716(b) - Drugs; Distribute/invest/conceal/transport/maintain an interest in or otherwise make available anything of value which that person knows is intended to be used for the purpose of committing or furthering the commission of any crime in K.S.A. 21-5701 through 21-5717; less than $5,000</v>
      </c>
      <c r="O1055" s="10" t="str">
        <f t="shared" si="3"/>
        <v>Drugs</v>
      </c>
    </row>
    <row r="1056">
      <c r="A1056" s="7" t="s">
        <v>1932</v>
      </c>
      <c r="B1056" s="8" t="s">
        <v>1931</v>
      </c>
      <c r="C1056" s="8" t="s">
        <v>1834</v>
      </c>
      <c r="D1056" s="9"/>
      <c r="E1056" s="9"/>
      <c r="F1056" s="9"/>
      <c r="G1056" s="8" t="s">
        <v>21</v>
      </c>
      <c r="H1056" s="9"/>
      <c r="I1056" s="9"/>
      <c r="N1056" s="10" t="str">
        <f t="shared" si="2"/>
        <v>21-5716(b) - Drugs; Distribute/invest/conceal/transport/maintain an interest in or otherwise make available anything of value which that person knows is intended to be used for the purpose of committing or furthering the commission of any crime in K.S.A. 21-5701 through 21-5717; at least $100,000 but less than $250,000</v>
      </c>
      <c r="O1056" s="10" t="str">
        <f t="shared" si="3"/>
        <v>Drugs</v>
      </c>
    </row>
    <row r="1057">
      <c r="A1057" s="7" t="s">
        <v>1934</v>
      </c>
      <c r="B1057" s="8" t="s">
        <v>1931</v>
      </c>
      <c r="C1057" s="8" t="s">
        <v>1846</v>
      </c>
      <c r="D1057" s="9"/>
      <c r="E1057" s="9"/>
      <c r="F1057" s="9"/>
      <c r="G1057" s="8" t="s">
        <v>21</v>
      </c>
      <c r="H1057" s="9"/>
      <c r="I1057" s="9"/>
      <c r="N1057" s="10" t="str">
        <f t="shared" si="2"/>
        <v>21-5716(b) - Drugs; Distribute/invest/conceal/transport/maintain an interest in or otherwise make available anything of value which that person knows is intended to be used for the purpose of committing or furthering the commission of any crime in K.S.A. 21-5701 through 21-5717; at least $250,000 but less than $500,000</v>
      </c>
      <c r="O1057" s="10" t="str">
        <f t="shared" si="3"/>
        <v>Drugs</v>
      </c>
    </row>
    <row r="1058">
      <c r="A1058" s="7" t="s">
        <v>1935</v>
      </c>
      <c r="B1058" s="8" t="s">
        <v>1931</v>
      </c>
      <c r="C1058" s="8" t="s">
        <v>1839</v>
      </c>
      <c r="D1058" s="9"/>
      <c r="E1058" s="9"/>
      <c r="F1058" s="9"/>
      <c r="G1058" s="8" t="s">
        <v>21</v>
      </c>
      <c r="H1058" s="9"/>
      <c r="I1058" s="9"/>
      <c r="N1058" s="10" t="str">
        <f t="shared" si="2"/>
        <v>21-5716(b) - Drugs; Distribute/invest/conceal/transport/maintain an interest in or otherwise make available anything of value which that person knows is intended to be used for the purpose of committing or furthering the commission of any crime in K.S.A. 21-5701 through 21-5717; $500,000 or more</v>
      </c>
      <c r="O1058" s="10" t="str">
        <f t="shared" si="3"/>
        <v>Drugs</v>
      </c>
    </row>
    <row r="1059">
      <c r="A1059" s="7" t="s">
        <v>1937</v>
      </c>
      <c r="B1059" s="8" t="s">
        <v>1938</v>
      </c>
      <c r="C1059" s="8">
        <v>8.0</v>
      </c>
      <c r="D1059" s="8">
        <v>10.0</v>
      </c>
      <c r="E1059" s="8">
        <v>10.0</v>
      </c>
      <c r="F1059" s="8">
        <v>10.0</v>
      </c>
      <c r="G1059" s="8" t="s">
        <v>21</v>
      </c>
      <c r="H1059" s="9"/>
      <c r="I1059" s="9"/>
      <c r="N1059" s="10" t="str">
        <f t="shared" si="2"/>
        <v>21-5707(a)(2) - Drugs; Knowingly or intentionally use any communication facility in any attempt to commit, any conspiracy to commit or any criminal solicitation of any felony under K.S.A. 21-5703, 21-5705, or 21-5706 each separate use of a communication facility may be charged as a separate offense</v>
      </c>
      <c r="O1059" s="10" t="str">
        <f t="shared" si="3"/>
        <v>Drugs</v>
      </c>
    </row>
    <row r="1060">
      <c r="A1060" s="7" t="s">
        <v>1939</v>
      </c>
      <c r="B1060" s="8" t="s">
        <v>1940</v>
      </c>
      <c r="C1060" s="8">
        <v>8.0</v>
      </c>
      <c r="D1060" s="8">
        <v>10.0</v>
      </c>
      <c r="E1060" s="8">
        <v>10.0</v>
      </c>
      <c r="F1060" s="8">
        <v>10.0</v>
      </c>
      <c r="G1060" s="8" t="s">
        <v>21</v>
      </c>
      <c r="H1060" s="9"/>
      <c r="I1060" s="9"/>
      <c r="N1060" s="10" t="str">
        <f t="shared" si="2"/>
        <v>21-5707(a)(1) - Drugs; Knowingly or intentionally use any communication facility in committing, causing, or facilitating the commission of any felony under K.S.A. 21-5703, 21-5705, or 21-5706 ; each separate use of a communication facility may be charged as a separate offense</v>
      </c>
      <c r="O1060" s="10" t="str">
        <f t="shared" si="3"/>
        <v>Drugs</v>
      </c>
    </row>
    <row r="1061">
      <c r="A1061" s="7" t="s">
        <v>1941</v>
      </c>
      <c r="B1061" s="8" t="s">
        <v>1942</v>
      </c>
      <c r="C1061" s="8" t="s">
        <v>1846</v>
      </c>
      <c r="D1061" s="9"/>
      <c r="E1061" s="9"/>
      <c r="F1061" s="9"/>
      <c r="G1061" s="8" t="s">
        <v>21</v>
      </c>
      <c r="H1061" s="8" t="s">
        <v>109</v>
      </c>
      <c r="I1061" s="9"/>
      <c r="N1061" s="10" t="str">
        <f t="shared" si="2"/>
        <v>21-5703(a) - Drugs; Manufacture of a controlled substance or controlled substance analog</v>
      </c>
      <c r="O1061" s="10" t="str">
        <f t="shared" si="3"/>
        <v>Drugs</v>
      </c>
    </row>
    <row r="1062">
      <c r="A1062" s="7" t="s">
        <v>1943</v>
      </c>
      <c r="B1062" s="8" t="s">
        <v>1942</v>
      </c>
      <c r="C1062" s="8" t="s">
        <v>1839</v>
      </c>
      <c r="D1062" s="9"/>
      <c r="E1062" s="9"/>
      <c r="F1062" s="9"/>
      <c r="G1062" s="8" t="s">
        <v>21</v>
      </c>
      <c r="H1062" s="8" t="s">
        <v>109</v>
      </c>
      <c r="I1062" s="9"/>
      <c r="N1062" s="10" t="str">
        <f t="shared" si="2"/>
        <v>21-5703(a) - Drugs; Manufacture of a controlled substance or controlled substance analog; methamphetamine or analog; first and subs. offense</v>
      </c>
      <c r="O1062" s="10" t="str">
        <f t="shared" si="3"/>
        <v>Drugs</v>
      </c>
    </row>
    <row r="1063">
      <c r="A1063" s="7" t="s">
        <v>1944</v>
      </c>
      <c r="B1063" s="8" t="s">
        <v>1942</v>
      </c>
      <c r="C1063" s="8" t="s">
        <v>1839</v>
      </c>
      <c r="D1063" s="9"/>
      <c r="E1063" s="9"/>
      <c r="F1063" s="9"/>
      <c r="G1063" s="8" t="s">
        <v>21</v>
      </c>
      <c r="H1063" s="8" t="s">
        <v>109</v>
      </c>
      <c r="I1063" s="9"/>
      <c r="N1063" s="10" t="str">
        <f t="shared" si="2"/>
        <v>21-5703(a) - Drugs; Manufacture of a controlled substance or controlled substance analog; second and subs. offense when any prior and current offense are for a controlled substance other than methamphetamine or analog</v>
      </c>
      <c r="O1063" s="10" t="str">
        <f t="shared" si="3"/>
        <v>Drugs</v>
      </c>
    </row>
    <row r="1064">
      <c r="A1064" s="7" t="s">
        <v>1945</v>
      </c>
      <c r="B1064" s="8" t="s">
        <v>1946</v>
      </c>
      <c r="C1064" s="8" t="s">
        <v>27</v>
      </c>
      <c r="D1064" s="8" t="s">
        <v>28</v>
      </c>
      <c r="E1064" s="8" t="s">
        <v>19</v>
      </c>
      <c r="F1064" s="8" t="s">
        <v>20</v>
      </c>
      <c r="G1064" s="8" t="s">
        <v>21</v>
      </c>
      <c r="H1064" s="9"/>
      <c r="I1064" s="9"/>
      <c r="J1064" s="10">
        <f t="shared" ref="J1064:M1064" si="644">ifs(OR($H1064="R",$I1064="N"),"N/A",OR(C1064="A",C1064="B",C1064="C",C1064="U"),3,TRUE,"FLAG")</f>
        <v>3</v>
      </c>
      <c r="K1064" s="10">
        <f t="shared" si="644"/>
        <v>3</v>
      </c>
      <c r="L1064" s="10">
        <f t="shared" si="644"/>
        <v>3</v>
      </c>
      <c r="M1064" s="10" t="str">
        <f t="shared" si="644"/>
        <v>FLAG</v>
      </c>
      <c r="N1064" s="10" t="str">
        <f t="shared" si="2"/>
        <v>65-4127c - Drugs; Penalty for violation of uniform controlled substances act</v>
      </c>
      <c r="O1064" s="10" t="str">
        <f t="shared" si="3"/>
        <v>Drugs</v>
      </c>
    </row>
    <row r="1065">
      <c r="A1065" s="7" t="s">
        <v>1947</v>
      </c>
      <c r="B1065" s="8" t="s">
        <v>1948</v>
      </c>
      <c r="C1065" s="8" t="s">
        <v>1834</v>
      </c>
      <c r="D1065" s="9"/>
      <c r="E1065" s="9"/>
      <c r="F1065" s="9"/>
      <c r="G1065" s="8" t="s">
        <v>21</v>
      </c>
      <c r="H1065" s="8" t="s">
        <v>109</v>
      </c>
      <c r="I1065" s="9"/>
      <c r="N1065" s="10" t="str">
        <f t="shared" si="2"/>
        <v>21-5709(a) - Drugs; Possess ephedrine, pseudoephedrine, red phosphorus, lithium metal, sodium metal, iodine, anhydrous ammonia, pressurized ammonia or phenylpropanolamine, or their salts, isomers or sales of isomers with an intent to use the product to manufacture a controlled substance</v>
      </c>
      <c r="O1065" s="10" t="str">
        <f t="shared" si="3"/>
        <v>Drugs</v>
      </c>
    </row>
    <row r="1066">
      <c r="A1066" s="7" t="s">
        <v>1949</v>
      </c>
      <c r="B1066" s="8" t="s">
        <v>1950</v>
      </c>
      <c r="C1066" s="8" t="s">
        <v>1841</v>
      </c>
      <c r="D1066" s="9"/>
      <c r="E1066" s="9"/>
      <c r="F1066" s="9"/>
      <c r="G1066" s="8" t="s">
        <v>21</v>
      </c>
      <c r="H1066" s="9"/>
      <c r="I1066" s="9"/>
      <c r="N1066" s="10" t="str">
        <f t="shared" si="2"/>
        <v>21-5706(b)(5) - Drugs; Possession of anabolic steroid or analog in subsection (f) of K.S.A. 65-4109; 2nd or subs. offense</v>
      </c>
      <c r="O1066" s="10" t="str">
        <f t="shared" si="3"/>
        <v>Drugs</v>
      </c>
    </row>
    <row r="1067">
      <c r="A1067" s="7" t="s">
        <v>1951</v>
      </c>
      <c r="B1067" s="8" t="s">
        <v>1950</v>
      </c>
      <c r="C1067" s="8" t="s">
        <v>27</v>
      </c>
      <c r="D1067" s="8" t="s">
        <v>28</v>
      </c>
      <c r="E1067" s="8" t="s">
        <v>19</v>
      </c>
      <c r="F1067" s="8" t="s">
        <v>20</v>
      </c>
      <c r="G1067" s="8" t="s">
        <v>21</v>
      </c>
      <c r="H1067" s="9"/>
      <c r="I1067" s="9"/>
      <c r="J1067" s="10">
        <f t="shared" ref="J1067:M1067" si="645">ifs(OR($H1067="R",$I1067="N"),"N/A",OR(C1067="A",C1067="B",C1067="C",C1067="U"),3,TRUE,"FLAG")</f>
        <v>3</v>
      </c>
      <c r="K1067" s="10">
        <f t="shared" si="645"/>
        <v>3</v>
      </c>
      <c r="L1067" s="10">
        <f t="shared" si="645"/>
        <v>3</v>
      </c>
      <c r="M1067" s="10" t="str">
        <f t="shared" si="645"/>
        <v>FLAG</v>
      </c>
      <c r="N1067" s="10" t="str">
        <f t="shared" si="2"/>
        <v>21-5706(b)(5) - Drugs; Possession of anabolic steroid or analog; 1st offense</v>
      </c>
      <c r="O1067" s="10" t="str">
        <f t="shared" si="3"/>
        <v>Drugs</v>
      </c>
    </row>
    <row r="1068">
      <c r="A1068" s="7" t="s">
        <v>1952</v>
      </c>
      <c r="B1068" s="8" t="s">
        <v>1953</v>
      </c>
      <c r="C1068" s="8" t="s">
        <v>1841</v>
      </c>
      <c r="D1068" s="9"/>
      <c r="E1068" s="9"/>
      <c r="F1068" s="9"/>
      <c r="G1068" s="8" t="s">
        <v>21</v>
      </c>
      <c r="H1068" s="9"/>
      <c r="I1068" s="9"/>
      <c r="N1068" s="10" t="str">
        <f t="shared" si="2"/>
        <v>21-5709(c) - Drugs; Possession of anhydrous ammonia or pressurized ammonia in a container not approved for that chemical by the Kansas Department of Agriculture</v>
      </c>
      <c r="O1068" s="10" t="str">
        <f t="shared" si="3"/>
        <v>Drugs</v>
      </c>
    </row>
    <row r="1069">
      <c r="A1069" s="7" t="s">
        <v>1954</v>
      </c>
      <c r="B1069" s="8" t="s">
        <v>1955</v>
      </c>
      <c r="C1069" s="8" t="s">
        <v>1841</v>
      </c>
      <c r="D1069" s="9"/>
      <c r="E1069" s="9"/>
      <c r="F1069" s="9"/>
      <c r="G1069" s="8" t="s">
        <v>21</v>
      </c>
      <c r="H1069" s="9"/>
      <c r="I1069" s="9"/>
      <c r="N1069" s="10" t="str">
        <f t="shared" si="2"/>
        <v>21-5706(b)(7) - Drugs; Possession of any substance designated in subsection (h) of K.S.A. 65-4105, 2nd or subs. offense</v>
      </c>
      <c r="O1069" s="10" t="str">
        <f t="shared" si="3"/>
        <v>Drugs</v>
      </c>
    </row>
    <row r="1070">
      <c r="A1070" s="7" t="s">
        <v>1956</v>
      </c>
      <c r="B1070" s="8" t="s">
        <v>1957</v>
      </c>
      <c r="C1070" s="8" t="s">
        <v>27</v>
      </c>
      <c r="D1070" s="8" t="s">
        <v>28</v>
      </c>
      <c r="E1070" s="8" t="s">
        <v>19</v>
      </c>
      <c r="F1070" s="8" t="s">
        <v>20</v>
      </c>
      <c r="G1070" s="8" t="s">
        <v>21</v>
      </c>
      <c r="H1070" s="9"/>
      <c r="I1070" s="9"/>
      <c r="J1070" s="10">
        <f t="shared" ref="J1070:M1070" si="646">ifs(OR($H1070="R",$I1070="N"),"N/A",OR(C1070="A",C1070="B",C1070="C",C1070="U"),3,TRUE,"FLAG")</f>
        <v>3</v>
      </c>
      <c r="K1070" s="10">
        <f t="shared" si="646"/>
        <v>3</v>
      </c>
      <c r="L1070" s="10">
        <f t="shared" si="646"/>
        <v>3</v>
      </c>
      <c r="M1070" s="10" t="str">
        <f t="shared" si="646"/>
        <v>FLAG</v>
      </c>
      <c r="N1070" s="10" t="str">
        <f t="shared" si="2"/>
        <v>21-5706(b)(6) - Drugs; Possession of any substance or analog designated in K.S.A. 65-4113</v>
      </c>
      <c r="O1070" s="10" t="str">
        <f t="shared" si="3"/>
        <v>Drugs</v>
      </c>
    </row>
    <row r="1071">
      <c r="A1071" s="7" t="s">
        <v>1958</v>
      </c>
      <c r="B1071" s="8" t="s">
        <v>1955</v>
      </c>
      <c r="C1071" s="8" t="s">
        <v>27</v>
      </c>
      <c r="D1071" s="8" t="s">
        <v>28</v>
      </c>
      <c r="E1071" s="8" t="s">
        <v>19</v>
      </c>
      <c r="F1071" s="8" t="s">
        <v>20</v>
      </c>
      <c r="G1071" s="8" t="s">
        <v>21</v>
      </c>
      <c r="H1071" s="9"/>
      <c r="I1071" s="9"/>
      <c r="J1071" s="10">
        <f t="shared" ref="J1071:M1071" si="647">ifs(OR($H1071="R",$I1071="N"),"N/A",OR(C1071="A",C1071="B",C1071="C",C1071="U"),3,TRUE,"FLAG")</f>
        <v>3</v>
      </c>
      <c r="K1071" s="10">
        <f t="shared" si="647"/>
        <v>3</v>
      </c>
      <c r="L1071" s="10">
        <f t="shared" si="647"/>
        <v>3</v>
      </c>
      <c r="M1071" s="10" t="str">
        <f t="shared" si="647"/>
        <v>FLAG</v>
      </c>
      <c r="N1071" s="10" t="str">
        <f t="shared" si="2"/>
        <v>21-5706(b)(7) - Drugs; Possession of any substance or analog designated in subsection (h) of K.S.A. 65-4105; 1st offense</v>
      </c>
      <c r="O1071" s="10" t="str">
        <f t="shared" si="3"/>
        <v>Drugs</v>
      </c>
    </row>
    <row r="1072">
      <c r="A1072" s="7" t="s">
        <v>1959</v>
      </c>
      <c r="B1072" s="8" t="s">
        <v>1960</v>
      </c>
      <c r="C1072" s="8" t="s">
        <v>27</v>
      </c>
      <c r="D1072" s="8" t="s">
        <v>28</v>
      </c>
      <c r="E1072" s="8" t="s">
        <v>19</v>
      </c>
      <c r="F1072" s="8" t="s">
        <v>20</v>
      </c>
      <c r="G1072" s="8" t="s">
        <v>21</v>
      </c>
      <c r="H1072" s="9"/>
      <c r="I1072" s="9"/>
      <c r="J1072" s="10">
        <f t="shared" ref="J1072:M1072" si="648">ifs(OR($H1072="R",$I1072="N"),"N/A",OR(C1072="A",C1072="B",C1072="C",C1072="U"),3,TRUE,"FLAG")</f>
        <v>3</v>
      </c>
      <c r="K1072" s="10">
        <f t="shared" si="648"/>
        <v>3</v>
      </c>
      <c r="L1072" s="10">
        <f t="shared" si="648"/>
        <v>3</v>
      </c>
      <c r="M1072" s="10" t="str">
        <f t="shared" si="648"/>
        <v>FLAG</v>
      </c>
      <c r="N1072" s="10" t="str">
        <f t="shared" si="2"/>
        <v>21-5706(b)(1) - Drugs; Possession of depressant or analog; 1st offense</v>
      </c>
      <c r="O1072" s="10" t="str">
        <f t="shared" si="3"/>
        <v>Drugs</v>
      </c>
    </row>
    <row r="1073">
      <c r="A1073" s="7" t="s">
        <v>1961</v>
      </c>
      <c r="B1073" s="8" t="s">
        <v>1960</v>
      </c>
      <c r="C1073" s="8" t="s">
        <v>1841</v>
      </c>
      <c r="D1073" s="9"/>
      <c r="E1073" s="9"/>
      <c r="F1073" s="9"/>
      <c r="G1073" s="8" t="s">
        <v>21</v>
      </c>
      <c r="H1073" s="9"/>
      <c r="I1073" s="9"/>
      <c r="N1073" s="10" t="str">
        <f t="shared" si="2"/>
        <v>21-5706(b)(1) - Drugs; Possession of depressant or analog; 2nd or subs. offense</v>
      </c>
      <c r="O1073" s="10" t="str">
        <f t="shared" si="3"/>
        <v>Drugs</v>
      </c>
    </row>
    <row r="1074">
      <c r="A1074" s="7" t="s">
        <v>1962</v>
      </c>
      <c r="B1074" s="8" t="s">
        <v>1963</v>
      </c>
      <c r="C1074" s="8" t="s">
        <v>27</v>
      </c>
      <c r="D1074" s="8" t="s">
        <v>28</v>
      </c>
      <c r="E1074" s="8" t="s">
        <v>19</v>
      </c>
      <c r="F1074" s="8" t="s">
        <v>20</v>
      </c>
      <c r="G1074" s="8" t="s">
        <v>21</v>
      </c>
      <c r="H1074" s="9"/>
      <c r="I1074" s="9"/>
      <c r="J1074" s="10">
        <f t="shared" ref="J1074:M1074" si="649">ifs(OR($H1074="R",$I1074="N"),"N/A",OR(C1074="A",C1074="B",C1074="C",C1074="U"),3,TRUE,"FLAG")</f>
        <v>3</v>
      </c>
      <c r="K1074" s="10">
        <f t="shared" si="649"/>
        <v>3</v>
      </c>
      <c r="L1074" s="10">
        <f t="shared" si="649"/>
        <v>3</v>
      </c>
      <c r="M1074" s="10" t="str">
        <f t="shared" si="649"/>
        <v>FLAG</v>
      </c>
      <c r="N1074" s="10" t="str">
        <f t="shared" si="2"/>
        <v>21-5706(b)(3) - Drugs; Possession of hallucinogenic or analog; 1st offense</v>
      </c>
      <c r="O1074" s="10" t="str">
        <f t="shared" si="3"/>
        <v>Drugs</v>
      </c>
    </row>
    <row r="1075">
      <c r="A1075" s="7" t="s">
        <v>1964</v>
      </c>
      <c r="B1075" s="8" t="s">
        <v>1963</v>
      </c>
      <c r="C1075" s="8" t="s">
        <v>28</v>
      </c>
      <c r="D1075" s="8" t="s">
        <v>19</v>
      </c>
      <c r="E1075" s="8" t="s">
        <v>19</v>
      </c>
      <c r="F1075" s="8" t="s">
        <v>20</v>
      </c>
      <c r="G1075" s="8" t="s">
        <v>21</v>
      </c>
      <c r="H1075" s="9"/>
      <c r="I1075" s="9"/>
      <c r="J1075" s="10">
        <f t="shared" ref="J1075:M1075" si="650">ifs(OR($H1075="R",$I1075="N"),"N/A",OR(C1075="A",C1075="B",C1075="C",C1075="U"),3,TRUE,"FLAG")</f>
        <v>3</v>
      </c>
      <c r="K1075" s="10">
        <f t="shared" si="650"/>
        <v>3</v>
      </c>
      <c r="L1075" s="10">
        <f t="shared" si="650"/>
        <v>3</v>
      </c>
      <c r="M1075" s="10" t="str">
        <f t="shared" si="650"/>
        <v>FLAG</v>
      </c>
      <c r="N1075" s="10" t="str">
        <f t="shared" si="2"/>
        <v>21-5706(b)(3) - Drugs; Possession of hallucinogenic or analog; 1st Offense-Marijuana</v>
      </c>
      <c r="O1075" s="10" t="str">
        <f t="shared" si="3"/>
        <v>Drugs</v>
      </c>
    </row>
    <row r="1076">
      <c r="A1076" s="7" t="s">
        <v>1965</v>
      </c>
      <c r="B1076" s="8" t="s">
        <v>1963</v>
      </c>
      <c r="C1076" s="8" t="s">
        <v>27</v>
      </c>
      <c r="D1076" s="8" t="s">
        <v>28</v>
      </c>
      <c r="E1076" s="8" t="s">
        <v>19</v>
      </c>
      <c r="F1076" s="8" t="s">
        <v>20</v>
      </c>
      <c r="G1076" s="8" t="s">
        <v>21</v>
      </c>
      <c r="H1076" s="9"/>
      <c r="I1076" s="9"/>
      <c r="J1076" s="10">
        <f t="shared" ref="J1076:M1076" si="651">ifs(OR($H1076="R",$I1076="N"),"N/A",OR(C1076="A",C1076="B",C1076="C",C1076="U"),3,TRUE,"FLAG")</f>
        <v>3</v>
      </c>
      <c r="K1076" s="10">
        <f t="shared" si="651"/>
        <v>3</v>
      </c>
      <c r="L1076" s="10">
        <f t="shared" si="651"/>
        <v>3</v>
      </c>
      <c r="M1076" s="10" t="str">
        <f t="shared" si="651"/>
        <v>FLAG</v>
      </c>
      <c r="N1076" s="10" t="str">
        <f t="shared" si="2"/>
        <v>21-5706(b)(3) - Drugs; Possession of hallucinogenic or analog; 2nd Offense-Marijuana</v>
      </c>
      <c r="O1076" s="10" t="str">
        <f t="shared" si="3"/>
        <v>Drugs</v>
      </c>
    </row>
    <row r="1077">
      <c r="A1077" s="7" t="s">
        <v>1966</v>
      </c>
      <c r="B1077" s="8" t="s">
        <v>1963</v>
      </c>
      <c r="C1077" s="8" t="s">
        <v>1841</v>
      </c>
      <c r="D1077" s="9"/>
      <c r="E1077" s="9"/>
      <c r="F1077" s="9"/>
      <c r="G1077" s="8" t="s">
        <v>21</v>
      </c>
      <c r="H1077" s="9"/>
      <c r="I1077" s="9"/>
      <c r="N1077" s="10" t="str">
        <f t="shared" si="2"/>
        <v>21-5706(b)(3) - Drugs; Possession of hallucinogenic or analog; 2nd or subs. offense</v>
      </c>
      <c r="O1077" s="10" t="str">
        <f t="shared" si="3"/>
        <v>Drugs</v>
      </c>
    </row>
    <row r="1078">
      <c r="A1078" s="7" t="s">
        <v>1967</v>
      </c>
      <c r="B1078" s="8" t="s">
        <v>1963</v>
      </c>
      <c r="C1078" s="8">
        <v>5.0</v>
      </c>
      <c r="D1078" s="8">
        <v>7.0</v>
      </c>
      <c r="E1078" s="8">
        <v>7.0</v>
      </c>
      <c r="F1078" s="8">
        <v>8.0</v>
      </c>
      <c r="G1078" s="8" t="s">
        <v>21</v>
      </c>
      <c r="H1078" s="9"/>
      <c r="I1078" s="9"/>
      <c r="N1078" s="10" t="str">
        <f t="shared" si="2"/>
        <v>21-5706(b)(3) - Drugs; Possession of hallucinogenic or analog; 3rd or Subsequent Offense-Marijuana</v>
      </c>
      <c r="O1078" s="10" t="str">
        <f t="shared" si="3"/>
        <v>Drugs</v>
      </c>
    </row>
    <row r="1079">
      <c r="A1079" s="7" t="s">
        <v>1968</v>
      </c>
      <c r="B1079" s="8" t="s">
        <v>1969</v>
      </c>
      <c r="C1079" s="8" t="s">
        <v>1841</v>
      </c>
      <c r="D1079" s="9"/>
      <c r="E1079" s="9"/>
      <c r="F1079" s="9"/>
      <c r="G1079" s="8" t="s">
        <v>21</v>
      </c>
      <c r="H1079" s="9"/>
      <c r="I1079" s="9"/>
      <c r="N1079" s="10" t="str">
        <f t="shared" si="2"/>
        <v>21-5706(a) - Drugs; Possession of opiates, opium or narcotic drugs, or any stimulant designated in subsection (d)(1), (d)(3) or (f)(1) of K.S.A. 65-4107 or controlled substance analog</v>
      </c>
      <c r="O1079" s="10" t="str">
        <f t="shared" si="3"/>
        <v>Drugs</v>
      </c>
    </row>
    <row r="1080">
      <c r="A1080" s="7" t="s">
        <v>1970</v>
      </c>
      <c r="B1080" s="8" t="s">
        <v>1971</v>
      </c>
      <c r="C1080" s="8" t="s">
        <v>27</v>
      </c>
      <c r="D1080" s="8" t="s">
        <v>28</v>
      </c>
      <c r="E1080" s="8" t="s">
        <v>19</v>
      </c>
      <c r="F1080" s="8" t="s">
        <v>20</v>
      </c>
      <c r="G1080" s="8" t="s">
        <v>21</v>
      </c>
      <c r="H1080" s="9"/>
      <c r="I1080" s="9"/>
      <c r="J1080" s="10">
        <f t="shared" ref="J1080:M1080" si="652">ifs(OR($H1080="R",$I1080="N"),"N/A",OR(C1080="A",C1080="B",C1080="C",C1080="U"),3,TRUE,"FLAG")</f>
        <v>3</v>
      </c>
      <c r="K1080" s="10">
        <f t="shared" si="652"/>
        <v>3</v>
      </c>
      <c r="L1080" s="10">
        <f t="shared" si="652"/>
        <v>3</v>
      </c>
      <c r="M1080" s="10" t="str">
        <f t="shared" si="652"/>
        <v>FLAG</v>
      </c>
      <c r="N1080" s="10" t="str">
        <f t="shared" si="2"/>
        <v>21-5706(b)(2) - Drugs; Possession of stimulant or analog; 1st offense</v>
      </c>
      <c r="O1080" s="10" t="str">
        <f t="shared" si="3"/>
        <v>Drugs</v>
      </c>
    </row>
    <row r="1081">
      <c r="A1081" s="7" t="s">
        <v>1972</v>
      </c>
      <c r="B1081" s="8" t="s">
        <v>1971</v>
      </c>
      <c r="C1081" s="8" t="s">
        <v>1841</v>
      </c>
      <c r="D1081" s="9"/>
      <c r="E1081" s="9"/>
      <c r="F1081" s="9"/>
      <c r="G1081" s="8" t="s">
        <v>21</v>
      </c>
      <c r="H1081" s="9"/>
      <c r="I1081" s="9"/>
      <c r="N1081" s="10" t="str">
        <f t="shared" si="2"/>
        <v>21-5706(b)(2) - Drugs; Possession of stimulant or analog; 2nd or subs. offense</v>
      </c>
      <c r="O1081" s="10" t="str">
        <f t="shared" si="3"/>
        <v>Drugs</v>
      </c>
    </row>
    <row r="1082">
      <c r="A1082" s="7" t="s">
        <v>1973</v>
      </c>
      <c r="B1082" s="8" t="s">
        <v>1974</v>
      </c>
      <c r="C1082" s="8" t="s">
        <v>27</v>
      </c>
      <c r="D1082" s="8" t="s">
        <v>28</v>
      </c>
      <c r="E1082" s="8" t="s">
        <v>19</v>
      </c>
      <c r="F1082" s="8" t="s">
        <v>20</v>
      </c>
      <c r="G1082" s="8" t="s">
        <v>21</v>
      </c>
      <c r="H1082" s="9"/>
      <c r="I1082" s="9"/>
      <c r="J1082" s="10">
        <f t="shared" ref="J1082:M1082" si="653">ifs(OR($H1082="R",$I1082="N"),"N/A",OR(C1082="A",C1082="B",C1082="C",C1082="U"),3,TRUE,"FLAG")</f>
        <v>3</v>
      </c>
      <c r="K1082" s="10">
        <f t="shared" si="653"/>
        <v>3</v>
      </c>
      <c r="L1082" s="10">
        <f t="shared" si="653"/>
        <v>3</v>
      </c>
      <c r="M1082" s="10" t="str">
        <f t="shared" si="653"/>
        <v>FLAG</v>
      </c>
      <c r="N1082" s="10" t="str">
        <f t="shared" si="2"/>
        <v>21-5706(b)(4) - Drugs; Possession of substance or analog designated in subsection (g) of K.S.A. 65-4105 or subsection (c), (d), (e), (f) or (g) of K.S.A. 65-4111; 1st offense</v>
      </c>
      <c r="O1082" s="10" t="str">
        <f t="shared" si="3"/>
        <v>Drugs</v>
      </c>
    </row>
    <row r="1083">
      <c r="A1083" s="7" t="s">
        <v>1975</v>
      </c>
      <c r="B1083" s="8" t="s">
        <v>1974</v>
      </c>
      <c r="C1083" s="8" t="s">
        <v>1841</v>
      </c>
      <c r="D1083" s="9"/>
      <c r="E1083" s="9"/>
      <c r="F1083" s="9"/>
      <c r="G1083" s="8" t="s">
        <v>21</v>
      </c>
      <c r="H1083" s="9"/>
      <c r="I1083" s="9"/>
      <c r="N1083" s="10" t="str">
        <f t="shared" si="2"/>
        <v>21-5706(b)(4) - Drugs; Possession of substance or analog designated in subsection (g) of K.S.A. 65-4105 or subsection (c), (d), (e), (f) or (g) of K.S.A. 65-4111; 2nd or subs. offense</v>
      </c>
      <c r="O1083" s="10" t="str">
        <f t="shared" si="3"/>
        <v>Drugs</v>
      </c>
    </row>
    <row r="1084">
      <c r="A1084" s="7" t="s">
        <v>1976</v>
      </c>
      <c r="B1084" s="8" t="s">
        <v>1977</v>
      </c>
      <c r="C1084" s="8" t="s">
        <v>27</v>
      </c>
      <c r="D1084" s="8" t="s">
        <v>28</v>
      </c>
      <c r="E1084" s="8" t="s">
        <v>19</v>
      </c>
      <c r="F1084" s="8" t="s">
        <v>20</v>
      </c>
      <c r="G1084" s="8" t="s">
        <v>21</v>
      </c>
      <c r="H1084" s="9"/>
      <c r="I1084" s="9"/>
      <c r="J1084" s="10">
        <f t="shared" ref="J1084:M1084" si="654">ifs(OR($H1084="R",$I1084="N"),"N/A",OR(C1084="A",C1084="B",C1084="C",C1084="U"),3,TRUE,"FLAG")</f>
        <v>3</v>
      </c>
      <c r="K1084" s="10">
        <f t="shared" si="654"/>
        <v>3</v>
      </c>
      <c r="L1084" s="10">
        <f t="shared" si="654"/>
        <v>3</v>
      </c>
      <c r="M1084" s="10" t="str">
        <f t="shared" si="654"/>
        <v>FLAG</v>
      </c>
      <c r="N1084" s="10" t="str">
        <f t="shared" si="2"/>
        <v>21-5709(d) - Drugs; Purchase, receive or otherwise acquire at retail any compound, mixture or preparation containing &gt;3.6 g. of pseudoephedrine or ephedrine base within single transaction; or any compound, mixture or preparation containing more than 9 g. of pseudoephedrine or ephedrine base within 30-day period</v>
      </c>
      <c r="O1084" s="10" t="str">
        <f t="shared" si="3"/>
        <v>Drugs</v>
      </c>
    </row>
    <row r="1085">
      <c r="A1085" s="7" t="s">
        <v>1978</v>
      </c>
      <c r="B1085" s="8" t="s">
        <v>1933</v>
      </c>
      <c r="C1085" s="8" t="s">
        <v>1843</v>
      </c>
      <c r="D1085" s="9"/>
      <c r="E1085" s="9"/>
      <c r="F1085" s="9"/>
      <c r="G1085" s="8" t="s">
        <v>21</v>
      </c>
      <c r="H1085" s="9"/>
      <c r="I1085" s="9"/>
      <c r="N1085" s="10" t="str">
        <f t="shared" si="2"/>
        <v>21-5716(a) - Drugs; Receive/acquire proceeds or engage in transactions involving proceeds, known to be derived from violation of K.S.A. 21-5701 through 21-5717; at least $5,000 but less than $100,000</v>
      </c>
      <c r="O1085" s="10" t="str">
        <f t="shared" si="3"/>
        <v>Drugs</v>
      </c>
    </row>
    <row r="1086">
      <c r="A1086" s="7" t="s">
        <v>1979</v>
      </c>
      <c r="B1086" s="8" t="s">
        <v>1933</v>
      </c>
      <c r="C1086" s="8" t="s">
        <v>1841</v>
      </c>
      <c r="D1086" s="9"/>
      <c r="E1086" s="9"/>
      <c r="F1086" s="9"/>
      <c r="G1086" s="8" t="s">
        <v>21</v>
      </c>
      <c r="H1086" s="9"/>
      <c r="I1086" s="9"/>
      <c r="N1086" s="10" t="str">
        <f t="shared" si="2"/>
        <v>21-5716(a) - Drugs; Receive/acquire proceeds or engage in transactions involving proceeds, known to be derived from violation of K.S.A. 21-5701 through 21-5717; less than $5,000</v>
      </c>
      <c r="O1086" s="10" t="str">
        <f t="shared" si="3"/>
        <v>Drugs</v>
      </c>
    </row>
    <row r="1087">
      <c r="A1087" s="7" t="s">
        <v>1980</v>
      </c>
      <c r="B1087" s="8" t="s">
        <v>1981</v>
      </c>
      <c r="C1087" s="8" t="s">
        <v>27</v>
      </c>
      <c r="D1087" s="8" t="s">
        <v>28</v>
      </c>
      <c r="E1087" s="8" t="s">
        <v>19</v>
      </c>
      <c r="F1087" s="8" t="s">
        <v>20</v>
      </c>
      <c r="G1087" s="8" t="s">
        <v>21</v>
      </c>
      <c r="H1087" s="9"/>
      <c r="I1087" s="9"/>
      <c r="J1087" s="10">
        <f t="shared" ref="J1087:M1087" si="655">ifs(OR($H1087="R",$I1087="N"),"N/A",OR(C1087="A",C1087="B",C1087="C",C1087="U"),3,TRUE,"FLAG")</f>
        <v>3</v>
      </c>
      <c r="K1087" s="10">
        <f t="shared" si="655"/>
        <v>3</v>
      </c>
      <c r="L1087" s="10">
        <f t="shared" si="655"/>
        <v>3</v>
      </c>
      <c r="M1087" s="10" t="str">
        <f t="shared" si="655"/>
        <v>FLAG</v>
      </c>
      <c r="N1087" s="10" t="str">
        <f t="shared" si="2"/>
        <v>65-4116(a) - Drugs; Registration required to manufacture, distribute or dispense any controlled substance</v>
      </c>
      <c r="O1087" s="10" t="str">
        <f t="shared" si="3"/>
        <v>Drugs</v>
      </c>
    </row>
    <row r="1088">
      <c r="A1088" s="7" t="s">
        <v>1982</v>
      </c>
      <c r="B1088" s="8" t="s">
        <v>1983</v>
      </c>
      <c r="C1088" s="8" t="s">
        <v>28</v>
      </c>
      <c r="D1088" s="8" t="s">
        <v>19</v>
      </c>
      <c r="E1088" s="8" t="s">
        <v>19</v>
      </c>
      <c r="F1088" s="8" t="s">
        <v>20</v>
      </c>
      <c r="G1088" s="8" t="s">
        <v>21</v>
      </c>
      <c r="H1088" s="9"/>
      <c r="I1088" s="9"/>
      <c r="J1088" s="10">
        <f t="shared" ref="J1088:M1088" si="656">ifs(OR($H1088="R",$I1088="N"),"N/A",OR(C1088="A",C1088="B",C1088="C",C1088="U"),3,TRUE,"FLAG")</f>
        <v>3</v>
      </c>
      <c r="K1088" s="10">
        <f t="shared" si="656"/>
        <v>3</v>
      </c>
      <c r="L1088" s="10">
        <f t="shared" si="656"/>
        <v>3</v>
      </c>
      <c r="M1088" s="10" t="str">
        <f t="shared" si="656"/>
        <v>FLAG</v>
      </c>
      <c r="N1088" s="10" t="str">
        <f t="shared" si="2"/>
        <v>21-5712(a) - Drugs; Unlawful abuse of toxic vapors</v>
      </c>
      <c r="O1088" s="10" t="str">
        <f t="shared" si="3"/>
        <v>Drugs</v>
      </c>
    </row>
    <row r="1089">
      <c r="A1089" s="7" t="s">
        <v>1984</v>
      </c>
      <c r="B1089" s="8" t="s">
        <v>1985</v>
      </c>
      <c r="C1089" s="8" t="s">
        <v>27</v>
      </c>
      <c r="D1089" s="8" t="s">
        <v>28</v>
      </c>
      <c r="E1089" s="8" t="s">
        <v>19</v>
      </c>
      <c r="F1089" s="8" t="s">
        <v>20</v>
      </c>
      <c r="G1089" s="8" t="s">
        <v>21</v>
      </c>
      <c r="H1089" s="9"/>
      <c r="I1089" s="9"/>
      <c r="J1089" s="10">
        <f t="shared" ref="J1089:M1089" si="657">ifs(OR($H1089="R",$I1089="N"),"N/A",OR(C1089="A",C1089="B",C1089="C",C1089="U"),3,TRUE,"FLAG")</f>
        <v>3</v>
      </c>
      <c r="K1089" s="10">
        <f t="shared" si="657"/>
        <v>3</v>
      </c>
      <c r="L1089" s="10">
        <f t="shared" si="657"/>
        <v>3</v>
      </c>
      <c r="M1089" s="10" t="str">
        <f t="shared" si="657"/>
        <v>FLAG</v>
      </c>
      <c r="N1089" s="10" t="str">
        <f t="shared" si="2"/>
        <v>21-5708(a)(2) - Drugs; Unlawfully Obtaining a Prescription-only Drug; distribution of a prescription order knowing it to have been made, altered or signed by a person other than a practitioner or a mid-level practitioner; 1st offense</v>
      </c>
      <c r="O1089" s="10" t="str">
        <f t="shared" si="3"/>
        <v>Drugs</v>
      </c>
    </row>
    <row r="1090">
      <c r="A1090" s="7" t="s">
        <v>1986</v>
      </c>
      <c r="B1090" s="8" t="s">
        <v>1985</v>
      </c>
      <c r="C1090" s="8">
        <v>9.0</v>
      </c>
      <c r="D1090" s="8">
        <v>10.0</v>
      </c>
      <c r="E1090" s="8">
        <v>10.0</v>
      </c>
      <c r="F1090" s="8">
        <v>10.0</v>
      </c>
      <c r="G1090" s="8" t="s">
        <v>21</v>
      </c>
      <c r="H1090" s="9"/>
      <c r="I1090" s="9"/>
      <c r="N1090" s="10" t="str">
        <f t="shared" si="2"/>
        <v>21-5708(a)(2) - Drugs; Unlawfully Obtaining a Prescription-only Drug; distribution of a prescription order knowing it to have been made, altered or signed by a person other than a practitioner or a mid-level practitioner; 2nd and subs. offense</v>
      </c>
      <c r="O1090" s="10" t="str">
        <f t="shared" si="3"/>
        <v>Drugs</v>
      </c>
    </row>
    <row r="1091">
      <c r="A1091" s="7" t="s">
        <v>1987</v>
      </c>
      <c r="B1091" s="8" t="s">
        <v>1988</v>
      </c>
      <c r="C1091" s="8" t="s">
        <v>27</v>
      </c>
      <c r="D1091" s="8" t="s">
        <v>28</v>
      </c>
      <c r="E1091" s="8" t="s">
        <v>19</v>
      </c>
      <c r="F1091" s="8" t="s">
        <v>20</v>
      </c>
      <c r="G1091" s="8" t="s">
        <v>21</v>
      </c>
      <c r="H1091" s="9"/>
      <c r="I1091" s="9"/>
      <c r="J1091" s="10">
        <f t="shared" ref="J1091:M1091" si="658">ifs(OR($H1091="R",$I1091="N"),"N/A",OR(C1091="A",C1091="B",C1091="C",C1091="U"),3,TRUE,"FLAG")</f>
        <v>3</v>
      </c>
      <c r="K1091" s="10">
        <f t="shared" si="658"/>
        <v>3</v>
      </c>
      <c r="L1091" s="10">
        <f t="shared" si="658"/>
        <v>3</v>
      </c>
      <c r="M1091" s="10" t="str">
        <f t="shared" si="658"/>
        <v>FLAG</v>
      </c>
      <c r="N1091" s="10" t="str">
        <f t="shared" si="2"/>
        <v>21-5708(a)(1) - Drugs; Unlawfully Obtaining a Prescription-only Drug; making, altering or signing of a prescription order by a person other than a practitioner or a mid-level practitioner; 1st offense</v>
      </c>
      <c r="O1091" s="10" t="str">
        <f t="shared" si="3"/>
        <v>Drugs</v>
      </c>
    </row>
    <row r="1092">
      <c r="A1092" s="7" t="s">
        <v>1989</v>
      </c>
      <c r="B1092" s="8" t="s">
        <v>1988</v>
      </c>
      <c r="C1092" s="8">
        <v>9.0</v>
      </c>
      <c r="D1092" s="8">
        <v>10.0</v>
      </c>
      <c r="E1092" s="8">
        <v>10.0</v>
      </c>
      <c r="F1092" s="8">
        <v>10.0</v>
      </c>
      <c r="G1092" s="8" t="s">
        <v>21</v>
      </c>
      <c r="H1092" s="9"/>
      <c r="I1092" s="9"/>
      <c r="N1092" s="10" t="str">
        <f t="shared" si="2"/>
        <v>21-5708(a)(1) - Drugs; Unlawfully Obtaining a Prescription-only Drug; making, altering or signing of a prescription order by a person other than a practitioner or a mid-level practitioner; 2nd and subs. offense</v>
      </c>
      <c r="O1092" s="10" t="str">
        <f t="shared" si="3"/>
        <v>Drugs</v>
      </c>
    </row>
    <row r="1093">
      <c r="A1093" s="7" t="s">
        <v>1990</v>
      </c>
      <c r="B1093" s="8" t="s">
        <v>1991</v>
      </c>
      <c r="C1093" s="8" t="s">
        <v>27</v>
      </c>
      <c r="D1093" s="8" t="s">
        <v>28</v>
      </c>
      <c r="E1093" s="8" t="s">
        <v>19</v>
      </c>
      <c r="F1093" s="8" t="s">
        <v>20</v>
      </c>
      <c r="G1093" s="8" t="s">
        <v>21</v>
      </c>
      <c r="H1093" s="9"/>
      <c r="I1093" s="9"/>
      <c r="J1093" s="10">
        <f t="shared" ref="J1093:M1093" si="659">ifs(OR($H1093="R",$I1093="N"),"N/A",OR(C1093="A",C1093="B",C1093="C",C1093="U"),3,TRUE,"FLAG")</f>
        <v>3</v>
      </c>
      <c r="K1093" s="10">
        <f t="shared" si="659"/>
        <v>3</v>
      </c>
      <c r="L1093" s="10">
        <f t="shared" si="659"/>
        <v>3</v>
      </c>
      <c r="M1093" s="10" t="str">
        <f t="shared" si="659"/>
        <v>FLAG</v>
      </c>
      <c r="N1093" s="10" t="str">
        <f t="shared" si="2"/>
        <v>21-5708(a)(3) - Drugs; Unlawfully Obtaining a Prescription-only Drug; possession of a prescription order with intent to distribute it and knowing it to have been made, altered or signed by a person other than a practitioner or a mid-level practitioner; 1st offense</v>
      </c>
      <c r="O1093" s="10" t="str">
        <f t="shared" si="3"/>
        <v>Drugs</v>
      </c>
    </row>
    <row r="1094">
      <c r="A1094" s="7" t="s">
        <v>1992</v>
      </c>
      <c r="B1094" s="8" t="s">
        <v>1991</v>
      </c>
      <c r="C1094" s="8">
        <v>9.0</v>
      </c>
      <c r="D1094" s="8">
        <v>10.0</v>
      </c>
      <c r="E1094" s="8">
        <v>10.0</v>
      </c>
      <c r="F1094" s="8">
        <v>10.0</v>
      </c>
      <c r="G1094" s="8" t="s">
        <v>21</v>
      </c>
      <c r="H1094" s="9"/>
      <c r="I1094" s="9"/>
      <c r="N1094" s="10" t="str">
        <f t="shared" si="2"/>
        <v>21-5708(a)(3) - Drugs; Unlawfully Obtaining a Prescription-only Drug; possession of a prescription order with intent to distribute it and knowing it to have been made, altered or signed by a person other than a practitioner or a mid-level practitioner; 2nd and subs. offense</v>
      </c>
      <c r="O1094" s="10" t="str">
        <f t="shared" si="3"/>
        <v>Drugs</v>
      </c>
    </row>
    <row r="1095">
      <c r="A1095" s="7" t="s">
        <v>1993</v>
      </c>
      <c r="B1095" s="8" t="s">
        <v>1994</v>
      </c>
      <c r="C1095" s="8" t="s">
        <v>27</v>
      </c>
      <c r="D1095" s="8" t="s">
        <v>28</v>
      </c>
      <c r="E1095" s="8" t="s">
        <v>19</v>
      </c>
      <c r="F1095" s="8" t="s">
        <v>20</v>
      </c>
      <c r="G1095" s="8" t="s">
        <v>21</v>
      </c>
      <c r="H1095" s="9"/>
      <c r="I1095" s="9"/>
      <c r="J1095" s="10">
        <f t="shared" ref="J1095:M1095" si="660">ifs(OR($H1095="R",$I1095="N"),"N/A",OR(C1095="A",C1095="B",C1095="C",C1095="U"),3,TRUE,"FLAG")</f>
        <v>3</v>
      </c>
      <c r="K1095" s="10">
        <f t="shared" si="660"/>
        <v>3</v>
      </c>
      <c r="L1095" s="10">
        <f t="shared" si="660"/>
        <v>3</v>
      </c>
      <c r="M1095" s="10" t="str">
        <f t="shared" si="660"/>
        <v>FLAG</v>
      </c>
      <c r="N1095" s="10" t="str">
        <f t="shared" si="2"/>
        <v>21-5708(a)(4) - Drugs; Unlawfully Obtaining a Prescription-only Drug; possession of a prescription-only drug knowing it to have been obtained pursuant to a prescription order made, altered or signed by a person other than a practitioner or a mid-level practitioner; 1st offense</v>
      </c>
      <c r="O1095" s="10" t="str">
        <f t="shared" si="3"/>
        <v>Drugs</v>
      </c>
    </row>
    <row r="1096">
      <c r="A1096" s="7" t="s">
        <v>1995</v>
      </c>
      <c r="B1096" s="8" t="s">
        <v>1994</v>
      </c>
      <c r="C1096" s="8">
        <v>9.0</v>
      </c>
      <c r="D1096" s="8">
        <v>10.0</v>
      </c>
      <c r="E1096" s="8">
        <v>10.0</v>
      </c>
      <c r="F1096" s="8">
        <v>10.0</v>
      </c>
      <c r="G1096" s="8" t="s">
        <v>21</v>
      </c>
      <c r="H1096" s="9"/>
      <c r="I1096" s="9"/>
      <c r="N1096" s="10" t="str">
        <f t="shared" si="2"/>
        <v>21-5708(a)(4) - Drugs; Unlawfully Obtaining a Prescription-only Drug; possession of a prescription-only drug knowing it to have been obtained pursuant to a prescription order made, altered or signed by a person other than a practitioner or a mid-level practitioner; 2nd and subs. offense</v>
      </c>
      <c r="O1096" s="10" t="str">
        <f t="shared" si="3"/>
        <v>Drugs</v>
      </c>
    </row>
    <row r="1097">
      <c r="A1097" s="7" t="s">
        <v>1996</v>
      </c>
      <c r="B1097" s="8" t="s">
        <v>1997</v>
      </c>
      <c r="C1097" s="8" t="s">
        <v>27</v>
      </c>
      <c r="D1097" s="8" t="s">
        <v>28</v>
      </c>
      <c r="E1097" s="8" t="s">
        <v>19</v>
      </c>
      <c r="F1097" s="8" t="s">
        <v>20</v>
      </c>
      <c r="G1097" s="8" t="s">
        <v>21</v>
      </c>
      <c r="H1097" s="9"/>
      <c r="I1097" s="9"/>
      <c r="J1097" s="10">
        <f t="shared" ref="J1097:M1097" si="661">ifs(OR($H1097="R",$I1097="N"),"N/A",OR(C1097="A",C1097="B",C1097="C",C1097="U"),3,TRUE,"FLAG")</f>
        <v>3</v>
      </c>
      <c r="K1097" s="10">
        <f t="shared" si="661"/>
        <v>3</v>
      </c>
      <c r="L1097" s="10">
        <f t="shared" si="661"/>
        <v>3</v>
      </c>
      <c r="M1097" s="10" t="str">
        <f t="shared" si="661"/>
        <v>FLAG</v>
      </c>
      <c r="N1097" s="10" t="str">
        <f t="shared" si="2"/>
        <v>21-5708(a)(5) - Drugs; Unlawfully Obtaining a Prescription-only Drug; providing false information with intent to deceive to a practitioner or mid-level practitioner for the purpose of obtaining a prescription-only drug; 1st offense</v>
      </c>
      <c r="O1097" s="10" t="str">
        <f t="shared" si="3"/>
        <v>Drugs</v>
      </c>
    </row>
    <row r="1098">
      <c r="A1098" s="7" t="s">
        <v>1998</v>
      </c>
      <c r="B1098" s="8" t="s">
        <v>1997</v>
      </c>
      <c r="C1098" s="8">
        <v>9.0</v>
      </c>
      <c r="D1098" s="8">
        <v>10.0</v>
      </c>
      <c r="E1098" s="8">
        <v>10.0</v>
      </c>
      <c r="F1098" s="8">
        <v>10.0</v>
      </c>
      <c r="G1098" s="8" t="s">
        <v>21</v>
      </c>
      <c r="H1098" s="9"/>
      <c r="I1098" s="9"/>
      <c r="N1098" s="10" t="str">
        <f t="shared" si="2"/>
        <v>21-5708(a)(5) - Drugs; Unlawfully Obtaining a Prescription-only Drug; providing false information with intent to deceive to a practitioner or mid-level practitioner for the purpose of obtaining a prescription-only drug; 2nd and subs. offense</v>
      </c>
      <c r="O1098" s="10" t="str">
        <f t="shared" si="3"/>
        <v>Drugs</v>
      </c>
    </row>
    <row r="1099">
      <c r="A1099" s="7" t="s">
        <v>1999</v>
      </c>
      <c r="B1099" s="8" t="s">
        <v>2000</v>
      </c>
      <c r="C1099" s="8">
        <v>6.0</v>
      </c>
      <c r="D1099" s="8">
        <v>8.0</v>
      </c>
      <c r="E1099" s="8">
        <v>8.0</v>
      </c>
      <c r="F1099" s="8">
        <v>9.0</v>
      </c>
      <c r="G1099" s="8" t="s">
        <v>21</v>
      </c>
      <c r="H1099" s="9"/>
      <c r="I1099" s="9"/>
      <c r="N1099" s="10" t="str">
        <f t="shared" si="2"/>
        <v>21-5708(b)(2) - Drugs; Unlawfully Selling a Prescription-only Drug; obtaining and offering for sale the prescription-only drug so obtained</v>
      </c>
      <c r="O1099" s="10" t="str">
        <f t="shared" si="3"/>
        <v>Drugs</v>
      </c>
    </row>
    <row r="1100">
      <c r="A1100" s="7" t="s">
        <v>2001</v>
      </c>
      <c r="B1100" s="8" t="s">
        <v>2002</v>
      </c>
      <c r="C1100" s="8">
        <v>6.0</v>
      </c>
      <c r="D1100" s="8">
        <v>8.0</v>
      </c>
      <c r="E1100" s="8">
        <v>8.0</v>
      </c>
      <c r="F1100" s="8">
        <v>9.0</v>
      </c>
      <c r="G1100" s="8" t="s">
        <v>21</v>
      </c>
      <c r="H1100" s="9"/>
      <c r="I1100" s="9"/>
      <c r="N1100" s="10" t="str">
        <f t="shared" si="2"/>
        <v>21-5708(b)(3) - Drugs; Unlawfully Selling a Prescription-only Drug; obtaining and possessing with intent to sell the prescription-only drug so obtained</v>
      </c>
      <c r="O1100" s="10" t="str">
        <f t="shared" si="3"/>
        <v>Drugs</v>
      </c>
    </row>
    <row r="1101">
      <c r="A1101" s="7" t="s">
        <v>2003</v>
      </c>
      <c r="B1101" s="8" t="s">
        <v>2004</v>
      </c>
      <c r="C1101" s="8">
        <v>6.0</v>
      </c>
      <c r="D1101" s="8">
        <v>8.0</v>
      </c>
      <c r="E1101" s="8">
        <v>8.0</v>
      </c>
      <c r="F1101" s="8">
        <v>9.0</v>
      </c>
      <c r="G1101" s="8" t="s">
        <v>21</v>
      </c>
      <c r="H1101" s="9"/>
      <c r="I1101" s="9"/>
      <c r="N1101" s="10" t="str">
        <f t="shared" si="2"/>
        <v>21-5708(b)(1) - Drugs; Unlawfully Selling a Prescription-only Drug; obtaining and selling the prescription-only drug so obtained</v>
      </c>
      <c r="O1101" s="10" t="str">
        <f t="shared" si="3"/>
        <v>Drugs</v>
      </c>
    </row>
    <row r="1102">
      <c r="A1102" s="7" t="s">
        <v>2005</v>
      </c>
      <c r="B1102" s="8" t="s">
        <v>1929</v>
      </c>
      <c r="C1102" s="8" t="s">
        <v>27</v>
      </c>
      <c r="D1102" s="8" t="s">
        <v>28</v>
      </c>
      <c r="E1102" s="8" t="s">
        <v>19</v>
      </c>
      <c r="F1102" s="8" t="s">
        <v>20</v>
      </c>
      <c r="G1102" s="8" t="s">
        <v>21</v>
      </c>
      <c r="H1102" s="9"/>
      <c r="I1102" s="9"/>
      <c r="J1102" s="10">
        <f t="shared" ref="J1102:M1102" si="662">ifs(OR($H1102="R",$I1102="N"),"N/A",OR(C1102="A",C1102="B",C1102="C",C1102="U"),3,TRUE,"FLAG")</f>
        <v>3</v>
      </c>
      <c r="K1102" s="10">
        <f t="shared" si="662"/>
        <v>3</v>
      </c>
      <c r="L1102" s="10">
        <f t="shared" si="662"/>
        <v>3</v>
      </c>
      <c r="M1102" s="10" t="str">
        <f t="shared" si="662"/>
        <v>FLAG</v>
      </c>
      <c r="N1102" s="10" t="str">
        <f t="shared" si="2"/>
        <v>21-5713(b) - Drugs; Use or possess with intent to use any simulated controlled substance</v>
      </c>
      <c r="O1102" s="10" t="str">
        <f t="shared" si="3"/>
        <v>Drugs</v>
      </c>
    </row>
    <row r="1103">
      <c r="A1103" s="7" t="s">
        <v>2006</v>
      </c>
      <c r="B1103" s="8" t="s">
        <v>2007</v>
      </c>
      <c r="C1103" s="8" t="s">
        <v>27</v>
      </c>
      <c r="D1103" s="8" t="s">
        <v>28</v>
      </c>
      <c r="E1103" s="8" t="s">
        <v>19</v>
      </c>
      <c r="F1103" s="8" t="s">
        <v>20</v>
      </c>
      <c r="G1103" s="8" t="s">
        <v>21</v>
      </c>
      <c r="H1103" s="9"/>
      <c r="I1103" s="9"/>
      <c r="J1103" s="10">
        <f t="shared" ref="J1103:M1103" si="663">ifs(OR($H1103="R",$I1103="N"),"N/A",OR(C1103="A",C1103="B",C1103="C",C1103="U"),3,TRUE,"FLAG")</f>
        <v>3</v>
      </c>
      <c r="K1103" s="10">
        <f t="shared" si="663"/>
        <v>3</v>
      </c>
      <c r="L1103" s="10">
        <f t="shared" si="663"/>
        <v>3</v>
      </c>
      <c r="M1103" s="10" t="str">
        <f t="shared" si="663"/>
        <v>FLAG</v>
      </c>
      <c r="N1103" s="10" t="str">
        <f t="shared" si="2"/>
        <v>21-5709(b)(2) - Drugs; Use or possess with intent to use drug paraphernalia to store, contain, conceal, inject, ingest, inhale or otherwise introduce a controlled substance into the human body</v>
      </c>
      <c r="O1103" s="10" t="str">
        <f t="shared" si="3"/>
        <v>Drugs</v>
      </c>
    </row>
    <row r="1104">
      <c r="A1104" s="7" t="s">
        <v>2008</v>
      </c>
      <c r="B1104" s="8" t="s">
        <v>2009</v>
      </c>
      <c r="C1104" s="8" t="s">
        <v>1841</v>
      </c>
      <c r="D1104" s="9"/>
      <c r="E1104" s="9"/>
      <c r="F1104" s="9"/>
      <c r="G1104" s="8" t="s">
        <v>21</v>
      </c>
      <c r="H1104" s="9"/>
      <c r="I1104" s="9"/>
      <c r="N1104" s="10" t="str">
        <f t="shared" si="2"/>
        <v>21-5709(b)(1) - Drugs; Use or possession of paraphernalia with intent to use to manufacture, cultivate, plant, propagate, harvest, test, analyze or distribute a controlled substance; used to cultivate five or more marijuana plants</v>
      </c>
      <c r="O1104" s="10" t="str">
        <f t="shared" si="3"/>
        <v>Drugs</v>
      </c>
    </row>
    <row r="1105">
      <c r="A1105" s="7" t="s">
        <v>2010</v>
      </c>
      <c r="B1105" s="8" t="s">
        <v>2009</v>
      </c>
      <c r="C1105" s="8" t="s">
        <v>27</v>
      </c>
      <c r="D1105" s="8" t="s">
        <v>28</v>
      </c>
      <c r="E1105" s="8" t="s">
        <v>19</v>
      </c>
      <c r="F1105" s="8" t="s">
        <v>20</v>
      </c>
      <c r="G1105" s="8" t="s">
        <v>21</v>
      </c>
      <c r="H1105" s="9"/>
      <c r="I1105" s="9"/>
      <c r="J1105" s="10">
        <f t="shared" ref="J1105:M1105" si="664">ifs(OR($H1105="R",$I1105="N"),"N/A",OR(C1105="A",C1105="B",C1105="C",C1105="U"),3,TRUE,"FLAG")</f>
        <v>3</v>
      </c>
      <c r="K1105" s="10">
        <f t="shared" si="664"/>
        <v>3</v>
      </c>
      <c r="L1105" s="10">
        <f t="shared" si="664"/>
        <v>3</v>
      </c>
      <c r="M1105" s="10" t="str">
        <f t="shared" si="664"/>
        <v>FLAG</v>
      </c>
      <c r="N1105" s="10" t="str">
        <f t="shared" si="2"/>
        <v>21-5709(b)(1) - Drugs; Use or possession of paraphernalia with intent to use to manufacture, cultivate, plant, propagate, harvest, test, analyze or distribute a controlled substance; used to cultivated fewer than five marijuana plants</v>
      </c>
      <c r="O1105" s="10" t="str">
        <f t="shared" si="3"/>
        <v>Drugs</v>
      </c>
    </row>
    <row r="1106">
      <c r="A1106" s="7" t="s">
        <v>2011</v>
      </c>
      <c r="B1106" s="8" t="s">
        <v>2012</v>
      </c>
      <c r="C1106" s="8" t="s">
        <v>27</v>
      </c>
      <c r="D1106" s="8" t="s">
        <v>28</v>
      </c>
      <c r="E1106" s="8" t="s">
        <v>19</v>
      </c>
      <c r="F1106" s="8" t="s">
        <v>20</v>
      </c>
      <c r="G1106" s="8" t="s">
        <v>21</v>
      </c>
      <c r="H1106" s="9"/>
      <c r="I1106" s="9"/>
      <c r="J1106" s="10">
        <f t="shared" ref="J1106:M1106" si="665">ifs(OR($H1106="R",$I1106="N"),"N/A",OR(C1106="A",C1106="B",C1106="C",C1106="U"),3,TRUE,"FLAG")</f>
        <v>3</v>
      </c>
      <c r="K1106" s="10">
        <f t="shared" si="665"/>
        <v>3</v>
      </c>
      <c r="L1106" s="10">
        <f t="shared" si="665"/>
        <v>3</v>
      </c>
      <c r="M1106" s="10" t="str">
        <f t="shared" si="665"/>
        <v>FLAG</v>
      </c>
      <c r="N1106" s="10" t="str">
        <f t="shared" si="2"/>
        <v>8-1017(a)(3) - DUI Provisions; Blow into ignition interlock device to allow person required to operate vehicle with device to pass</v>
      </c>
      <c r="O1106" s="10" t="str">
        <f t="shared" si="3"/>
        <v>DUI Provisions</v>
      </c>
    </row>
    <row r="1107">
      <c r="A1107" s="7" t="s">
        <v>2013</v>
      </c>
      <c r="B1107" s="8" t="s">
        <v>2014</v>
      </c>
      <c r="C1107" s="8" t="s">
        <v>27</v>
      </c>
      <c r="D1107" s="8" t="s">
        <v>28</v>
      </c>
      <c r="E1107" s="8" t="s">
        <v>19</v>
      </c>
      <c r="F1107" s="8" t="s">
        <v>20</v>
      </c>
      <c r="G1107" s="8" t="s">
        <v>21</v>
      </c>
      <c r="H1107" s="9"/>
      <c r="I1107" s="9"/>
      <c r="J1107" s="10">
        <f t="shared" ref="J1107:M1107" si="666">ifs(OR($H1107="R",$I1107="N"),"N/A",OR(C1107="A",C1107="B",C1107="C",C1107="U"),3,TRUE,"FLAG")</f>
        <v>3</v>
      </c>
      <c r="K1107" s="10">
        <f t="shared" si="666"/>
        <v>3</v>
      </c>
      <c r="L1107" s="10">
        <f t="shared" si="666"/>
        <v>3</v>
      </c>
      <c r="M1107" s="10" t="str">
        <f t="shared" si="666"/>
        <v>FLAG</v>
      </c>
      <c r="N1107" s="10" t="str">
        <f t="shared" si="2"/>
        <v>8-1017(a)(4) - DUI Provisions; Operate vehicle with no ignition interlock device during restrictive period</v>
      </c>
      <c r="O1107" s="10" t="str">
        <f t="shared" si="3"/>
        <v>DUI Provisions</v>
      </c>
    </row>
    <row r="1108">
      <c r="A1108" s="7" t="s">
        <v>2015</v>
      </c>
      <c r="B1108" s="8" t="s">
        <v>2016</v>
      </c>
      <c r="C1108" s="8" t="s">
        <v>18</v>
      </c>
      <c r="D1108" s="8" t="s">
        <v>18</v>
      </c>
      <c r="E1108" s="8" t="s">
        <v>19</v>
      </c>
      <c r="F1108" s="8" t="s">
        <v>20</v>
      </c>
      <c r="G1108" s="8" t="s">
        <v>21</v>
      </c>
      <c r="H1108" s="9"/>
      <c r="I1108" s="9"/>
      <c r="J1108" s="10">
        <f t="shared" ref="J1108:M1108" si="667">ifs(OR($H1108="R",$I1108="N"),"N/A",OR(C1108="A",C1108="B",C1108="C",C1108="U"),3,TRUE,"FLAG")</f>
        <v>3</v>
      </c>
      <c r="K1108" s="10">
        <f t="shared" si="667"/>
        <v>3</v>
      </c>
      <c r="L1108" s="10">
        <f t="shared" si="667"/>
        <v>3</v>
      </c>
      <c r="M1108" s="10" t="str">
        <f t="shared" si="667"/>
        <v>FLAG</v>
      </c>
      <c r="N1108" s="10" t="str">
        <f t="shared" si="2"/>
        <v>8-1022(a) - DUI Provisions; Permitting operation of vehicle by one whose license is suspended pursuant to 8-1014 (refusal / failure of DUI test)</v>
      </c>
      <c r="O1108" s="10" t="str">
        <f t="shared" si="3"/>
        <v>DUI Provisions</v>
      </c>
    </row>
    <row r="1109">
      <c r="A1109" s="7" t="s">
        <v>2017</v>
      </c>
      <c r="B1109" s="8" t="s">
        <v>2018</v>
      </c>
      <c r="C1109" s="8" t="s">
        <v>27</v>
      </c>
      <c r="D1109" s="8" t="s">
        <v>28</v>
      </c>
      <c r="E1109" s="8" t="s">
        <v>19</v>
      </c>
      <c r="F1109" s="8" t="s">
        <v>20</v>
      </c>
      <c r="G1109" s="8" t="s">
        <v>21</v>
      </c>
      <c r="H1109" s="9"/>
      <c r="I1109" s="9"/>
      <c r="J1109" s="10">
        <f t="shared" ref="J1109:M1109" si="668">ifs(OR($H1109="R",$I1109="N"),"N/A",OR(C1109="A",C1109="B",C1109="C",C1109="U"),3,TRUE,"FLAG")</f>
        <v>3</v>
      </c>
      <c r="K1109" s="10">
        <f t="shared" si="668"/>
        <v>3</v>
      </c>
      <c r="L1109" s="10">
        <f t="shared" si="668"/>
        <v>3</v>
      </c>
      <c r="M1109" s="10" t="str">
        <f t="shared" si="668"/>
        <v>FLAG</v>
      </c>
      <c r="N1109" s="10" t="str">
        <f t="shared" si="2"/>
        <v>8-1017(a)(2) - DUI Provisions; Requesting another to blow into ignition interlock device</v>
      </c>
      <c r="O1109" s="10" t="str">
        <f t="shared" si="3"/>
        <v>DUI Provisions</v>
      </c>
    </row>
    <row r="1110">
      <c r="A1110" s="7" t="s">
        <v>2019</v>
      </c>
      <c r="B1110" s="8" t="s">
        <v>2020</v>
      </c>
      <c r="C1110" s="8" t="s">
        <v>27</v>
      </c>
      <c r="D1110" s="8" t="s">
        <v>28</v>
      </c>
      <c r="E1110" s="8" t="s">
        <v>19</v>
      </c>
      <c r="F1110" s="8" t="s">
        <v>20</v>
      </c>
      <c r="G1110" s="8" t="s">
        <v>21</v>
      </c>
      <c r="H1110" s="9"/>
      <c r="I1110" s="9"/>
      <c r="J1110" s="10">
        <f t="shared" ref="J1110:M1110" si="669">ifs(OR($H1110="R",$I1110="N"),"N/A",OR(C1110="A",C1110="B",C1110="C",C1110="U"),3,TRUE,"FLAG")</f>
        <v>3</v>
      </c>
      <c r="K1110" s="10">
        <f t="shared" si="669"/>
        <v>3</v>
      </c>
      <c r="L1110" s="10">
        <f t="shared" si="669"/>
        <v>3</v>
      </c>
      <c r="M1110" s="10" t="str">
        <f t="shared" si="669"/>
        <v>FLAG</v>
      </c>
      <c r="N1110" s="10" t="str">
        <f t="shared" si="2"/>
        <v>8-1017(a)(1) - DUI Provisions; Tampering with an ignition interlock device</v>
      </c>
      <c r="O1110" s="10" t="str">
        <f t="shared" si="3"/>
        <v>DUI Provisions</v>
      </c>
    </row>
    <row r="1111">
      <c r="A1111" s="7" t="s">
        <v>2021</v>
      </c>
      <c r="B1111" s="8" t="s">
        <v>2022</v>
      </c>
      <c r="C1111" s="8" t="s">
        <v>28</v>
      </c>
      <c r="D1111" s="8" t="s">
        <v>19</v>
      </c>
      <c r="E1111" s="8" t="s">
        <v>19</v>
      </c>
      <c r="F1111" s="8" t="s">
        <v>20</v>
      </c>
      <c r="G1111" s="8" t="s">
        <v>21</v>
      </c>
      <c r="H1111" s="9"/>
      <c r="I1111" s="9"/>
      <c r="J1111" s="10">
        <f t="shared" ref="J1111:M1111" si="670">ifs(OR($H1111="R",$I1111="N"),"N/A",OR(C1111="A",C1111="B",C1111="C",C1111="U"),3,TRUE,"FLAG")</f>
        <v>3</v>
      </c>
      <c r="K1111" s="10">
        <f t="shared" si="670"/>
        <v>3</v>
      </c>
      <c r="L1111" s="10">
        <f t="shared" si="670"/>
        <v>3</v>
      </c>
      <c r="M1111" s="10" t="str">
        <f t="shared" si="670"/>
        <v>FLAG</v>
      </c>
      <c r="N1111" s="10" t="str">
        <f t="shared" si="2"/>
        <v>8-1002(b) - DUI Provisions; Test Refusal or Failure; signing a certification submitted to the division knowing it contains a false statement</v>
      </c>
      <c r="O1111" s="10" t="str">
        <f t="shared" si="3"/>
        <v>DUI Provisions</v>
      </c>
    </row>
    <row r="1112">
      <c r="A1112" s="7" t="s">
        <v>2023</v>
      </c>
      <c r="B1112" s="8" t="s">
        <v>2024</v>
      </c>
      <c r="C1112" s="8" t="s">
        <v>28</v>
      </c>
      <c r="D1112" s="8" t="s">
        <v>19</v>
      </c>
      <c r="E1112" s="8" t="s">
        <v>19</v>
      </c>
      <c r="F1112" s="8" t="s">
        <v>20</v>
      </c>
      <c r="G1112" s="8" t="s">
        <v>21</v>
      </c>
      <c r="H1112" s="9"/>
      <c r="I1112" s="9"/>
      <c r="J1112" s="10">
        <f t="shared" ref="J1112:M1112" si="671">ifs(OR($H1112="R",$I1112="N"),"N/A",OR(C1112="A",C1112="B",C1112="C",C1112="U"),3,TRUE,"FLAG")</f>
        <v>3</v>
      </c>
      <c r="K1112" s="10">
        <f t="shared" si="671"/>
        <v>3</v>
      </c>
      <c r="L1112" s="10">
        <f t="shared" si="671"/>
        <v>3</v>
      </c>
      <c r="M1112" s="10" t="str">
        <f t="shared" si="671"/>
        <v>FLAG</v>
      </c>
      <c r="N1112" s="10" t="str">
        <f t="shared" si="2"/>
        <v>8-2,145(d) - DUI Provisions; Tests for Alcohol or Drugs; signing a certification submitted to the division knowing it contains a false statement</v>
      </c>
      <c r="O1112" s="10" t="str">
        <f t="shared" si="3"/>
        <v>DUI Provisions</v>
      </c>
    </row>
    <row r="1113">
      <c r="A1113" s="7" t="s">
        <v>2025</v>
      </c>
      <c r="B1113" s="8" t="s">
        <v>2026</v>
      </c>
      <c r="C1113" s="8" t="s">
        <v>28</v>
      </c>
      <c r="D1113" s="8" t="s">
        <v>19</v>
      </c>
      <c r="E1113" s="8" t="s">
        <v>19</v>
      </c>
      <c r="F1113" s="8" t="s">
        <v>20</v>
      </c>
      <c r="G1113" s="8" t="s">
        <v>21</v>
      </c>
      <c r="H1113" s="9"/>
      <c r="I1113" s="9"/>
      <c r="J1113" s="10">
        <f t="shared" ref="J1113:M1113" si="672">ifs(OR($H1113="R",$I1113="N"),"N/A",OR(C1113="A",C1113="B",C1113="C",C1113="U"),3,TRUE,"FLAG")</f>
        <v>3</v>
      </c>
      <c r="K1113" s="10">
        <f t="shared" si="672"/>
        <v>3</v>
      </c>
      <c r="L1113" s="10">
        <f t="shared" si="672"/>
        <v>3</v>
      </c>
      <c r="M1113" s="10" t="str">
        <f t="shared" si="672"/>
        <v>FLAG</v>
      </c>
      <c r="N1113" s="10" t="str">
        <f t="shared" si="2"/>
        <v>8-1567(a)(2) - DUI; Alcohol concentration as measured within three hours of the time of operating or attempting to operate a vehicle, is .08 or more; 1st conviction</v>
      </c>
      <c r="O1113" s="10" t="str">
        <f t="shared" si="3"/>
        <v>DUI</v>
      </c>
    </row>
    <row r="1114">
      <c r="A1114" s="7" t="s">
        <v>2027</v>
      </c>
      <c r="B1114" s="8" t="s">
        <v>2026</v>
      </c>
      <c r="C1114" s="8" t="s">
        <v>27</v>
      </c>
      <c r="D1114" s="8" t="s">
        <v>28</v>
      </c>
      <c r="E1114" s="8" t="s">
        <v>19</v>
      </c>
      <c r="F1114" s="8" t="s">
        <v>20</v>
      </c>
      <c r="G1114" s="8" t="s">
        <v>21</v>
      </c>
      <c r="H1114" s="9"/>
      <c r="I1114" s="9"/>
      <c r="J1114" s="10">
        <f t="shared" ref="J1114:M1114" si="673">ifs(OR($H1114="R",$I1114="N"),"N/A",OR(C1114="A",C1114="B",C1114="C",C1114="U"),3,TRUE,"FLAG")</f>
        <v>3</v>
      </c>
      <c r="K1114" s="10">
        <f t="shared" si="673"/>
        <v>3</v>
      </c>
      <c r="L1114" s="10">
        <f t="shared" si="673"/>
        <v>3</v>
      </c>
      <c r="M1114" s="10" t="str">
        <f t="shared" si="673"/>
        <v>FLAG</v>
      </c>
      <c r="N1114" s="10" t="str">
        <f t="shared" si="2"/>
        <v>8-1567(a)(2) - DUI; Alcohol concentration as measured within three hours of the time of operating or attempting to operate a vehicle, is .08 or more; 2nd conviction</v>
      </c>
      <c r="O1114" s="10" t="str">
        <f t="shared" si="3"/>
        <v>DUI</v>
      </c>
    </row>
    <row r="1115">
      <c r="A1115" s="7" t="s">
        <v>2028</v>
      </c>
      <c r="B1115" s="8" t="s">
        <v>2026</v>
      </c>
      <c r="C1115" s="8" t="s">
        <v>27</v>
      </c>
      <c r="D1115" s="8" t="s">
        <v>28</v>
      </c>
      <c r="E1115" s="8" t="s">
        <v>19</v>
      </c>
      <c r="F1115" s="8" t="s">
        <v>20</v>
      </c>
      <c r="G1115" s="8" t="s">
        <v>21</v>
      </c>
      <c r="H1115" s="9"/>
      <c r="I1115" s="9"/>
      <c r="J1115" s="10">
        <f t="shared" ref="J1115:M1115" si="674">ifs(OR($H1115="R",$I1115="N"),"N/A",OR(C1115="A",C1115="B",C1115="C",C1115="U"),3,TRUE,"FLAG")</f>
        <v>3</v>
      </c>
      <c r="K1115" s="10">
        <f t="shared" si="674"/>
        <v>3</v>
      </c>
      <c r="L1115" s="10">
        <f t="shared" si="674"/>
        <v>3</v>
      </c>
      <c r="M1115" s="10" t="str">
        <f t="shared" si="674"/>
        <v>FLAG</v>
      </c>
      <c r="N1115" s="10" t="str">
        <f t="shared" si="2"/>
        <v>8-1567(a)(2) - DUI; Alcohol concentration as measured within three hours of the time of operating or attempting to operate a vehicle, is .08 or more; 3rd conviction, if no prior convictions within preceding 10 years</v>
      </c>
      <c r="O1115" s="10" t="str">
        <f t="shared" si="3"/>
        <v>DUI</v>
      </c>
    </row>
    <row r="1116">
      <c r="A1116" s="7" t="s">
        <v>2029</v>
      </c>
      <c r="B1116" s="8" t="s">
        <v>2026</v>
      </c>
      <c r="C1116" s="8" t="s">
        <v>1185</v>
      </c>
      <c r="D1116" s="9"/>
      <c r="E1116" s="9"/>
      <c r="F1116" s="9"/>
      <c r="G1116" s="8" t="s">
        <v>21</v>
      </c>
      <c r="H1116" s="9"/>
      <c r="I1116" s="9"/>
      <c r="N1116" s="10" t="str">
        <f t="shared" si="2"/>
        <v>8-1567(a)(2) - DUI; Alcohol concentration as measured within three hours of the time of operating or attempting to operate a vehicle, is .08 or more; 3rd conviction, if prior within the preceding 10 yrs</v>
      </c>
      <c r="O1116" s="10" t="str">
        <f t="shared" si="3"/>
        <v>DUI</v>
      </c>
    </row>
    <row r="1117">
      <c r="A1117" s="7" t="s">
        <v>2030</v>
      </c>
      <c r="B1117" s="8" t="s">
        <v>2026</v>
      </c>
      <c r="C1117" s="8" t="s">
        <v>1185</v>
      </c>
      <c r="D1117" s="9"/>
      <c r="E1117" s="9"/>
      <c r="F1117" s="9"/>
      <c r="G1117" s="8" t="s">
        <v>21</v>
      </c>
      <c r="H1117" s="9"/>
      <c r="I1117" s="9"/>
      <c r="N1117" s="10" t="str">
        <f t="shared" si="2"/>
        <v>8-1567(a)(2) - DUI; Alcohol concentration as measured within two hours of the time of operating or attempting to operate a vehicle, is .08 or more; 4th or subs. conviction</v>
      </c>
      <c r="O1117" s="10" t="str">
        <f t="shared" si="3"/>
        <v>DUI</v>
      </c>
    </row>
    <row r="1118">
      <c r="A1118" s="7" t="s">
        <v>2031</v>
      </c>
      <c r="B1118" s="8" t="s">
        <v>2032</v>
      </c>
      <c r="C1118" s="8" t="s">
        <v>28</v>
      </c>
      <c r="D1118" s="8" t="s">
        <v>19</v>
      </c>
      <c r="E1118" s="8" t="s">
        <v>19</v>
      </c>
      <c r="F1118" s="8" t="s">
        <v>20</v>
      </c>
      <c r="G1118" s="8" t="s">
        <v>21</v>
      </c>
      <c r="H1118" s="9"/>
      <c r="I1118" s="9"/>
      <c r="J1118" s="10">
        <f t="shared" ref="J1118:M1118" si="675">ifs(OR($H1118="R",$I1118="N"),"N/A",OR(C1118="A",C1118="B",C1118="C",C1118="U"),3,TRUE,"FLAG")</f>
        <v>3</v>
      </c>
      <c r="K1118" s="10">
        <f t="shared" si="675"/>
        <v>3</v>
      </c>
      <c r="L1118" s="10">
        <f t="shared" si="675"/>
        <v>3</v>
      </c>
      <c r="M1118" s="10" t="str">
        <f t="shared" si="675"/>
        <v>FLAG</v>
      </c>
      <c r="N1118" s="10" t="str">
        <f t="shared" si="2"/>
        <v>8-1567(a)(1) - DUI; Alcohol concentration is .08 or more; 1st conviction</v>
      </c>
      <c r="O1118" s="10" t="str">
        <f t="shared" si="3"/>
        <v>DUI</v>
      </c>
    </row>
    <row r="1119">
      <c r="A1119" s="7" t="s">
        <v>2033</v>
      </c>
      <c r="B1119" s="8" t="s">
        <v>2032</v>
      </c>
      <c r="C1119" s="8" t="s">
        <v>27</v>
      </c>
      <c r="D1119" s="8" t="s">
        <v>28</v>
      </c>
      <c r="E1119" s="8" t="s">
        <v>19</v>
      </c>
      <c r="F1119" s="8" t="s">
        <v>20</v>
      </c>
      <c r="G1119" s="8" t="s">
        <v>21</v>
      </c>
      <c r="H1119" s="9"/>
      <c r="I1119" s="9"/>
      <c r="J1119" s="10">
        <f t="shared" ref="J1119:M1119" si="676">ifs(OR($H1119="R",$I1119="N"),"N/A",OR(C1119="A",C1119="B",C1119="C",C1119="U"),3,TRUE,"FLAG")</f>
        <v>3</v>
      </c>
      <c r="K1119" s="10">
        <f t="shared" si="676"/>
        <v>3</v>
      </c>
      <c r="L1119" s="10">
        <f t="shared" si="676"/>
        <v>3</v>
      </c>
      <c r="M1119" s="10" t="str">
        <f t="shared" si="676"/>
        <v>FLAG</v>
      </c>
      <c r="N1119" s="10" t="str">
        <f t="shared" si="2"/>
        <v>8-1567(a)(1) - DUI; Alcohol concentration is .08 or more; 2nd conviction</v>
      </c>
      <c r="O1119" s="10" t="str">
        <f t="shared" si="3"/>
        <v>DUI</v>
      </c>
    </row>
    <row r="1120">
      <c r="A1120" s="7" t="s">
        <v>2034</v>
      </c>
      <c r="B1120" s="8" t="s">
        <v>2032</v>
      </c>
      <c r="C1120" s="8" t="s">
        <v>27</v>
      </c>
      <c r="D1120" s="8" t="s">
        <v>28</v>
      </c>
      <c r="E1120" s="8" t="s">
        <v>19</v>
      </c>
      <c r="F1120" s="8" t="s">
        <v>20</v>
      </c>
      <c r="G1120" s="8" t="s">
        <v>21</v>
      </c>
      <c r="H1120" s="9"/>
      <c r="I1120" s="9"/>
      <c r="J1120" s="10">
        <f t="shared" ref="J1120:M1120" si="677">ifs(OR($H1120="R",$I1120="N"),"N/A",OR(C1120="A",C1120="B",C1120="C",C1120="U"),3,TRUE,"FLAG")</f>
        <v>3</v>
      </c>
      <c r="K1120" s="10">
        <f t="shared" si="677"/>
        <v>3</v>
      </c>
      <c r="L1120" s="10">
        <f t="shared" si="677"/>
        <v>3</v>
      </c>
      <c r="M1120" s="10" t="str">
        <f t="shared" si="677"/>
        <v>FLAG</v>
      </c>
      <c r="N1120" s="10" t="str">
        <f t="shared" si="2"/>
        <v>8-1567(a)(1) - DUI; Alcohol concentration is .08 or more; 3rd conviction, if no prior convictions within preceding 10 years</v>
      </c>
      <c r="O1120" s="10" t="str">
        <f t="shared" si="3"/>
        <v>DUI</v>
      </c>
    </row>
    <row r="1121">
      <c r="A1121" s="7" t="s">
        <v>2035</v>
      </c>
      <c r="B1121" s="8" t="s">
        <v>2032</v>
      </c>
      <c r="C1121" s="8" t="s">
        <v>1185</v>
      </c>
      <c r="D1121" s="9"/>
      <c r="E1121" s="9"/>
      <c r="F1121" s="9"/>
      <c r="G1121" s="8" t="s">
        <v>21</v>
      </c>
      <c r="H1121" s="9"/>
      <c r="I1121" s="9"/>
      <c r="N1121" s="10" t="str">
        <f t="shared" si="2"/>
        <v>8-1567(a)(1) - DUI; Alcohol concentration is .08 or more; 3rd conviction, if prior within the preceding 10 yrs</v>
      </c>
      <c r="O1121" s="10" t="str">
        <f t="shared" si="3"/>
        <v>DUI</v>
      </c>
    </row>
    <row r="1122">
      <c r="A1122" s="7" t="s">
        <v>2036</v>
      </c>
      <c r="B1122" s="8" t="s">
        <v>2032</v>
      </c>
      <c r="C1122" s="8" t="s">
        <v>1185</v>
      </c>
      <c r="D1122" s="9"/>
      <c r="E1122" s="9"/>
      <c r="F1122" s="9"/>
      <c r="G1122" s="8" t="s">
        <v>21</v>
      </c>
      <c r="H1122" s="9"/>
      <c r="I1122" s="9"/>
      <c r="N1122" s="10" t="str">
        <f t="shared" si="2"/>
        <v>8-1567(a)(1) - DUI; Alcohol concentration is .08 or more; 4th or subs. conviction</v>
      </c>
      <c r="O1122" s="10" t="str">
        <f t="shared" si="3"/>
        <v>DUI</v>
      </c>
    </row>
    <row r="1123">
      <c r="A1123" s="7" t="s">
        <v>2037</v>
      </c>
      <c r="B1123" s="8" t="s">
        <v>2038</v>
      </c>
      <c r="C1123" s="8" t="s">
        <v>28</v>
      </c>
      <c r="D1123" s="8" t="s">
        <v>19</v>
      </c>
      <c r="E1123" s="8" t="s">
        <v>19</v>
      </c>
      <c r="F1123" s="8" t="s">
        <v>20</v>
      </c>
      <c r="G1123" s="8" t="s">
        <v>21</v>
      </c>
      <c r="H1123" s="9"/>
      <c r="I1123" s="9"/>
      <c r="J1123" s="10">
        <f t="shared" ref="J1123:M1123" si="678">ifs(OR($H1123="R",$I1123="N"),"N/A",OR(C1123="A",C1123="B",C1123="C",C1123="U"),3,TRUE,"FLAG")</f>
        <v>3</v>
      </c>
      <c r="K1123" s="10">
        <f t="shared" si="678"/>
        <v>3</v>
      </c>
      <c r="L1123" s="10">
        <f t="shared" si="678"/>
        <v>3</v>
      </c>
      <c r="M1123" s="10" t="str">
        <f t="shared" si="678"/>
        <v>FLAG</v>
      </c>
      <c r="N1123" s="10" t="str">
        <f t="shared" si="2"/>
        <v>8-1567(a)(5) - DUI; Driving under the influence of a combination of alcohol and any drug or drugs to a degree that renders the person incapable of safely driving a vehicle; 1st conviction</v>
      </c>
      <c r="O1123" s="10" t="str">
        <f t="shared" si="3"/>
        <v>DUI</v>
      </c>
    </row>
    <row r="1124">
      <c r="A1124" s="7" t="s">
        <v>2039</v>
      </c>
      <c r="B1124" s="8" t="s">
        <v>2038</v>
      </c>
      <c r="C1124" s="8" t="s">
        <v>27</v>
      </c>
      <c r="D1124" s="8" t="s">
        <v>28</v>
      </c>
      <c r="E1124" s="8" t="s">
        <v>19</v>
      </c>
      <c r="F1124" s="8" t="s">
        <v>20</v>
      </c>
      <c r="G1124" s="8" t="s">
        <v>21</v>
      </c>
      <c r="H1124" s="9"/>
      <c r="I1124" s="9"/>
      <c r="J1124" s="10">
        <f t="shared" ref="J1124:M1124" si="679">ifs(OR($H1124="R",$I1124="N"),"N/A",OR(C1124="A",C1124="B",C1124="C",C1124="U"),3,TRUE,"FLAG")</f>
        <v>3</v>
      </c>
      <c r="K1124" s="10">
        <f t="shared" si="679"/>
        <v>3</v>
      </c>
      <c r="L1124" s="10">
        <f t="shared" si="679"/>
        <v>3</v>
      </c>
      <c r="M1124" s="10" t="str">
        <f t="shared" si="679"/>
        <v>FLAG</v>
      </c>
      <c r="N1124" s="10" t="str">
        <f t="shared" si="2"/>
        <v>8-1567(a)(5) - DUI; Driving under the influence of a combination of alcohol and any drug or drugs to a degree that renders the person incapable of safely driving a vehicle; 2nd conviction</v>
      </c>
      <c r="O1124" s="10" t="str">
        <f t="shared" si="3"/>
        <v>DUI</v>
      </c>
    </row>
    <row r="1125">
      <c r="A1125" s="7" t="s">
        <v>2040</v>
      </c>
      <c r="B1125" s="8" t="s">
        <v>2038</v>
      </c>
      <c r="C1125" s="8" t="s">
        <v>27</v>
      </c>
      <c r="D1125" s="8" t="s">
        <v>28</v>
      </c>
      <c r="E1125" s="8" t="s">
        <v>19</v>
      </c>
      <c r="F1125" s="8" t="s">
        <v>20</v>
      </c>
      <c r="G1125" s="8" t="s">
        <v>21</v>
      </c>
      <c r="H1125" s="9"/>
      <c r="I1125" s="9"/>
      <c r="J1125" s="10">
        <f t="shared" ref="J1125:M1125" si="680">ifs(OR($H1125="R",$I1125="N"),"N/A",OR(C1125="A",C1125="B",C1125="C",C1125="U"),3,TRUE,"FLAG")</f>
        <v>3</v>
      </c>
      <c r="K1125" s="10">
        <f t="shared" si="680"/>
        <v>3</v>
      </c>
      <c r="L1125" s="10">
        <f t="shared" si="680"/>
        <v>3</v>
      </c>
      <c r="M1125" s="10" t="str">
        <f t="shared" si="680"/>
        <v>FLAG</v>
      </c>
      <c r="N1125" s="10" t="str">
        <f t="shared" si="2"/>
        <v>8-1567(a)(5) - DUI; Driving under the influence of a combination of alcohol and any drug or drugs to a degree that renders the person incapable of safely driving a vehicle; 3rd conviction, if no prior convictions within preceding 10 years</v>
      </c>
      <c r="O1125" s="10" t="str">
        <f t="shared" si="3"/>
        <v>DUI</v>
      </c>
    </row>
    <row r="1126">
      <c r="A1126" s="7" t="s">
        <v>2041</v>
      </c>
      <c r="B1126" s="8" t="s">
        <v>2038</v>
      </c>
      <c r="C1126" s="8" t="s">
        <v>1185</v>
      </c>
      <c r="D1126" s="9"/>
      <c r="E1126" s="9"/>
      <c r="F1126" s="9"/>
      <c r="G1126" s="8" t="s">
        <v>21</v>
      </c>
      <c r="H1126" s="9"/>
      <c r="I1126" s="9"/>
      <c r="N1126" s="10" t="str">
        <f t="shared" si="2"/>
        <v>8-1567(a)(5) - DUI; Driving under the influence of a combination of alcohol and drug(s) to a degree that renders the person incapable of safely driving a vehicle; 4th or subs. conviction</v>
      </c>
      <c r="O1126" s="10" t="str">
        <f t="shared" si="3"/>
        <v>DUI</v>
      </c>
    </row>
    <row r="1127">
      <c r="A1127" s="7" t="s">
        <v>2042</v>
      </c>
      <c r="B1127" s="8" t="s">
        <v>2043</v>
      </c>
      <c r="C1127" s="8" t="s">
        <v>1185</v>
      </c>
      <c r="D1127" s="9"/>
      <c r="E1127" s="9"/>
      <c r="F1127" s="9"/>
      <c r="G1127" s="8" t="s">
        <v>21</v>
      </c>
      <c r="H1127" s="9"/>
      <c r="I1127" s="9"/>
      <c r="N1127" s="10" t="str">
        <f t="shared" si="2"/>
        <v>8-1567(a)(4) - DUI; Driving under the influence of a drug or combination of drugs to a degree that renders the person incapable of safely driving a vehicle; 3rd conviction, if prior within the preceding 10 yrs</v>
      </c>
      <c r="O1127" s="10" t="str">
        <f t="shared" si="3"/>
        <v>DUI</v>
      </c>
    </row>
    <row r="1128">
      <c r="A1128" s="7" t="s">
        <v>2044</v>
      </c>
      <c r="B1128" s="8" t="s">
        <v>2045</v>
      </c>
      <c r="C1128" s="8" t="s">
        <v>28</v>
      </c>
      <c r="D1128" s="8" t="s">
        <v>19</v>
      </c>
      <c r="E1128" s="8" t="s">
        <v>19</v>
      </c>
      <c r="F1128" s="8" t="s">
        <v>20</v>
      </c>
      <c r="G1128" s="8" t="s">
        <v>21</v>
      </c>
      <c r="H1128" s="9"/>
      <c r="I1128" s="9"/>
      <c r="J1128" s="10">
        <f t="shared" ref="J1128:M1128" si="681">ifs(OR($H1128="R",$I1128="N"),"N/A",OR(C1128="A",C1128="B",C1128="C",C1128="U"),3,TRUE,"FLAG")</f>
        <v>3</v>
      </c>
      <c r="K1128" s="10">
        <f t="shared" si="681"/>
        <v>3</v>
      </c>
      <c r="L1128" s="10">
        <f t="shared" si="681"/>
        <v>3</v>
      </c>
      <c r="M1128" s="10" t="str">
        <f t="shared" si="681"/>
        <v>FLAG</v>
      </c>
      <c r="N1128" s="10" t="str">
        <f t="shared" si="2"/>
        <v>8-1567(a)(3) - DUI; Driving under the influence of alcohol to a degree that renders the person incapable of safely driving a vehicle; 1st conviction</v>
      </c>
      <c r="O1128" s="10" t="str">
        <f t="shared" si="3"/>
        <v>DUI</v>
      </c>
    </row>
    <row r="1129">
      <c r="A1129" s="7" t="s">
        <v>2046</v>
      </c>
      <c r="B1129" s="8" t="s">
        <v>2045</v>
      </c>
      <c r="C1129" s="8" t="s">
        <v>27</v>
      </c>
      <c r="D1129" s="8" t="s">
        <v>28</v>
      </c>
      <c r="E1129" s="8" t="s">
        <v>19</v>
      </c>
      <c r="F1129" s="8" t="s">
        <v>20</v>
      </c>
      <c r="G1129" s="8" t="s">
        <v>21</v>
      </c>
      <c r="H1129" s="9"/>
      <c r="I1129" s="9"/>
      <c r="J1129" s="10">
        <f t="shared" ref="J1129:M1129" si="682">ifs(OR($H1129="R",$I1129="N"),"N/A",OR(C1129="A",C1129="B",C1129="C",C1129="U"),3,TRUE,"FLAG")</f>
        <v>3</v>
      </c>
      <c r="K1129" s="10">
        <f t="shared" si="682"/>
        <v>3</v>
      </c>
      <c r="L1129" s="10">
        <f t="shared" si="682"/>
        <v>3</v>
      </c>
      <c r="M1129" s="10" t="str">
        <f t="shared" si="682"/>
        <v>FLAG</v>
      </c>
      <c r="N1129" s="10" t="str">
        <f t="shared" si="2"/>
        <v>8-1567(a)(3) - DUI; Driving under the influence of alcohol to a degree that renders the person incapable of safely driving a vehicle; 2nd conviction</v>
      </c>
      <c r="O1129" s="10" t="str">
        <f t="shared" si="3"/>
        <v>DUI</v>
      </c>
    </row>
    <row r="1130">
      <c r="A1130" s="7" t="s">
        <v>2047</v>
      </c>
      <c r="B1130" s="8" t="s">
        <v>2045</v>
      </c>
      <c r="C1130" s="8" t="s">
        <v>27</v>
      </c>
      <c r="D1130" s="8" t="s">
        <v>28</v>
      </c>
      <c r="E1130" s="8" t="s">
        <v>19</v>
      </c>
      <c r="F1130" s="8" t="s">
        <v>20</v>
      </c>
      <c r="G1130" s="8" t="s">
        <v>21</v>
      </c>
      <c r="H1130" s="9"/>
      <c r="I1130" s="9"/>
      <c r="J1130" s="10">
        <f t="shared" ref="J1130:M1130" si="683">ifs(OR($H1130="R",$I1130="N"),"N/A",OR(C1130="A",C1130="B",C1130="C",C1130="U"),3,TRUE,"FLAG")</f>
        <v>3</v>
      </c>
      <c r="K1130" s="10">
        <f t="shared" si="683"/>
        <v>3</v>
      </c>
      <c r="L1130" s="10">
        <f t="shared" si="683"/>
        <v>3</v>
      </c>
      <c r="M1130" s="10" t="str">
        <f t="shared" si="683"/>
        <v>FLAG</v>
      </c>
      <c r="N1130" s="10" t="str">
        <f t="shared" si="2"/>
        <v>8-1567(a)(3) - DUI; Driving under the influence of alcohol to a degree that renders the person incapable of safely driving a vehicle; 3rd conviction, if no prior convictions within preceding 10 years</v>
      </c>
      <c r="O1130" s="10" t="str">
        <f t="shared" si="3"/>
        <v>DUI</v>
      </c>
    </row>
    <row r="1131">
      <c r="A1131" s="7" t="s">
        <v>2048</v>
      </c>
      <c r="B1131" s="8" t="s">
        <v>2045</v>
      </c>
      <c r="C1131" s="8" t="s">
        <v>1185</v>
      </c>
      <c r="D1131" s="9"/>
      <c r="E1131" s="9"/>
      <c r="F1131" s="9"/>
      <c r="G1131" s="8" t="s">
        <v>21</v>
      </c>
      <c r="H1131" s="9"/>
      <c r="I1131" s="9"/>
      <c r="N1131" s="10" t="str">
        <f t="shared" si="2"/>
        <v>8-1567(a)(3) - DUI; Driving under the influence of alcohol to a degree that renders the person incapable of safely driving a vehicle; 3rd conviction, if prior within the preceding 10 yrs</v>
      </c>
      <c r="O1131" s="10" t="str">
        <f t="shared" si="3"/>
        <v>DUI</v>
      </c>
    </row>
    <row r="1132">
      <c r="A1132" s="7" t="s">
        <v>2049</v>
      </c>
      <c r="B1132" s="8" t="s">
        <v>2045</v>
      </c>
      <c r="C1132" s="8" t="s">
        <v>1185</v>
      </c>
      <c r="D1132" s="9"/>
      <c r="E1132" s="9"/>
      <c r="F1132" s="9"/>
      <c r="G1132" s="8" t="s">
        <v>21</v>
      </c>
      <c r="H1132" s="9"/>
      <c r="I1132" s="9"/>
      <c r="N1132" s="10" t="str">
        <f t="shared" si="2"/>
        <v>8-1567(a)(3) - DUI; Driving under the influence of alcohol to a degree that renders the person incapable of safely driving a vehicle; 4th or subs. conviction</v>
      </c>
      <c r="O1132" s="10" t="str">
        <f t="shared" si="3"/>
        <v>DUI</v>
      </c>
    </row>
    <row r="1133">
      <c r="A1133" s="7" t="s">
        <v>2050</v>
      </c>
      <c r="B1133" s="8" t="s">
        <v>2043</v>
      </c>
      <c r="C1133" s="8" t="s">
        <v>28</v>
      </c>
      <c r="D1133" s="8" t="s">
        <v>19</v>
      </c>
      <c r="E1133" s="8" t="s">
        <v>19</v>
      </c>
      <c r="F1133" s="8" t="s">
        <v>20</v>
      </c>
      <c r="G1133" s="8" t="s">
        <v>21</v>
      </c>
      <c r="H1133" s="9"/>
      <c r="I1133" s="9"/>
      <c r="J1133" s="10">
        <f t="shared" ref="J1133:M1133" si="684">ifs(OR($H1133="R",$I1133="N"),"N/A",OR(C1133="A",C1133="B",C1133="C",C1133="U"),3,TRUE,"FLAG")</f>
        <v>3</v>
      </c>
      <c r="K1133" s="10">
        <f t="shared" si="684"/>
        <v>3</v>
      </c>
      <c r="L1133" s="10">
        <f t="shared" si="684"/>
        <v>3</v>
      </c>
      <c r="M1133" s="10" t="str">
        <f t="shared" si="684"/>
        <v>FLAG</v>
      </c>
      <c r="N1133" s="10" t="str">
        <f t="shared" si="2"/>
        <v>8-1567(a)(4) - DUI; Driving under the influence of any drug or combination of drugs to a degree that renders the person incapable of safely driving a vehicle; 1st conviction</v>
      </c>
      <c r="O1133" s="10" t="str">
        <f t="shared" si="3"/>
        <v>DUI</v>
      </c>
    </row>
    <row r="1134">
      <c r="A1134" s="7" t="s">
        <v>2051</v>
      </c>
      <c r="B1134" s="8" t="s">
        <v>2043</v>
      </c>
      <c r="C1134" s="8" t="s">
        <v>27</v>
      </c>
      <c r="D1134" s="8" t="s">
        <v>28</v>
      </c>
      <c r="E1134" s="8" t="s">
        <v>19</v>
      </c>
      <c r="F1134" s="8" t="s">
        <v>20</v>
      </c>
      <c r="G1134" s="8" t="s">
        <v>21</v>
      </c>
      <c r="H1134" s="9"/>
      <c r="I1134" s="9"/>
      <c r="J1134" s="10">
        <f t="shared" ref="J1134:M1134" si="685">ifs(OR($H1134="R",$I1134="N"),"N/A",OR(C1134="A",C1134="B",C1134="C",C1134="U"),3,TRUE,"FLAG")</f>
        <v>3</v>
      </c>
      <c r="K1134" s="10">
        <f t="shared" si="685"/>
        <v>3</v>
      </c>
      <c r="L1134" s="10">
        <f t="shared" si="685"/>
        <v>3</v>
      </c>
      <c r="M1134" s="10" t="str">
        <f t="shared" si="685"/>
        <v>FLAG</v>
      </c>
      <c r="N1134" s="10" t="str">
        <f t="shared" si="2"/>
        <v>8-1567(a)(4) - DUI; Driving under the influence of any drug or combination of drugs to a degree that renders the person incapable of safely driving a vehicle; 2nd conviction</v>
      </c>
      <c r="O1134" s="10" t="str">
        <f t="shared" si="3"/>
        <v>DUI</v>
      </c>
    </row>
    <row r="1135">
      <c r="A1135" s="7" t="s">
        <v>2052</v>
      </c>
      <c r="B1135" s="8" t="s">
        <v>2043</v>
      </c>
      <c r="C1135" s="8" t="s">
        <v>27</v>
      </c>
      <c r="D1135" s="8" t="s">
        <v>28</v>
      </c>
      <c r="E1135" s="8" t="s">
        <v>19</v>
      </c>
      <c r="F1135" s="8" t="s">
        <v>20</v>
      </c>
      <c r="G1135" s="8" t="s">
        <v>21</v>
      </c>
      <c r="H1135" s="9"/>
      <c r="I1135" s="9"/>
      <c r="J1135" s="10">
        <f t="shared" ref="J1135:M1135" si="686">ifs(OR($H1135="R",$I1135="N"),"N/A",OR(C1135="A",C1135="B",C1135="C",C1135="U"),3,TRUE,"FLAG")</f>
        <v>3</v>
      </c>
      <c r="K1135" s="10">
        <f t="shared" si="686"/>
        <v>3</v>
      </c>
      <c r="L1135" s="10">
        <f t="shared" si="686"/>
        <v>3</v>
      </c>
      <c r="M1135" s="10" t="str">
        <f t="shared" si="686"/>
        <v>FLAG</v>
      </c>
      <c r="N1135" s="10" t="str">
        <f t="shared" si="2"/>
        <v>8-1567(a)(4) - DUI; Driving under the influence of any drug or combination of drugs to a degree that renders the person incapable of safely driving a vehicle; 3rd conviction, if no prior convictions within preceding 10 years</v>
      </c>
      <c r="O1135" s="10" t="str">
        <f t="shared" si="3"/>
        <v>DUI</v>
      </c>
    </row>
    <row r="1136">
      <c r="A1136" s="7" t="s">
        <v>2053</v>
      </c>
      <c r="B1136" s="8" t="s">
        <v>2043</v>
      </c>
      <c r="C1136" s="8" t="s">
        <v>1185</v>
      </c>
      <c r="D1136" s="9"/>
      <c r="E1136" s="9"/>
      <c r="F1136" s="9"/>
      <c r="G1136" s="8" t="s">
        <v>21</v>
      </c>
      <c r="H1136" s="9"/>
      <c r="I1136" s="9"/>
      <c r="N1136" s="10" t="str">
        <f t="shared" si="2"/>
        <v>8-1567(a)(4) - DUI; Driving under the influence of any drug or combination of drugs to a degree that renders the person incapable of safely driving a vehicle; 4th or subs. conviction</v>
      </c>
      <c r="O1136" s="10" t="str">
        <f t="shared" si="3"/>
        <v>DUI</v>
      </c>
    </row>
    <row r="1137">
      <c r="A1137" s="7" t="s">
        <v>2054</v>
      </c>
      <c r="B1137" s="8" t="s">
        <v>2038</v>
      </c>
      <c r="C1137" s="8" t="s">
        <v>1185</v>
      </c>
      <c r="D1137" s="9"/>
      <c r="E1137" s="9"/>
      <c r="F1137" s="9"/>
      <c r="G1137" s="8" t="s">
        <v>21</v>
      </c>
      <c r="H1137" s="9"/>
      <c r="I1137" s="9"/>
      <c r="N1137" s="10" t="str">
        <f t="shared" si="2"/>
        <v>8-1567(a)(5) - DUI; Driving under the influence of combination of alcohol &amp; drug(s) to a degree that renders the person incapable of safely driving a vehicle; 3rd conviction, if prior within the preceding 10 yrs</v>
      </c>
      <c r="O1137" s="10" t="str">
        <f t="shared" si="3"/>
        <v>DUI</v>
      </c>
    </row>
    <row r="1138">
      <c r="A1138" s="7" t="s">
        <v>2055</v>
      </c>
      <c r="B1138" s="12" t="s">
        <v>2056</v>
      </c>
      <c r="C1138" s="8" t="s">
        <v>27</v>
      </c>
      <c r="D1138" s="8" t="s">
        <v>28</v>
      </c>
      <c r="E1138" s="8" t="s">
        <v>19</v>
      </c>
      <c r="F1138" s="8" t="s">
        <v>20</v>
      </c>
      <c r="G1138" s="8" t="s">
        <v>21</v>
      </c>
      <c r="H1138" s="9"/>
      <c r="I1138" s="9"/>
      <c r="J1138" s="10">
        <f t="shared" ref="J1138:M1138" si="687">ifs(OR($H1138="R",$I1138="N"),"N/A",OR(C1138="A",C1138="B",C1138="C",C1138="U"),3,TRUE,"FLAG")</f>
        <v>3</v>
      </c>
      <c r="K1138" s="10">
        <f t="shared" si="687"/>
        <v>3</v>
      </c>
      <c r="L1138" s="10">
        <f t="shared" si="687"/>
        <v>3</v>
      </c>
      <c r="M1138" s="10" t="str">
        <f t="shared" si="687"/>
        <v>FLAG</v>
      </c>
      <c r="N1138" s="10" t="str">
        <f t="shared" si="2"/>
        <v>-319373 - DUI; Test Refusal; 1st conviction</v>
      </c>
      <c r="O1138" s="10" t="str">
        <f t="shared" si="3"/>
        <v>DUI</v>
      </c>
    </row>
    <row r="1139">
      <c r="A1139" s="7" t="s">
        <v>2057</v>
      </c>
      <c r="B1139" s="12" t="s">
        <v>2056</v>
      </c>
      <c r="C1139" s="8" t="s">
        <v>27</v>
      </c>
      <c r="D1139" s="8" t="s">
        <v>28</v>
      </c>
      <c r="E1139" s="8" t="s">
        <v>19</v>
      </c>
      <c r="F1139" s="8" t="s">
        <v>20</v>
      </c>
      <c r="G1139" s="8" t="s">
        <v>21</v>
      </c>
      <c r="H1139" s="9"/>
      <c r="I1139" s="9"/>
      <c r="J1139" s="10">
        <f t="shared" ref="J1139:M1139" si="688">ifs(OR($H1139="R",$I1139="N"),"N/A",OR(C1139="A",C1139="B",C1139="C",C1139="U"),3,TRUE,"FLAG")</f>
        <v>3</v>
      </c>
      <c r="K1139" s="10">
        <f t="shared" si="688"/>
        <v>3</v>
      </c>
      <c r="L1139" s="10">
        <f t="shared" si="688"/>
        <v>3</v>
      </c>
      <c r="M1139" s="10" t="str">
        <f t="shared" si="688"/>
        <v>FLAG</v>
      </c>
      <c r="N1139" s="10" t="str">
        <f t="shared" si="2"/>
        <v>-319373 - DUI; Test Refusal; 2nd conviction if no priors within preceding 10 years</v>
      </c>
      <c r="O1139" s="10" t="str">
        <f t="shared" si="3"/>
        <v>DUI</v>
      </c>
    </row>
    <row r="1140">
      <c r="A1140" s="7" t="s">
        <v>2058</v>
      </c>
      <c r="B1140" s="12" t="s">
        <v>2056</v>
      </c>
      <c r="C1140" s="8" t="s">
        <v>1185</v>
      </c>
      <c r="D1140" s="9"/>
      <c r="E1140" s="9"/>
      <c r="F1140" s="9"/>
      <c r="G1140" s="8" t="s">
        <v>21</v>
      </c>
      <c r="H1140" s="9"/>
      <c r="I1140" s="9"/>
      <c r="N1140" s="10" t="str">
        <f t="shared" si="2"/>
        <v>-319373 - DUI; Test Refusal; 2nd conviction, if prior within the preceding 10 years</v>
      </c>
      <c r="O1140" s="10" t="str">
        <f t="shared" si="3"/>
        <v>DUI</v>
      </c>
    </row>
    <row r="1141">
      <c r="A1141" s="7" t="s">
        <v>2059</v>
      </c>
      <c r="B1141" s="12" t="s">
        <v>2056</v>
      </c>
      <c r="C1141" s="8" t="s">
        <v>1185</v>
      </c>
      <c r="D1141" s="9"/>
      <c r="E1141" s="9"/>
      <c r="F1141" s="9"/>
      <c r="G1141" s="8" t="s">
        <v>21</v>
      </c>
      <c r="H1141" s="9"/>
      <c r="I1141" s="9"/>
      <c r="N1141" s="10" t="str">
        <f t="shared" si="2"/>
        <v>-319373 - DUI; Test Refusal; 3rd or subs. conviction</v>
      </c>
      <c r="O1141" s="10" t="str">
        <f t="shared" si="3"/>
        <v>DUI</v>
      </c>
    </row>
    <row r="1142">
      <c r="A1142" s="7" t="s">
        <v>2060</v>
      </c>
      <c r="B1142" s="8" t="s">
        <v>2061</v>
      </c>
      <c r="C1142" s="8" t="s">
        <v>18</v>
      </c>
      <c r="D1142" s="8" t="s">
        <v>18</v>
      </c>
      <c r="E1142" s="8" t="s">
        <v>19</v>
      </c>
      <c r="F1142" s="8" t="s">
        <v>20</v>
      </c>
      <c r="G1142" s="8" t="s">
        <v>21</v>
      </c>
      <c r="H1142" s="9"/>
      <c r="I1142" s="9"/>
      <c r="J1142" s="10">
        <f t="shared" ref="J1142:M1142" si="689">ifs(OR($H1142="R",$I1142="N"),"N/A",OR(C1142="A",C1142="B",C1142="C",C1142="U"),3,TRUE,"FLAG")</f>
        <v>3</v>
      </c>
      <c r="K1142" s="10">
        <f t="shared" si="689"/>
        <v>3</v>
      </c>
      <c r="L1142" s="10">
        <f t="shared" si="689"/>
        <v>3</v>
      </c>
      <c r="M1142" s="10" t="str">
        <f t="shared" si="689"/>
        <v>FLAG</v>
      </c>
      <c r="N1142" s="10" t="str">
        <f t="shared" si="2"/>
        <v>2-2503(e) - Egg Law; Advertise eggs in a manner indicating price without also indicating the designation of size and quality</v>
      </c>
      <c r="O1142" s="10" t="str">
        <f t="shared" si="3"/>
        <v>Egg Law</v>
      </c>
    </row>
    <row r="1143">
      <c r="A1143" s="7" t="s">
        <v>2062</v>
      </c>
      <c r="B1143" s="8" t="s">
        <v>2063</v>
      </c>
      <c r="C1143" s="8" t="s">
        <v>18</v>
      </c>
      <c r="D1143" s="8" t="s">
        <v>18</v>
      </c>
      <c r="E1143" s="8" t="s">
        <v>19</v>
      </c>
      <c r="F1143" s="8" t="s">
        <v>20</v>
      </c>
      <c r="G1143" s="8" t="s">
        <v>21</v>
      </c>
      <c r="H1143" s="9"/>
      <c r="I1143" s="9"/>
      <c r="J1143" s="10">
        <f t="shared" ref="J1143:M1143" si="690">ifs(OR($H1143="R",$I1143="N"),"N/A",OR(C1143="A",C1143="B",C1143="C",C1143="U"),3,TRUE,"FLAG")</f>
        <v>3</v>
      </c>
      <c r="K1143" s="10">
        <f t="shared" si="690"/>
        <v>3</v>
      </c>
      <c r="L1143" s="10">
        <f t="shared" si="690"/>
        <v>3</v>
      </c>
      <c r="M1143" s="10" t="str">
        <f t="shared" si="690"/>
        <v>FLAG</v>
      </c>
      <c r="N1143" s="10" t="str">
        <f t="shared" si="2"/>
        <v>2-2503(l) - Egg Law; Engage in the business of purchasing eggs without conspicuously posting in such place of business the prices which are being paid for each of the various grades of eggs</v>
      </c>
      <c r="O1143" s="10" t="str">
        <f t="shared" si="3"/>
        <v>Egg Law</v>
      </c>
    </row>
    <row r="1144">
      <c r="A1144" s="7" t="s">
        <v>2064</v>
      </c>
      <c r="B1144" s="8" t="s">
        <v>2065</v>
      </c>
      <c r="C1144" s="8" t="s">
        <v>18</v>
      </c>
      <c r="D1144" s="8" t="s">
        <v>18</v>
      </c>
      <c r="E1144" s="8" t="s">
        <v>19</v>
      </c>
      <c r="F1144" s="8" t="s">
        <v>20</v>
      </c>
      <c r="G1144" s="8" t="s">
        <v>21</v>
      </c>
      <c r="H1144" s="9"/>
      <c r="I1144" s="9"/>
      <c r="J1144" s="10">
        <f t="shared" ref="J1144:M1144" si="691">ifs(OR($H1144="R",$I1144="N"),"N/A",OR(C1144="A",C1144="B",C1144="C",C1144="U"),3,TRUE,"FLAG")</f>
        <v>3</v>
      </c>
      <c r="K1144" s="10">
        <f t="shared" si="691"/>
        <v>3</v>
      </c>
      <c r="L1144" s="10">
        <f t="shared" si="691"/>
        <v>3</v>
      </c>
      <c r="M1144" s="10" t="str">
        <f t="shared" si="691"/>
        <v>FLAG</v>
      </c>
      <c r="N1144" s="10" t="str">
        <f t="shared" si="2"/>
        <v>2-2503(j) - Egg Law; Fail or neglect to file the quarterly inspection fee report and pay the inspection fee due; file a false quarterly inspection fee report of the quantity of eggs sold during any period</v>
      </c>
      <c r="O1144" s="10" t="str">
        <f t="shared" si="3"/>
        <v>Egg Law</v>
      </c>
    </row>
    <row r="1145">
      <c r="A1145" s="7" t="s">
        <v>2066</v>
      </c>
      <c r="B1145" s="8" t="s">
        <v>2067</v>
      </c>
      <c r="C1145" s="8" t="s">
        <v>18</v>
      </c>
      <c r="D1145" s="8" t="s">
        <v>18</v>
      </c>
      <c r="E1145" s="8" t="s">
        <v>19</v>
      </c>
      <c r="F1145" s="8" t="s">
        <v>20</v>
      </c>
      <c r="G1145" s="8" t="s">
        <v>21</v>
      </c>
      <c r="H1145" s="9"/>
      <c r="I1145" s="9"/>
      <c r="J1145" s="10">
        <f t="shared" ref="J1145:M1145" si="692">ifs(OR($H1145="R",$I1145="N"),"N/A",OR(C1145="A",C1145="B",C1145="C",C1145="U"),3,TRUE,"FLAG")</f>
        <v>3</v>
      </c>
      <c r="K1145" s="10">
        <f t="shared" si="692"/>
        <v>3</v>
      </c>
      <c r="L1145" s="10">
        <f t="shared" si="692"/>
        <v>3</v>
      </c>
      <c r="M1145" s="10" t="str">
        <f t="shared" si="692"/>
        <v>FLAG</v>
      </c>
      <c r="N1145" s="10" t="str">
        <f t="shared" si="2"/>
        <v>2-2503(n) - Egg Law; Fail to mark all containers with official United States or Kansas grade AA, A or B identification with label to indicate that refrigeration is required</v>
      </c>
      <c r="O1145" s="10" t="str">
        <f t="shared" si="3"/>
        <v>Egg Law</v>
      </c>
    </row>
    <row r="1146">
      <c r="A1146" s="7" t="s">
        <v>2068</v>
      </c>
      <c r="B1146" s="8" t="s">
        <v>2069</v>
      </c>
      <c r="C1146" s="8" t="s">
        <v>18</v>
      </c>
      <c r="D1146" s="8" t="s">
        <v>18</v>
      </c>
      <c r="E1146" s="8" t="s">
        <v>19</v>
      </c>
      <c r="F1146" s="8" t="s">
        <v>20</v>
      </c>
      <c r="G1146" s="8" t="s">
        <v>21</v>
      </c>
      <c r="H1146" s="9"/>
      <c r="I1146" s="9"/>
      <c r="J1146" s="10">
        <f t="shared" ref="J1146:M1146" si="693">ifs(OR($H1146="R",$I1146="N"),"N/A",OR(C1146="A",C1146="B",C1146="C",C1146="U"),3,TRUE,"FLAG")</f>
        <v>3</v>
      </c>
      <c r="K1146" s="10">
        <f t="shared" si="693"/>
        <v>3</v>
      </c>
      <c r="L1146" s="10">
        <f t="shared" si="693"/>
        <v>3</v>
      </c>
      <c r="M1146" s="10" t="str">
        <f t="shared" si="693"/>
        <v>FLAG</v>
      </c>
      <c r="N1146" s="10" t="str">
        <f t="shared" si="2"/>
        <v>2-2503(d) - Egg Law; Falsely or deceptively label, advertise or invoice eggs</v>
      </c>
      <c r="O1146" s="10" t="str">
        <f t="shared" si="3"/>
        <v>Egg Law</v>
      </c>
    </row>
    <row r="1147">
      <c r="A1147" s="7" t="s">
        <v>2070</v>
      </c>
      <c r="B1147" s="8" t="s">
        <v>2071</v>
      </c>
      <c r="C1147" s="8" t="s">
        <v>18</v>
      </c>
      <c r="D1147" s="8" t="s">
        <v>18</v>
      </c>
      <c r="E1147" s="8" t="s">
        <v>19</v>
      </c>
      <c r="F1147" s="8" t="s">
        <v>20</v>
      </c>
      <c r="G1147" s="8" t="s">
        <v>21</v>
      </c>
      <c r="H1147" s="9"/>
      <c r="I1147" s="9"/>
      <c r="J1147" s="10">
        <f t="shared" ref="J1147:M1147" si="694">ifs(OR($H1147="R",$I1147="N"),"N/A",OR(C1147="A",C1147="B",C1147="C",C1147="U"),3,TRUE,"FLAG")</f>
        <v>3</v>
      </c>
      <c r="K1147" s="10">
        <f t="shared" si="694"/>
        <v>3</v>
      </c>
      <c r="L1147" s="10">
        <f t="shared" si="694"/>
        <v>3</v>
      </c>
      <c r="M1147" s="10" t="str">
        <f t="shared" si="694"/>
        <v>FLAG</v>
      </c>
      <c r="N1147" s="10" t="str">
        <f t="shared" si="2"/>
        <v>2-2503(i) - Egg Law; Grade eggs for size and quality for subs. resale to food purveyors, retailers or consumers without registering such purveyor's, retailer's or consumer's place of business</v>
      </c>
      <c r="O1147" s="10" t="str">
        <f t="shared" si="3"/>
        <v>Egg Law</v>
      </c>
    </row>
    <row r="1148">
      <c r="A1148" s="7" t="s">
        <v>2072</v>
      </c>
      <c r="B1148" s="8" t="s">
        <v>2073</v>
      </c>
      <c r="C1148" s="8" t="s">
        <v>18</v>
      </c>
      <c r="D1148" s="8" t="s">
        <v>18</v>
      </c>
      <c r="E1148" s="8" t="s">
        <v>19</v>
      </c>
      <c r="F1148" s="8" t="s">
        <v>20</v>
      </c>
      <c r="G1148" s="8" t="s">
        <v>21</v>
      </c>
      <c r="H1148" s="9"/>
      <c r="I1148" s="9"/>
      <c r="J1148" s="10">
        <f t="shared" ref="J1148:M1148" si="695">ifs(OR($H1148="R",$I1148="N"),"N/A",OR(C1148="A",C1148="B",C1148="C",C1148="U"),3,TRUE,"FLAG")</f>
        <v>3</v>
      </c>
      <c r="K1148" s="10">
        <f t="shared" si="695"/>
        <v>3</v>
      </c>
      <c r="L1148" s="10">
        <f t="shared" si="695"/>
        <v>3</v>
      </c>
      <c r="M1148" s="10" t="str">
        <f t="shared" si="695"/>
        <v>FLAG</v>
      </c>
      <c r="N1148" s="10" t="str">
        <f t="shared" si="2"/>
        <v>2-2503(f) - Egg Law; Hold eggs for human consumption at an ambient temperature higher than 45 degrees Fahrenheit after being received at the point of first purchase or assembly</v>
      </c>
      <c r="O1148" s="10" t="str">
        <f t="shared" si="3"/>
        <v>Egg Law</v>
      </c>
    </row>
    <row r="1149">
      <c r="A1149" s="7" t="s">
        <v>2074</v>
      </c>
      <c r="B1149" s="8" t="s">
        <v>2075</v>
      </c>
      <c r="C1149" s="8" t="s">
        <v>18</v>
      </c>
      <c r="D1149" s="8" t="s">
        <v>18</v>
      </c>
      <c r="E1149" s="8" t="s">
        <v>19</v>
      </c>
      <c r="F1149" s="8" t="s">
        <v>20</v>
      </c>
      <c r="G1149" s="8" t="s">
        <v>21</v>
      </c>
      <c r="H1149" s="9"/>
      <c r="I1149" s="9"/>
      <c r="J1149" s="10">
        <f t="shared" ref="J1149:M1149" si="696">ifs(OR($H1149="R",$I1149="N"),"N/A",OR(C1149="A",C1149="B",C1149="C",C1149="U"),3,TRUE,"FLAG")</f>
        <v>3</v>
      </c>
      <c r="K1149" s="10">
        <f t="shared" si="696"/>
        <v>3</v>
      </c>
      <c r="L1149" s="10">
        <f t="shared" si="696"/>
        <v>3</v>
      </c>
      <c r="M1149" s="10" t="str">
        <f t="shared" si="696"/>
        <v>FLAG</v>
      </c>
      <c r="N1149" s="10" t="str">
        <f t="shared" si="2"/>
        <v>2-2503(m) - Egg Law; Offer eggs for sale that have not been candled and graded</v>
      </c>
      <c r="O1149" s="10" t="str">
        <f t="shared" si="3"/>
        <v>Egg Law</v>
      </c>
    </row>
    <row r="1150">
      <c r="A1150" s="7" t="s">
        <v>2076</v>
      </c>
      <c r="B1150" s="8" t="s">
        <v>2077</v>
      </c>
      <c r="C1150" s="8" t="s">
        <v>18</v>
      </c>
      <c r="D1150" s="8" t="s">
        <v>18</v>
      </c>
      <c r="E1150" s="8" t="s">
        <v>19</v>
      </c>
      <c r="F1150" s="8" t="s">
        <v>20</v>
      </c>
      <c r="G1150" s="8" t="s">
        <v>21</v>
      </c>
      <c r="H1150" s="9"/>
      <c r="I1150" s="9"/>
      <c r="J1150" s="10">
        <f t="shared" ref="J1150:M1150" si="697">ifs(OR($H1150="R",$I1150="N"),"N/A",OR(C1150="A",C1150="B",C1150="C",C1150="U"),3,TRUE,"FLAG")</f>
        <v>3</v>
      </c>
      <c r="K1150" s="10">
        <f t="shared" si="697"/>
        <v>3</v>
      </c>
      <c r="L1150" s="10">
        <f t="shared" si="697"/>
        <v>3</v>
      </c>
      <c r="M1150" s="10" t="str">
        <f t="shared" si="697"/>
        <v>FLAG</v>
      </c>
      <c r="N1150" s="10" t="str">
        <f t="shared" si="2"/>
        <v>2-2503(k) - Egg Law; Refuse entry to any authorized inspector or employee of the department for the purpose of making inspections under the provisions of this act</v>
      </c>
      <c r="O1150" s="10" t="str">
        <f t="shared" si="3"/>
        <v>Egg Law</v>
      </c>
    </row>
    <row r="1151">
      <c r="A1151" s="7" t="s">
        <v>2078</v>
      </c>
      <c r="B1151" s="8" t="s">
        <v>2079</v>
      </c>
      <c r="C1151" s="8" t="s">
        <v>18</v>
      </c>
      <c r="D1151" s="8" t="s">
        <v>18</v>
      </c>
      <c r="E1151" s="8" t="s">
        <v>19</v>
      </c>
      <c r="F1151" s="8" t="s">
        <v>20</v>
      </c>
      <c r="G1151" s="8" t="s">
        <v>21</v>
      </c>
      <c r="H1151" s="9"/>
      <c r="I1151" s="9"/>
      <c r="J1151" s="10">
        <f t="shared" ref="J1151:M1151" si="698">ifs(OR($H1151="R",$I1151="N"),"N/A",OR(C1151="A",C1151="B",C1151="C",C1151="U"),3,TRUE,"FLAG")</f>
        <v>3</v>
      </c>
      <c r="K1151" s="10">
        <f t="shared" si="698"/>
        <v>3</v>
      </c>
      <c r="L1151" s="10">
        <f t="shared" si="698"/>
        <v>3</v>
      </c>
      <c r="M1151" s="10" t="str">
        <f t="shared" si="698"/>
        <v>FLAG</v>
      </c>
      <c r="N1151" s="10" t="str">
        <f t="shared" si="2"/>
        <v>2-2503(a) - Egg Law; Sale of eggs below the quality of "Grade B" to food purveyors or consumers</v>
      </c>
      <c r="O1151" s="10" t="str">
        <f t="shared" si="3"/>
        <v>Egg Law</v>
      </c>
    </row>
    <row r="1152">
      <c r="A1152" s="7" t="s">
        <v>2080</v>
      </c>
      <c r="B1152" s="8" t="s">
        <v>2081</v>
      </c>
      <c r="C1152" s="8" t="s">
        <v>18</v>
      </c>
      <c r="D1152" s="8" t="s">
        <v>18</v>
      </c>
      <c r="E1152" s="8" t="s">
        <v>19</v>
      </c>
      <c r="F1152" s="8" t="s">
        <v>20</v>
      </c>
      <c r="G1152" s="8" t="s">
        <v>21</v>
      </c>
      <c r="H1152" s="9"/>
      <c r="I1152" s="9"/>
      <c r="J1152" s="10">
        <f t="shared" ref="J1152:M1152" si="699">ifs(OR($H1152="R",$I1152="N"),"N/A",OR(C1152="A",C1152="B",C1152="C",C1152="U"),3,TRUE,"FLAG")</f>
        <v>3</v>
      </c>
      <c r="K1152" s="10">
        <f t="shared" si="699"/>
        <v>3</v>
      </c>
      <c r="L1152" s="10">
        <f t="shared" si="699"/>
        <v>3</v>
      </c>
      <c r="M1152" s="10" t="str">
        <f t="shared" si="699"/>
        <v>FLAG</v>
      </c>
      <c r="N1152" s="10" t="str">
        <f t="shared" si="2"/>
        <v>2-2503(b) - Egg Law; Sale of eggs to food purveyors/ consumers if not labeled to indicate size/quality</v>
      </c>
      <c r="O1152" s="10" t="str">
        <f t="shared" si="3"/>
        <v>Egg Law</v>
      </c>
    </row>
    <row r="1153">
      <c r="A1153" s="7" t="s">
        <v>2082</v>
      </c>
      <c r="B1153" s="8" t="s">
        <v>2083</v>
      </c>
      <c r="C1153" s="8" t="s">
        <v>18</v>
      </c>
      <c r="D1153" s="8" t="s">
        <v>18</v>
      </c>
      <c r="E1153" s="8" t="s">
        <v>19</v>
      </c>
      <c r="F1153" s="8" t="s">
        <v>20</v>
      </c>
      <c r="G1153" s="8" t="s">
        <v>21</v>
      </c>
      <c r="H1153" s="9"/>
      <c r="I1153" s="9"/>
      <c r="J1153" s="10">
        <f t="shared" ref="J1153:M1153" si="700">ifs(OR($H1153="R",$I1153="N"),"N/A",OR(C1153="A",C1153="B",C1153="C",C1153="U"),3,TRUE,"FLAG")</f>
        <v>3</v>
      </c>
      <c r="K1153" s="10">
        <f t="shared" si="700"/>
        <v>3</v>
      </c>
      <c r="L1153" s="10">
        <f t="shared" si="700"/>
        <v>3</v>
      </c>
      <c r="M1153" s="10" t="str">
        <f t="shared" si="700"/>
        <v>FLAG</v>
      </c>
      <c r="N1153" s="10" t="str">
        <f t="shared" si="2"/>
        <v>2-2503(c) - Egg Law; Sell eggs to food purveyors/ consumers without indicating on the container, the name of either dealer, retailer, food purveyor or agent by or for whom the eggs were graded or labeled</v>
      </c>
      <c r="O1153" s="10" t="str">
        <f t="shared" si="3"/>
        <v>Egg Law</v>
      </c>
    </row>
    <row r="1154">
      <c r="A1154" s="7" t="s">
        <v>2084</v>
      </c>
      <c r="B1154" s="8" t="s">
        <v>2085</v>
      </c>
      <c r="C1154" s="8" t="s">
        <v>18</v>
      </c>
      <c r="D1154" s="8" t="s">
        <v>18</v>
      </c>
      <c r="E1154" s="8" t="s">
        <v>19</v>
      </c>
      <c r="F1154" s="8" t="s">
        <v>20</v>
      </c>
      <c r="G1154" s="8" t="s">
        <v>21</v>
      </c>
      <c r="H1154" s="9"/>
      <c r="I1154" s="9"/>
      <c r="J1154" s="10">
        <f t="shared" ref="J1154:M1154" si="701">ifs(OR($H1154="R",$I1154="N"),"N/A",OR(C1154="A",C1154="B",C1154="C",C1154="U"),3,TRUE,"FLAG")</f>
        <v>3</v>
      </c>
      <c r="K1154" s="10">
        <f t="shared" si="701"/>
        <v>3</v>
      </c>
      <c r="L1154" s="10">
        <f t="shared" si="701"/>
        <v>3</v>
      </c>
      <c r="M1154" s="10" t="str">
        <f t="shared" si="701"/>
        <v>FLAG</v>
      </c>
      <c r="N1154" s="10" t="str">
        <f t="shared" si="2"/>
        <v>2-2503(g) - Egg Law; Sell to food purveyors/consumers eggs in a container not bearing an inspection fee stamp showing that the inspection fee has been paid thereon, unless exempt</v>
      </c>
      <c r="O1154" s="10" t="str">
        <f t="shared" si="3"/>
        <v>Egg Law</v>
      </c>
    </row>
    <row r="1155">
      <c r="A1155" s="7" t="s">
        <v>2086</v>
      </c>
      <c r="B1155" s="8" t="s">
        <v>2087</v>
      </c>
      <c r="C1155" s="8" t="s">
        <v>18</v>
      </c>
      <c r="D1155" s="8" t="s">
        <v>18</v>
      </c>
      <c r="E1155" s="8" t="s">
        <v>19</v>
      </c>
      <c r="F1155" s="8" t="s">
        <v>20</v>
      </c>
      <c r="G1155" s="8" t="s">
        <v>21</v>
      </c>
      <c r="H1155" s="9"/>
      <c r="I1155" s="9"/>
      <c r="J1155" s="10">
        <f t="shared" ref="J1155:M1155" si="702">ifs(OR($H1155="R",$I1155="N"),"N/A",OR(C1155="A",C1155="B",C1155="C",C1155="U"),3,TRUE,"FLAG")</f>
        <v>3</v>
      </c>
      <c r="K1155" s="10">
        <f t="shared" si="702"/>
        <v>3</v>
      </c>
      <c r="L1155" s="10">
        <f t="shared" si="702"/>
        <v>3</v>
      </c>
      <c r="M1155" s="10" t="str">
        <f t="shared" si="702"/>
        <v>FLAG</v>
      </c>
      <c r="N1155" s="10" t="str">
        <f t="shared" si="2"/>
        <v>2-2503(h) - Egg Law; Use an inspection fee stamp more than once; use of a counterfeit inspection fee stamp</v>
      </c>
      <c r="O1155" s="10" t="str">
        <f t="shared" si="3"/>
        <v>Egg Law</v>
      </c>
    </row>
    <row r="1156">
      <c r="A1156" s="7" t="s">
        <v>2088</v>
      </c>
      <c r="B1156" s="8" t="s">
        <v>2089</v>
      </c>
      <c r="C1156" s="8">
        <v>9.0</v>
      </c>
      <c r="D1156" s="8">
        <v>10.0</v>
      </c>
      <c r="E1156" s="8">
        <v>10.0</v>
      </c>
      <c r="F1156" s="8">
        <v>10.0</v>
      </c>
      <c r="G1156" s="8" t="s">
        <v>21</v>
      </c>
      <c r="H1156" s="9"/>
      <c r="I1156" s="9"/>
      <c r="N1156" s="10" t="str">
        <f t="shared" si="2"/>
        <v>25-2433 - Elections; Advance voting suppression; knowingly acting in a prohibited manner with intent to impede, obstruct or exert undue influence on the election process</v>
      </c>
      <c r="O1156" s="10" t="str">
        <f t="shared" si="3"/>
        <v>Elections</v>
      </c>
    </row>
    <row r="1157">
      <c r="A1157" s="7" t="s">
        <v>2090</v>
      </c>
      <c r="B1157" s="8" t="s">
        <v>2091</v>
      </c>
      <c r="C1157" s="8" t="s">
        <v>19</v>
      </c>
      <c r="D1157" s="8" t="s">
        <v>19</v>
      </c>
      <c r="E1157" s="8" t="s">
        <v>19</v>
      </c>
      <c r="F1157" s="8" t="s">
        <v>20</v>
      </c>
      <c r="G1157" s="8" t="s">
        <v>21</v>
      </c>
      <c r="H1157" s="9"/>
      <c r="I1157" s="9"/>
      <c r="J1157" s="10">
        <f t="shared" ref="J1157:M1157" si="703">ifs(OR($H1157="R",$I1157="N"),"N/A",OR(C1157="A",C1157="B",C1157="C",C1157="U"),3,TRUE,"FLAG")</f>
        <v>3</v>
      </c>
      <c r="K1157" s="10">
        <f t="shared" si="703"/>
        <v>3</v>
      </c>
      <c r="L1157" s="10">
        <f t="shared" si="703"/>
        <v>3</v>
      </c>
      <c r="M1157" s="10" t="str">
        <f t="shared" si="703"/>
        <v>FLAG</v>
      </c>
      <c r="N1157" s="10" t="str">
        <f t="shared" si="2"/>
        <v>25-3005a - Elections; Authorized poll agent; any violation of this section</v>
      </c>
      <c r="O1157" s="10" t="str">
        <f t="shared" si="3"/>
        <v>Elections</v>
      </c>
    </row>
    <row r="1158">
      <c r="A1158" s="7" t="s">
        <v>2092</v>
      </c>
      <c r="B1158" s="8" t="s">
        <v>2093</v>
      </c>
      <c r="C1158" s="8">
        <v>7.0</v>
      </c>
      <c r="D1158" s="8">
        <v>9.0</v>
      </c>
      <c r="E1158" s="8">
        <v>9.0</v>
      </c>
      <c r="F1158" s="8">
        <v>10.0</v>
      </c>
      <c r="G1158" s="8" t="s">
        <v>21</v>
      </c>
      <c r="H1158" s="9"/>
      <c r="I1158" s="9"/>
      <c r="N1158" s="10" t="str">
        <f t="shared" si="2"/>
        <v>25-2418 - Elections; Bribe acceptance by an election official</v>
      </c>
      <c r="O1158" s="10" t="str">
        <f t="shared" si="3"/>
        <v>Elections</v>
      </c>
    </row>
    <row r="1159">
      <c r="A1159" s="7" t="s">
        <v>2094</v>
      </c>
      <c r="B1159" s="8" t="s">
        <v>2095</v>
      </c>
      <c r="C1159" s="8">
        <v>7.0</v>
      </c>
      <c r="D1159" s="8">
        <v>9.0</v>
      </c>
      <c r="E1159" s="8">
        <v>9.0</v>
      </c>
      <c r="F1159" s="8">
        <v>10.0</v>
      </c>
      <c r="G1159" s="8" t="s">
        <v>21</v>
      </c>
      <c r="H1159" s="9"/>
      <c r="I1159" s="9"/>
      <c r="N1159" s="10" t="str">
        <f t="shared" si="2"/>
        <v>25-2417 - Elections; Bribery of an election official</v>
      </c>
      <c r="O1159" s="10" t="str">
        <f t="shared" si="3"/>
        <v>Elections</v>
      </c>
    </row>
    <row r="1160">
      <c r="A1160" s="7" t="s">
        <v>2096</v>
      </c>
      <c r="B1160" s="8" t="s">
        <v>2097</v>
      </c>
      <c r="C1160" s="8" t="s">
        <v>28</v>
      </c>
      <c r="D1160" s="8" t="s">
        <v>19</v>
      </c>
      <c r="E1160" s="8" t="s">
        <v>19</v>
      </c>
      <c r="F1160" s="8" t="s">
        <v>20</v>
      </c>
      <c r="G1160" s="8" t="s">
        <v>21</v>
      </c>
      <c r="H1160" s="9"/>
      <c r="I1160" s="9"/>
      <c r="J1160" s="10">
        <f t="shared" ref="J1160:M1160" si="704">ifs(OR($H1160="R",$I1160="N"),"N/A",OR(C1160="A",C1160="B",C1160="C",C1160="U"),3,TRUE,"FLAG")</f>
        <v>3</v>
      </c>
      <c r="K1160" s="10">
        <f t="shared" si="704"/>
        <v>3</v>
      </c>
      <c r="L1160" s="10">
        <f t="shared" si="704"/>
        <v>3</v>
      </c>
      <c r="M1160" s="10" t="str">
        <f t="shared" si="704"/>
        <v>FLAG</v>
      </c>
      <c r="N1160" s="10" t="str">
        <f t="shared" si="2"/>
        <v>25-2410(b) - Elections; Bribery to induce signing of nomination papers; knowingly accepting any benefit, property or thing of value, as consideration for signing any nomination paper</v>
      </c>
      <c r="O1160" s="10" t="str">
        <f t="shared" si="3"/>
        <v>Elections</v>
      </c>
    </row>
    <row r="1161">
      <c r="A1161" s="7" t="s">
        <v>2098</v>
      </c>
      <c r="B1161" s="8" t="s">
        <v>2099</v>
      </c>
      <c r="C1161" s="8" t="s">
        <v>28</v>
      </c>
      <c r="D1161" s="8" t="s">
        <v>19</v>
      </c>
      <c r="E1161" s="8" t="s">
        <v>19</v>
      </c>
      <c r="F1161" s="8" t="s">
        <v>20</v>
      </c>
      <c r="G1161" s="8" t="s">
        <v>21</v>
      </c>
      <c r="H1161" s="9"/>
      <c r="I1161" s="9"/>
      <c r="J1161" s="10">
        <f t="shared" ref="J1161:M1161" si="705">ifs(OR($H1161="R",$I1161="N"),"N/A",OR(C1161="A",C1161="B",C1161="C",C1161="U"),3,TRUE,"FLAG")</f>
        <v>3</v>
      </c>
      <c r="K1161" s="10">
        <f t="shared" si="705"/>
        <v>3</v>
      </c>
      <c r="L1161" s="10">
        <f t="shared" si="705"/>
        <v>3</v>
      </c>
      <c r="M1161" s="10" t="str">
        <f t="shared" si="705"/>
        <v>FLAG</v>
      </c>
      <c r="N1161" s="10" t="str">
        <f t="shared" si="2"/>
        <v>25-2410(a) - Elections; Bribery to induce signing of nomination papers; knowingly offering any benefit, property or thing of value to any person to induce him to sign any nomination paper</v>
      </c>
      <c r="O1161" s="10" t="str">
        <f t="shared" si="3"/>
        <v>Elections</v>
      </c>
    </row>
    <row r="1162">
      <c r="A1162" s="7" t="s">
        <v>2100</v>
      </c>
      <c r="B1162" s="8" t="s">
        <v>2101</v>
      </c>
      <c r="C1162" s="8">
        <v>7.0</v>
      </c>
      <c r="D1162" s="8">
        <v>9.0</v>
      </c>
      <c r="E1162" s="8">
        <v>9.0</v>
      </c>
      <c r="F1162" s="8">
        <v>10.0</v>
      </c>
      <c r="G1162" s="8" t="s">
        <v>21</v>
      </c>
      <c r="H1162" s="9"/>
      <c r="I1162" s="9"/>
      <c r="N1162" s="10" t="str">
        <f t="shared" si="2"/>
        <v>25-2409 - Elections; Bribery; confer, offer or agree to confer, or solicit, accept or agree to accept any benefit as consideration to or from any person either to vote or withhold any person's vote, or to vote for or against any candidate or question submitted at any public election</v>
      </c>
      <c r="O1162" s="10" t="str">
        <f t="shared" si="3"/>
        <v>Elections</v>
      </c>
    </row>
    <row r="1163">
      <c r="A1163" s="7" t="s">
        <v>2102</v>
      </c>
      <c r="B1163" s="8" t="s">
        <v>2103</v>
      </c>
      <c r="C1163" s="8" t="s">
        <v>18</v>
      </c>
      <c r="D1163" s="8" t="s">
        <v>18</v>
      </c>
      <c r="E1163" s="8" t="s">
        <v>19</v>
      </c>
      <c r="F1163" s="8" t="s">
        <v>20</v>
      </c>
      <c r="G1163" s="8" t="s">
        <v>21</v>
      </c>
      <c r="H1163" s="9"/>
      <c r="I1163" s="9"/>
      <c r="J1163" s="10">
        <f t="shared" ref="J1163:M1163" si="706">ifs(OR($H1163="R",$I1163="N"),"N/A",OR(C1163="A",C1163="B",C1163="C",C1163="U"),3,TRUE,"FLAG")</f>
        <v>3</v>
      </c>
      <c r="K1163" s="10">
        <f t="shared" si="706"/>
        <v>3</v>
      </c>
      <c r="L1163" s="10">
        <f t="shared" si="706"/>
        <v>3</v>
      </c>
      <c r="M1163" s="10" t="str">
        <f t="shared" si="706"/>
        <v>FLAG</v>
      </c>
      <c r="N1163" s="10" t="str">
        <f t="shared" si="2"/>
        <v>25-904 - Elections; Candidate's receiving and expending less than $500, affidavit of intent; candidates exceeding $500 limit, report; report of contributions exceeding $50 and statement of expenditures and obligations incurred</v>
      </c>
      <c r="O1163" s="10" t="str">
        <f t="shared" si="3"/>
        <v>Elections</v>
      </c>
    </row>
    <row r="1164">
      <c r="A1164" s="7" t="s">
        <v>2104</v>
      </c>
      <c r="B1164" s="8" t="s">
        <v>2105</v>
      </c>
      <c r="C1164" s="8" t="s">
        <v>19</v>
      </c>
      <c r="D1164" s="8" t="s">
        <v>19</v>
      </c>
      <c r="E1164" s="8" t="s">
        <v>19</v>
      </c>
      <c r="F1164" s="8" t="s">
        <v>20</v>
      </c>
      <c r="G1164" s="8" t="s">
        <v>21</v>
      </c>
      <c r="H1164" s="9"/>
      <c r="I1164" s="9"/>
      <c r="J1164" s="10">
        <f t="shared" ref="J1164:M1164" si="707">ifs(OR($H1164="R",$I1164="N"),"N/A",OR(C1164="A",C1164="B",C1164="C",C1164="U"),3,TRUE,"FLAG")</f>
        <v>3</v>
      </c>
      <c r="K1164" s="10">
        <f t="shared" si="707"/>
        <v>3</v>
      </c>
      <c r="L1164" s="10">
        <f t="shared" si="707"/>
        <v>3</v>
      </c>
      <c r="M1164" s="10" t="str">
        <f t="shared" si="707"/>
        <v>FLAG</v>
      </c>
      <c r="N1164" s="10" t="str">
        <f t="shared" si="2"/>
        <v>25-2407(a)(2) - Elections; Corrupt political advertising; broadcast by radio or TV any paid matter designed to aid, injure or defeat any candidate for nomination or election to public office, without including that it was an advertisement and the name of the chairman of the organization or the person responsible therefor</v>
      </c>
      <c r="O1164" s="10" t="str">
        <f t="shared" si="3"/>
        <v>Elections</v>
      </c>
    </row>
    <row r="1165">
      <c r="A1165" s="7" t="s">
        <v>2106</v>
      </c>
      <c r="B1165" s="8" t="s">
        <v>2107</v>
      </c>
      <c r="C1165" s="8" t="s">
        <v>19</v>
      </c>
      <c r="D1165" s="8" t="s">
        <v>19</v>
      </c>
      <c r="E1165" s="8" t="s">
        <v>19</v>
      </c>
      <c r="F1165" s="8" t="s">
        <v>20</v>
      </c>
      <c r="G1165" s="8" t="s">
        <v>21</v>
      </c>
      <c r="H1165" s="9"/>
      <c r="I1165" s="9"/>
      <c r="J1165" s="10">
        <f t="shared" ref="J1165:M1165" si="708">ifs(OR($H1165="R",$I1165="N"),"N/A",OR(C1165="A",C1165="B",C1165="C",C1165="U"),3,TRUE,"FLAG")</f>
        <v>3</v>
      </c>
      <c r="K1165" s="10">
        <f t="shared" si="708"/>
        <v>3</v>
      </c>
      <c r="L1165" s="10">
        <f t="shared" si="708"/>
        <v>3</v>
      </c>
      <c r="M1165" s="10" t="str">
        <f t="shared" si="708"/>
        <v>FLAG</v>
      </c>
      <c r="N1165" s="10" t="str">
        <f t="shared" si="2"/>
        <v>25-2407(a)(4) - Elections; Corrupt political advertising; broadcast by radio or TV any paid matter intended to influence the vote of any person or persons for or against any question submitted for a proposition to amend the constitution or to authorize the issuance of bonds or any other question submitted at an election, without including that it was an advertisement and the name of the chairman of the organization or the person responsible therefor</v>
      </c>
      <c r="O1165" s="10" t="str">
        <f t="shared" si="3"/>
        <v>Elections</v>
      </c>
    </row>
    <row r="1166">
      <c r="A1166" s="7" t="s">
        <v>2108</v>
      </c>
      <c r="B1166" s="8" t="s">
        <v>2109</v>
      </c>
      <c r="C1166" s="8" t="s">
        <v>19</v>
      </c>
      <c r="D1166" s="8" t="s">
        <v>19</v>
      </c>
      <c r="E1166" s="8" t="s">
        <v>19</v>
      </c>
      <c r="F1166" s="8" t="s">
        <v>20</v>
      </c>
      <c r="G1166" s="8" t="s">
        <v>21</v>
      </c>
      <c r="H1166" s="9"/>
      <c r="I1166" s="9"/>
      <c r="J1166" s="10">
        <f t="shared" ref="J1166:M1166" si="709">ifs(OR($H1166="R",$I1166="N"),"N/A",OR(C1166="A",C1166="B",C1166="C",C1166="U"),3,TRUE,"FLAG")</f>
        <v>3</v>
      </c>
      <c r="K1166" s="10">
        <f t="shared" si="709"/>
        <v>3</v>
      </c>
      <c r="L1166" s="10">
        <f t="shared" si="709"/>
        <v>3</v>
      </c>
      <c r="M1166" s="10" t="str">
        <f t="shared" si="709"/>
        <v>FLAG</v>
      </c>
      <c r="N1166" s="10" t="str">
        <f t="shared" si="2"/>
        <v>25-2407(a)(3) - Elections; Corrupt political advertising; Publish in a newspaper or other periodical any paid matter intended to influence the vote of any person or persons for or against any question submitted for a proposition to amend the constitution or to authorize the issuance of bonds or any other question submitted at an election, without including "advertisement" or "adv." with the name of the chairman of the organization or the person responsible therefor</v>
      </c>
      <c r="O1166" s="10" t="str">
        <f t="shared" si="3"/>
        <v>Elections</v>
      </c>
    </row>
    <row r="1167">
      <c r="A1167" s="7" t="s">
        <v>2110</v>
      </c>
      <c r="B1167" s="8" t="s">
        <v>2111</v>
      </c>
      <c r="C1167" s="8" t="s">
        <v>19</v>
      </c>
      <c r="D1167" s="8" t="s">
        <v>19</v>
      </c>
      <c r="E1167" s="8" t="s">
        <v>19</v>
      </c>
      <c r="F1167" s="8" t="s">
        <v>20</v>
      </c>
      <c r="G1167" s="8" t="s">
        <v>21</v>
      </c>
      <c r="H1167" s="9"/>
      <c r="I1167" s="9"/>
      <c r="J1167" s="10">
        <f t="shared" ref="J1167:M1167" si="710">ifs(OR($H1167="R",$I1167="N"),"N/A",OR(C1167="A",C1167="B",C1167="C",C1167="U"),3,TRUE,"FLAG")</f>
        <v>3</v>
      </c>
      <c r="K1167" s="10">
        <f t="shared" si="710"/>
        <v>3</v>
      </c>
      <c r="L1167" s="10">
        <f t="shared" si="710"/>
        <v>3</v>
      </c>
      <c r="M1167" s="10" t="str">
        <f t="shared" si="710"/>
        <v>FLAG</v>
      </c>
      <c r="N1167" s="10" t="str">
        <f t="shared" si="2"/>
        <v>25-2407(a)(1) - Elections; Corrupt political advertising; publish in a newspaper or other periodical, any paid matter designed to aid, injure or defeat any candidate for nomination or election to public office, without including "advertisement" or "adv." with the name of the chairman of the organization or the person responsible therefor</v>
      </c>
      <c r="O1167" s="10" t="str">
        <f t="shared" si="3"/>
        <v>Elections</v>
      </c>
    </row>
    <row r="1168">
      <c r="A1168" s="7" t="s">
        <v>2112</v>
      </c>
      <c r="B1168" s="8" t="s">
        <v>2113</v>
      </c>
      <c r="C1168" s="8" t="s">
        <v>19</v>
      </c>
      <c r="D1168" s="8" t="s">
        <v>19</v>
      </c>
      <c r="E1168" s="8" t="s">
        <v>19</v>
      </c>
      <c r="F1168" s="8" t="s">
        <v>20</v>
      </c>
      <c r="G1168" s="8" t="s">
        <v>21</v>
      </c>
      <c r="H1168" s="9"/>
      <c r="I1168" s="9"/>
      <c r="J1168" s="10">
        <f t="shared" ref="J1168:M1168" si="711">ifs(OR($H1168="R",$I1168="N"),"N/A",OR(C1168="A",C1168="B",C1168="C",C1168="U"),3,TRUE,"FLAG")</f>
        <v>3</v>
      </c>
      <c r="K1168" s="10">
        <f t="shared" si="711"/>
        <v>3</v>
      </c>
      <c r="L1168" s="10">
        <f t="shared" si="711"/>
        <v>3</v>
      </c>
      <c r="M1168" s="10" t="str">
        <f t="shared" si="711"/>
        <v>FLAG</v>
      </c>
      <c r="N1168" s="10" t="str">
        <f t="shared" si="2"/>
        <v>25-2407(a)(5) - Elections; Corrupt political advertising; publishing any brochure, flier or fact sheet intended to influence the vote of any person or persons for or against any question submitted for a proposition to amend the constitution or to authorize the issuance of bonds or any other question submitted at an election, without including that it was an advertisement and the name of the chairman of the organization or the person responsible therefor</v>
      </c>
      <c r="O1168" s="10" t="str">
        <f t="shared" si="3"/>
        <v>Elections</v>
      </c>
    </row>
    <row r="1169">
      <c r="A1169" s="7" t="s">
        <v>2114</v>
      </c>
      <c r="B1169" s="8" t="s">
        <v>2115</v>
      </c>
      <c r="C1169" s="8">
        <v>9.0</v>
      </c>
      <c r="D1169" s="8">
        <v>10.0</v>
      </c>
      <c r="E1169" s="8">
        <v>10.0</v>
      </c>
      <c r="F1169" s="8">
        <v>10.0</v>
      </c>
      <c r="G1169" s="8" t="s">
        <v>21</v>
      </c>
      <c r="H1169" s="9"/>
      <c r="I1169" s="9"/>
      <c r="N1169" s="10" t="str">
        <f t="shared" si="2"/>
        <v>25-2429 - Elections; Destruction of Election Papers; destroy any certificate of nomination or nomination papers or any letter of withdrawal of a candidate</v>
      </c>
      <c r="O1169" s="10" t="str">
        <f t="shared" si="3"/>
        <v>Elections</v>
      </c>
    </row>
    <row r="1170">
      <c r="A1170" s="7" t="s">
        <v>2116</v>
      </c>
      <c r="B1170" s="8" t="s">
        <v>2117</v>
      </c>
      <c r="C1170" s="8">
        <v>9.0</v>
      </c>
      <c r="D1170" s="8">
        <v>10.0</v>
      </c>
      <c r="E1170" s="8">
        <v>10.0</v>
      </c>
      <c r="F1170" s="8">
        <v>10.0</v>
      </c>
      <c r="G1170" s="8" t="s">
        <v>21</v>
      </c>
      <c r="H1170" s="9"/>
      <c r="I1170" s="9"/>
      <c r="N1170" s="10" t="str">
        <f t="shared" si="2"/>
        <v>25-2428 - Elections; Destruction of Election Supplies; destroy or deface any list of candidates, card of instruction, sample ballot or any election supplies</v>
      </c>
      <c r="O1170" s="10" t="str">
        <f t="shared" si="3"/>
        <v>Elections</v>
      </c>
    </row>
    <row r="1171">
      <c r="A1171" s="7" t="s">
        <v>2118</v>
      </c>
      <c r="B1171" s="8" t="s">
        <v>2119</v>
      </c>
      <c r="C1171" s="8" t="s">
        <v>28</v>
      </c>
      <c r="D1171" s="8" t="s">
        <v>19</v>
      </c>
      <c r="E1171" s="8" t="s">
        <v>19</v>
      </c>
      <c r="F1171" s="8" t="s">
        <v>20</v>
      </c>
      <c r="G1171" s="8" t="s">
        <v>21</v>
      </c>
      <c r="H1171" s="9"/>
      <c r="I1171" s="9"/>
      <c r="J1171" s="10">
        <f t="shared" ref="J1171:M1171" si="712">ifs(OR($H1171="R",$I1171="N"),"N/A",OR(C1171="A",C1171="B",C1171="C",C1171="U"),3,TRUE,"FLAG")</f>
        <v>3</v>
      </c>
      <c r="K1171" s="10">
        <f t="shared" si="712"/>
        <v>3</v>
      </c>
      <c r="L1171" s="10">
        <f t="shared" si="712"/>
        <v>3</v>
      </c>
      <c r="M1171" s="10" t="str">
        <f t="shared" si="712"/>
        <v>FLAG</v>
      </c>
      <c r="N1171" s="10" t="str">
        <f t="shared" si="2"/>
        <v>25-2413(c) - Elections; Disorderly conduct; willfully approach or remain closer than 3 feet to any voting booth, voting machine or table being used by an election board</v>
      </c>
      <c r="O1171" s="10" t="str">
        <f t="shared" si="3"/>
        <v>Elections</v>
      </c>
    </row>
    <row r="1172">
      <c r="A1172" s="7" t="s">
        <v>2120</v>
      </c>
      <c r="B1172" s="8" t="s">
        <v>2121</v>
      </c>
      <c r="C1172" s="8" t="s">
        <v>28</v>
      </c>
      <c r="D1172" s="8" t="s">
        <v>19</v>
      </c>
      <c r="E1172" s="8" t="s">
        <v>19</v>
      </c>
      <c r="F1172" s="8" t="s">
        <v>20</v>
      </c>
      <c r="G1172" s="8" t="s">
        <v>21</v>
      </c>
      <c r="H1172" s="9"/>
      <c r="I1172" s="9"/>
      <c r="J1172" s="10">
        <f t="shared" ref="J1172:M1172" si="713">ifs(OR($H1172="R",$I1172="N"),"N/A",OR(C1172="A",C1172="B",C1172="C",C1172="U"),3,TRUE,"FLAG")</f>
        <v>3</v>
      </c>
      <c r="K1172" s="10">
        <f t="shared" si="713"/>
        <v>3</v>
      </c>
      <c r="L1172" s="10">
        <f t="shared" si="713"/>
        <v>3</v>
      </c>
      <c r="M1172" s="10" t="str">
        <f t="shared" si="713"/>
        <v>FLAG</v>
      </c>
      <c r="N1172" s="10" t="str">
        <f t="shared" si="2"/>
        <v>25-2413(e)(2) - Elections; Disorderly conduct; willfully conduct advisory elections other than those specifically authorized by law within 250 feet from the entrance of a polling place during the hours the polls are open on election day</v>
      </c>
      <c r="O1172" s="10" t="str">
        <f t="shared" si="3"/>
        <v>Elections</v>
      </c>
    </row>
    <row r="1173">
      <c r="A1173" s="7" t="s">
        <v>2122</v>
      </c>
      <c r="B1173" s="8" t="s">
        <v>2123</v>
      </c>
      <c r="C1173" s="8" t="s">
        <v>28</v>
      </c>
      <c r="D1173" s="8" t="s">
        <v>19</v>
      </c>
      <c r="E1173" s="8" t="s">
        <v>19</v>
      </c>
      <c r="F1173" s="8" t="s">
        <v>20</v>
      </c>
      <c r="G1173" s="8" t="s">
        <v>21</v>
      </c>
      <c r="H1173" s="9"/>
      <c r="I1173" s="9"/>
      <c r="J1173" s="10">
        <f t="shared" ref="J1173:M1173" si="714">ifs(OR($H1173="R",$I1173="N"),"N/A",OR(C1173="A",C1173="B",C1173="C",C1173="U"),3,TRUE,"FLAG")</f>
        <v>3</v>
      </c>
      <c r="K1173" s="10">
        <f t="shared" si="714"/>
        <v>3</v>
      </c>
      <c r="L1173" s="10">
        <f t="shared" si="714"/>
        <v>3</v>
      </c>
      <c r="M1173" s="10" t="str">
        <f t="shared" si="714"/>
        <v>FLAG</v>
      </c>
      <c r="N1173" s="10" t="str">
        <f t="shared" si="2"/>
        <v>25-2413(a) - Elections; Disorderly conduct; willfully disturb the peace in or about any voting place on election day</v>
      </c>
      <c r="O1173" s="10" t="str">
        <f t="shared" si="3"/>
        <v>Elections</v>
      </c>
    </row>
    <row r="1174">
      <c r="A1174" s="7" t="s">
        <v>2124</v>
      </c>
      <c r="B1174" s="8" t="s">
        <v>2125</v>
      </c>
      <c r="C1174" s="8" t="s">
        <v>28</v>
      </c>
      <c r="D1174" s="8" t="s">
        <v>19</v>
      </c>
      <c r="E1174" s="8" t="s">
        <v>19</v>
      </c>
      <c r="F1174" s="8" t="s">
        <v>20</v>
      </c>
      <c r="G1174" s="8" t="s">
        <v>21</v>
      </c>
      <c r="H1174" s="9"/>
      <c r="I1174" s="9"/>
      <c r="J1174" s="10">
        <f t="shared" ref="J1174:M1174" si="715">ifs(OR($H1174="R",$I1174="N"),"N/A",OR(C1174="A",C1174="B",C1174="C",C1174="U"),3,TRUE,"FLAG")</f>
        <v>3</v>
      </c>
      <c r="K1174" s="10">
        <f t="shared" si="715"/>
        <v>3</v>
      </c>
      <c r="L1174" s="10">
        <f t="shared" si="715"/>
        <v>3</v>
      </c>
      <c r="M1174" s="10" t="str">
        <f t="shared" si="715"/>
        <v>FLAG</v>
      </c>
      <c r="N1174" s="10" t="str">
        <f t="shared" si="2"/>
        <v>25-2413(d) - Elections; Disorderly conduct; willfully interrupt / hinder / obstruct a person approaching a voting place to vote</v>
      </c>
      <c r="O1174" s="10" t="str">
        <f t="shared" si="3"/>
        <v>Elections</v>
      </c>
    </row>
    <row r="1175">
      <c r="A1175" s="7" t="s">
        <v>2126</v>
      </c>
      <c r="B1175" s="8" t="s">
        <v>2127</v>
      </c>
      <c r="C1175" s="8" t="s">
        <v>28</v>
      </c>
      <c r="D1175" s="8" t="s">
        <v>19</v>
      </c>
      <c r="E1175" s="8" t="s">
        <v>19</v>
      </c>
      <c r="F1175" s="8" t="s">
        <v>20</v>
      </c>
      <c r="G1175" s="8" t="s">
        <v>21</v>
      </c>
      <c r="H1175" s="9"/>
      <c r="I1175" s="9"/>
      <c r="J1175" s="10">
        <f t="shared" ref="J1175:M1175" si="716">ifs(OR($H1175="R",$I1175="N"),"N/A",OR(C1175="A",C1175="B",C1175="C",C1175="U"),3,TRUE,"FLAG")</f>
        <v>3</v>
      </c>
      <c r="K1175" s="10">
        <f t="shared" si="716"/>
        <v>3</v>
      </c>
      <c r="L1175" s="10">
        <f t="shared" si="716"/>
        <v>3</v>
      </c>
      <c r="M1175" s="10" t="str">
        <f t="shared" si="716"/>
        <v>FLAG</v>
      </c>
      <c r="N1175" s="10" t="str">
        <f t="shared" si="2"/>
        <v>25-2413(b) - Elections; Disorderly conduct; willfully leave or attempt to leave a voting place in possession of any ballot</v>
      </c>
      <c r="O1175" s="10" t="str">
        <f t="shared" si="3"/>
        <v>Elections</v>
      </c>
    </row>
    <row r="1176">
      <c r="A1176" s="7" t="s">
        <v>2128</v>
      </c>
      <c r="B1176" s="8" t="s">
        <v>2129</v>
      </c>
      <c r="C1176" s="8" t="s">
        <v>28</v>
      </c>
      <c r="D1176" s="8" t="s">
        <v>19</v>
      </c>
      <c r="E1176" s="8" t="s">
        <v>19</v>
      </c>
      <c r="F1176" s="8" t="s">
        <v>20</v>
      </c>
      <c r="G1176" s="8" t="s">
        <v>21</v>
      </c>
      <c r="H1176" s="9"/>
      <c r="I1176" s="9"/>
      <c r="J1176" s="10">
        <f t="shared" ref="J1176:M1176" si="717">ifs(OR($H1176="R",$I1176="N"),"N/A",OR(C1176="A",C1176="B",C1176="C",C1176="U"),3,TRUE,"FLAG")</f>
        <v>3</v>
      </c>
      <c r="K1176" s="10">
        <f t="shared" si="717"/>
        <v>3</v>
      </c>
      <c r="L1176" s="10">
        <f t="shared" si="717"/>
        <v>3</v>
      </c>
      <c r="M1176" s="10" t="str">
        <f t="shared" si="717"/>
        <v>FLAG</v>
      </c>
      <c r="N1176" s="10" t="str">
        <f t="shared" si="2"/>
        <v>25-2413(e)(1) - Elections; Disorderly conduct; willfully solicit contributions within 250 feet from the entrance of a polling place during the hours the polls are open on election day</v>
      </c>
      <c r="O1176" s="10" t="str">
        <f t="shared" si="3"/>
        <v>Elections</v>
      </c>
    </row>
    <row r="1177">
      <c r="A1177" s="7" t="s">
        <v>2130</v>
      </c>
      <c r="B1177" s="8" t="s">
        <v>2131</v>
      </c>
      <c r="C1177" s="8" t="s">
        <v>27</v>
      </c>
      <c r="D1177" s="8" t="s">
        <v>28</v>
      </c>
      <c r="E1177" s="8" t="s">
        <v>19</v>
      </c>
      <c r="F1177" s="8" t="s">
        <v>20</v>
      </c>
      <c r="G1177" s="8" t="s">
        <v>21</v>
      </c>
      <c r="H1177" s="9"/>
      <c r="I1177" s="9"/>
      <c r="J1177" s="10">
        <f t="shared" ref="J1177:M1177" si="718">ifs(OR($H1177="R",$I1177="N"),"N/A",OR(C1177="A",C1177="B",C1177="C",C1177="U"),3,TRUE,"FLAG")</f>
        <v>3</v>
      </c>
      <c r="K1177" s="10">
        <f t="shared" si="718"/>
        <v>3</v>
      </c>
      <c r="L1177" s="10">
        <f t="shared" si="718"/>
        <v>3</v>
      </c>
      <c r="M1177" s="10" t="str">
        <f t="shared" si="718"/>
        <v>FLAG</v>
      </c>
      <c r="N1177" s="10" t="str">
        <f t="shared" si="2"/>
        <v>25-4147(d) - Elections; Election Campaign Finance; all receipts required to be forwarded to treasurer</v>
      </c>
      <c r="O1177" s="10" t="str">
        <f t="shared" si="3"/>
        <v>Elections</v>
      </c>
    </row>
    <row r="1178">
      <c r="A1178" s="7" t="s">
        <v>2132</v>
      </c>
      <c r="B1178" s="8" t="s">
        <v>2133</v>
      </c>
      <c r="C1178" s="8" t="s">
        <v>27</v>
      </c>
      <c r="D1178" s="8" t="s">
        <v>28</v>
      </c>
      <c r="E1178" s="8" t="s">
        <v>19</v>
      </c>
      <c r="F1178" s="8" t="s">
        <v>20</v>
      </c>
      <c r="G1178" s="8" t="s">
        <v>21</v>
      </c>
      <c r="H1178" s="9"/>
      <c r="I1178" s="9"/>
      <c r="J1178" s="10">
        <f t="shared" ref="J1178:M1178" si="719">ifs(OR($H1178="R",$I1178="N"),"N/A",OR(C1178="A",C1178="B",C1178="C",C1178="U"),3,TRUE,"FLAG")</f>
        <v>3</v>
      </c>
      <c r="K1178" s="10">
        <f t="shared" si="719"/>
        <v>3</v>
      </c>
      <c r="L1178" s="10">
        <f t="shared" si="719"/>
        <v>3</v>
      </c>
      <c r="M1178" s="10" t="str">
        <f t="shared" si="719"/>
        <v>FLAG</v>
      </c>
      <c r="N1178" s="10" t="str">
        <f t="shared" si="2"/>
        <v>25-4144 - Elections; Election Campaign Finance; appointment of campaign treasurer or candidate committee</v>
      </c>
      <c r="O1178" s="10" t="str">
        <f t="shared" si="3"/>
        <v>Elections</v>
      </c>
    </row>
    <row r="1179">
      <c r="A1179" s="7" t="s">
        <v>2134</v>
      </c>
      <c r="B1179" s="8" t="s">
        <v>2135</v>
      </c>
      <c r="C1179" s="8" t="s">
        <v>19</v>
      </c>
      <c r="D1179" s="8" t="s">
        <v>19</v>
      </c>
      <c r="E1179" s="8" t="s">
        <v>19</v>
      </c>
      <c r="F1179" s="8" t="s">
        <v>20</v>
      </c>
      <c r="G1179" s="8" t="s">
        <v>21</v>
      </c>
      <c r="H1179" s="9"/>
      <c r="I1179" s="9"/>
      <c r="J1179" s="10">
        <f t="shared" ref="J1179:M1179" si="720">ifs(OR($H1179="R",$I1179="N"),"N/A",OR(C1179="A",C1179="B",C1179="C",C1179="U"),3,TRUE,"FLAG")</f>
        <v>3</v>
      </c>
      <c r="K1179" s="10">
        <f t="shared" si="720"/>
        <v>3</v>
      </c>
      <c r="L1179" s="10">
        <f t="shared" si="720"/>
        <v>3</v>
      </c>
      <c r="M1179" s="10" t="str">
        <f t="shared" si="720"/>
        <v>FLAG</v>
      </c>
      <c r="N1179" s="10" t="str">
        <f t="shared" si="2"/>
        <v>25-4156(b)(1)(B) - Elections; Election Campaign Finance; broadcasting or causing to be broadcast by radio or television any paid matter which expressly advocates the nomination, election or defeat of a clearly identified candidate for a state or local office, without "Paid for" or "Sponsored by" the name of the sponsoring organization and the name of the chairperson or treasurer of the political or other organization sponsoring the same or the name of the individual who is responsible therefore</v>
      </c>
      <c r="O1179" s="10" t="str">
        <f t="shared" si="3"/>
        <v>Elections</v>
      </c>
    </row>
    <row r="1180">
      <c r="A1180" s="7" t="s">
        <v>2136</v>
      </c>
      <c r="B1180" s="8" t="s">
        <v>2137</v>
      </c>
      <c r="C1180" s="8" t="s">
        <v>27</v>
      </c>
      <c r="D1180" s="8" t="s">
        <v>28</v>
      </c>
      <c r="E1180" s="8" t="s">
        <v>19</v>
      </c>
      <c r="F1180" s="8" t="s">
        <v>20</v>
      </c>
      <c r="G1180" s="8" t="s">
        <v>21</v>
      </c>
      <c r="H1180" s="9"/>
      <c r="I1180" s="9"/>
      <c r="J1180" s="10">
        <f t="shared" ref="J1180:M1180" si="721">ifs(OR($H1180="R",$I1180="N"),"N/A",OR(C1180="A",C1180="B",C1180="C",C1180="U"),3,TRUE,"FLAG")</f>
        <v>3</v>
      </c>
      <c r="K1180" s="10">
        <f t="shared" si="721"/>
        <v>3</v>
      </c>
      <c r="L1180" s="10">
        <f t="shared" si="721"/>
        <v>3</v>
      </c>
      <c r="M1180" s="10" t="str">
        <f t="shared" si="721"/>
        <v>FLAG</v>
      </c>
      <c r="N1180" s="10" t="str">
        <f t="shared" si="2"/>
        <v>25-4157a(c) - Elections; Election Campaign Finance; candidate or candidate committee accepting from another candidate or candidate committee, moneys received by such candidate or candidate committee as a campaign contribution</v>
      </c>
      <c r="O1180" s="10" t="str">
        <f t="shared" si="3"/>
        <v>Elections</v>
      </c>
    </row>
    <row r="1181">
      <c r="A1181" s="7" t="s">
        <v>2138</v>
      </c>
      <c r="B1181" s="8" t="s">
        <v>2139</v>
      </c>
      <c r="C1181" s="8" t="s">
        <v>27</v>
      </c>
      <c r="D1181" s="8" t="s">
        <v>28</v>
      </c>
      <c r="E1181" s="8" t="s">
        <v>19</v>
      </c>
      <c r="F1181" s="8" t="s">
        <v>20</v>
      </c>
      <c r="G1181" s="8" t="s">
        <v>21</v>
      </c>
      <c r="H1181" s="9"/>
      <c r="I1181" s="9"/>
      <c r="J1181" s="10">
        <f t="shared" ref="J1181:M1181" si="722">ifs(OR($H1181="R",$I1181="N"),"N/A",OR(C1181="A",C1181="B",C1181="C",C1181="U"),3,TRUE,"FLAG")</f>
        <v>3</v>
      </c>
      <c r="K1181" s="10">
        <f t="shared" si="722"/>
        <v>3</v>
      </c>
      <c r="L1181" s="10">
        <f t="shared" si="722"/>
        <v>3</v>
      </c>
      <c r="M1181" s="10" t="str">
        <f t="shared" si="722"/>
        <v>FLAG</v>
      </c>
      <c r="N1181" s="10" t="str">
        <f t="shared" si="2"/>
        <v>25-4157a(b) - Elections; Election Campaign Finance; candidate or candidate committee of any candidate using moneys received as a contribution to pay interest or any other finance charges upon moneys loaned to the campaign by such candidate or the spouse of such candidate</v>
      </c>
      <c r="O1181" s="10" t="str">
        <f t="shared" si="3"/>
        <v>Elections</v>
      </c>
    </row>
    <row r="1182">
      <c r="A1182" s="7" t="s">
        <v>2140</v>
      </c>
      <c r="B1182" s="8" t="s">
        <v>2141</v>
      </c>
      <c r="C1182" s="8" t="s">
        <v>27</v>
      </c>
      <c r="D1182" s="8" t="s">
        <v>28</v>
      </c>
      <c r="E1182" s="8" t="s">
        <v>19</v>
      </c>
      <c r="F1182" s="8" t="s">
        <v>20</v>
      </c>
      <c r="G1182" s="8" t="s">
        <v>21</v>
      </c>
      <c r="H1182" s="9"/>
      <c r="I1182" s="9"/>
      <c r="J1182" s="10">
        <f t="shared" ref="J1182:M1182" si="723">ifs(OR($H1182="R",$I1182="N"),"N/A",OR(C1182="A",C1182="B",C1182="C",C1182="U"),3,TRUE,"FLAG")</f>
        <v>3</v>
      </c>
      <c r="K1182" s="10">
        <f t="shared" si="723"/>
        <v>3</v>
      </c>
      <c r="L1182" s="10">
        <f t="shared" si="723"/>
        <v>3</v>
      </c>
      <c r="M1182" s="10" t="str">
        <f t="shared" si="723"/>
        <v>FLAG</v>
      </c>
      <c r="N1182" s="10" t="str">
        <f t="shared" si="2"/>
        <v>25-4147(e) - Elections; Election Campaign Finance; commingling of campaign and personal funds prohibited</v>
      </c>
      <c r="O1182" s="10" t="str">
        <f t="shared" si="3"/>
        <v>Elections</v>
      </c>
    </row>
    <row r="1183">
      <c r="A1183" s="7" t="s">
        <v>2142</v>
      </c>
      <c r="B1183" s="8" t="s">
        <v>2143</v>
      </c>
      <c r="C1183" s="8" t="s">
        <v>27</v>
      </c>
      <c r="D1183" s="8" t="s">
        <v>28</v>
      </c>
      <c r="E1183" s="8" t="s">
        <v>19</v>
      </c>
      <c r="F1183" s="8" t="s">
        <v>20</v>
      </c>
      <c r="G1183" s="8" t="s">
        <v>21</v>
      </c>
      <c r="H1183" s="9"/>
      <c r="I1183" s="9"/>
      <c r="J1183" s="10">
        <f t="shared" ref="J1183:M1183" si="724">ifs(OR($H1183="R",$I1183="N"),"N/A",OR(C1183="A",C1183="B",C1183="C",C1183="U"),3,TRUE,"FLAG")</f>
        <v>3</v>
      </c>
      <c r="K1183" s="10">
        <f t="shared" si="724"/>
        <v>3</v>
      </c>
      <c r="L1183" s="10">
        <f t="shared" si="724"/>
        <v>3</v>
      </c>
      <c r="M1183" s="10" t="str">
        <f t="shared" si="724"/>
        <v>FLAG</v>
      </c>
      <c r="N1183" s="10" t="str">
        <f t="shared" si="2"/>
        <v>25-4165 - Elections; Election Campaign Finance; commission records; confidentiality; release to certain persons</v>
      </c>
      <c r="O1183" s="10" t="str">
        <f t="shared" si="3"/>
        <v>Elections</v>
      </c>
    </row>
    <row r="1184">
      <c r="A1184" s="7" t="s">
        <v>2144</v>
      </c>
      <c r="B1184" s="8" t="s">
        <v>2145</v>
      </c>
      <c r="C1184" s="8" t="s">
        <v>27</v>
      </c>
      <c r="D1184" s="8" t="s">
        <v>28</v>
      </c>
      <c r="E1184" s="8" t="s">
        <v>19</v>
      </c>
      <c r="F1184" s="8" t="s">
        <v>20</v>
      </c>
      <c r="G1184" s="8" t="s">
        <v>21</v>
      </c>
      <c r="H1184" s="9"/>
      <c r="I1184" s="9"/>
      <c r="J1184" s="10">
        <f t="shared" ref="J1184:M1184" si="725">ifs(OR($H1184="R",$I1184="N"),"N/A",OR(C1184="A",C1184="B",C1184="C",C1184="U"),3,TRUE,"FLAG")</f>
        <v>3</v>
      </c>
      <c r="K1184" s="10">
        <f t="shared" si="725"/>
        <v>3</v>
      </c>
      <c r="L1184" s="10">
        <f t="shared" si="725"/>
        <v>3</v>
      </c>
      <c r="M1184" s="10" t="str">
        <f t="shared" si="725"/>
        <v>FLAG</v>
      </c>
      <c r="N1184" s="10" t="str">
        <f t="shared" si="2"/>
        <v>25-4147(f) - Elections; Election Campaign Finance; contributions from political committees to be accompanied by name or description of interest group with which affiliated</v>
      </c>
      <c r="O1184" s="10" t="str">
        <f t="shared" si="3"/>
        <v>Elections</v>
      </c>
    </row>
    <row r="1185">
      <c r="A1185" s="7" t="s">
        <v>2146</v>
      </c>
      <c r="B1185" s="8" t="s">
        <v>2147</v>
      </c>
      <c r="C1185" s="8" t="s">
        <v>27</v>
      </c>
      <c r="D1185" s="8" t="s">
        <v>28</v>
      </c>
      <c r="E1185" s="8" t="s">
        <v>19</v>
      </c>
      <c r="F1185" s="8" t="s">
        <v>20</v>
      </c>
      <c r="G1185" s="8" t="s">
        <v>21</v>
      </c>
      <c r="H1185" s="9"/>
      <c r="I1185" s="9"/>
      <c r="J1185" s="10">
        <f t="shared" ref="J1185:M1185" si="726">ifs(OR($H1185="R",$I1185="N"),"N/A",OR(C1185="A",C1185="B",C1185="C",C1185="U"),3,TRUE,"FLAG")</f>
        <v>3</v>
      </c>
      <c r="K1185" s="10">
        <f t="shared" si="726"/>
        <v>3</v>
      </c>
      <c r="L1185" s="10">
        <f t="shared" si="726"/>
        <v>3</v>
      </c>
      <c r="M1185" s="10" t="str">
        <f t="shared" si="726"/>
        <v>FLAG</v>
      </c>
      <c r="N1185" s="10" t="str">
        <f t="shared" si="2"/>
        <v>25-4157a(a) - Elections; Election Campaign Finance; contributions; candidate or candidate committee of any candidate using moneys received as a contribution or be making such available for the personal use of the candidate or the candidate committee of such candidate unless authorized herein</v>
      </c>
      <c r="O1185" s="10" t="str">
        <f t="shared" si="3"/>
        <v>Elections</v>
      </c>
    </row>
    <row r="1186">
      <c r="A1186" s="7" t="s">
        <v>2148</v>
      </c>
      <c r="B1186" s="8" t="s">
        <v>2149</v>
      </c>
      <c r="C1186" s="8" t="s">
        <v>27</v>
      </c>
      <c r="D1186" s="8" t="s">
        <v>28</v>
      </c>
      <c r="E1186" s="8" t="s">
        <v>19</v>
      </c>
      <c r="F1186" s="8" t="s">
        <v>20</v>
      </c>
      <c r="G1186" s="8" t="s">
        <v>21</v>
      </c>
      <c r="H1186" s="9"/>
      <c r="I1186" s="9"/>
      <c r="J1186" s="10">
        <f t="shared" ref="J1186:M1186" si="727">ifs(OR($H1186="R",$I1186="N"),"N/A",OR(C1186="A",C1186="B",C1186="C",C1186="U"),3,TRUE,"FLAG")</f>
        <v>3</v>
      </c>
      <c r="K1186" s="10">
        <f t="shared" si="727"/>
        <v>3</v>
      </c>
      <c r="L1186" s="10">
        <f t="shared" si="727"/>
        <v>3</v>
      </c>
      <c r="M1186" s="10" t="str">
        <f t="shared" si="727"/>
        <v>FLAG</v>
      </c>
      <c r="N1186" s="10" t="str">
        <f t="shared" si="2"/>
        <v>25-4154(d) - Elections; Election Campaign Finance; copying any name of a contributor from any report or statement filed under the campaign finance act to use for any commercial purpose; use of any name for a commercial purpose knowing that such name was obtained solely by copying information relating to contributions contained in any report or statement filed under the campaign finance act</v>
      </c>
      <c r="O1186" s="10" t="str">
        <f t="shared" si="3"/>
        <v>Elections</v>
      </c>
    </row>
    <row r="1187">
      <c r="A1187" s="7" t="s">
        <v>2150</v>
      </c>
      <c r="B1187" s="8" t="s">
        <v>2151</v>
      </c>
      <c r="C1187" s="8" t="s">
        <v>27</v>
      </c>
      <c r="D1187" s="8" t="s">
        <v>28</v>
      </c>
      <c r="E1187" s="8" t="s">
        <v>19</v>
      </c>
      <c r="F1187" s="8" t="s">
        <v>20</v>
      </c>
      <c r="G1187" s="8" t="s">
        <v>21</v>
      </c>
      <c r="H1187" s="9"/>
      <c r="I1187" s="9"/>
      <c r="J1187" s="10">
        <f t="shared" ref="J1187:M1187" si="728">ifs(OR($H1187="R",$I1187="N"),"N/A",OR(C1187="A",C1187="B",C1187="C",C1187="U"),3,TRUE,"FLAG")</f>
        <v>3</v>
      </c>
      <c r="K1187" s="10">
        <f t="shared" si="728"/>
        <v>3</v>
      </c>
      <c r="L1187" s="10">
        <f t="shared" si="728"/>
        <v>3</v>
      </c>
      <c r="M1187" s="10" t="str">
        <f t="shared" si="728"/>
        <v>FLAG</v>
      </c>
      <c r="N1187" s="10" t="str">
        <f t="shared" si="2"/>
        <v>25-4186(f) - Elections; Election Campaign Finance; copying name of a contributor from any report filed under this section and using such name for any commercial purpose; using a name for a commercial purpose with knowledge that such name was obtained solely by copying information relating to contributions contained in any report filed under this section</v>
      </c>
      <c r="O1187" s="10" t="str">
        <f t="shared" si="3"/>
        <v>Elections</v>
      </c>
    </row>
    <row r="1188">
      <c r="A1188" s="7" t="s">
        <v>2152</v>
      </c>
      <c r="B1188" s="8" t="s">
        <v>2153</v>
      </c>
      <c r="C1188" s="8" t="s">
        <v>27</v>
      </c>
      <c r="D1188" s="8" t="s">
        <v>28</v>
      </c>
      <c r="E1188" s="8" t="s">
        <v>19</v>
      </c>
      <c r="F1188" s="8" t="s">
        <v>20</v>
      </c>
      <c r="G1188" s="8" t="s">
        <v>21</v>
      </c>
      <c r="H1188" s="9"/>
      <c r="I1188" s="9"/>
      <c r="J1188" s="10">
        <f t="shared" ref="J1188:M1188" si="729">ifs(OR($H1188="R",$I1188="N"),"N/A",OR(C1188="A",C1188="B",C1188="C",C1188="U"),3,TRUE,"FLAG")</f>
        <v>3</v>
      </c>
      <c r="K1188" s="10">
        <f t="shared" si="729"/>
        <v>3</v>
      </c>
      <c r="L1188" s="10">
        <f t="shared" si="729"/>
        <v>3</v>
      </c>
      <c r="M1188" s="10" t="str">
        <f t="shared" si="729"/>
        <v>FLAG</v>
      </c>
      <c r="N1188" s="10" t="str">
        <f t="shared" si="2"/>
        <v>25-4170(b) - Elections; Election Campaign Finance; excessive campaign contributions; intentionally accepting any contribution made in violation of any provision of K.S.A. 25-4153</v>
      </c>
      <c r="O1188" s="10" t="str">
        <f t="shared" si="3"/>
        <v>Elections</v>
      </c>
    </row>
    <row r="1189">
      <c r="A1189" s="7" t="s">
        <v>2154</v>
      </c>
      <c r="B1189" s="8" t="s">
        <v>2155</v>
      </c>
      <c r="C1189" s="8" t="s">
        <v>27</v>
      </c>
      <c r="D1189" s="8" t="s">
        <v>28</v>
      </c>
      <c r="E1189" s="8" t="s">
        <v>19</v>
      </c>
      <c r="F1189" s="8" t="s">
        <v>20</v>
      </c>
      <c r="G1189" s="8" t="s">
        <v>21</v>
      </c>
      <c r="H1189" s="9"/>
      <c r="I1189" s="9"/>
      <c r="J1189" s="10">
        <f t="shared" ref="J1189:M1189" si="730">ifs(OR($H1189="R",$I1189="N"),"N/A",OR(C1189="A",C1189="B",C1189="C",C1189="U"),3,TRUE,"FLAG")</f>
        <v>3</v>
      </c>
      <c r="K1189" s="10">
        <f t="shared" si="730"/>
        <v>3</v>
      </c>
      <c r="L1189" s="10">
        <f t="shared" si="730"/>
        <v>3</v>
      </c>
      <c r="M1189" s="10" t="str">
        <f t="shared" si="730"/>
        <v>FLAG</v>
      </c>
      <c r="N1189" s="10" t="str">
        <f t="shared" si="2"/>
        <v>25-4170(a) - Elections; Election Campaign Finance; excessive campaign contributions; intentionally making any contribution in violation of any provision of K.S.A. 25-4153</v>
      </c>
      <c r="O1189" s="10" t="str">
        <f t="shared" si="3"/>
        <v>Elections</v>
      </c>
    </row>
    <row r="1190">
      <c r="A1190" s="7" t="s">
        <v>2156</v>
      </c>
      <c r="B1190" s="8" t="s">
        <v>2157</v>
      </c>
      <c r="C1190" s="8" t="s">
        <v>27</v>
      </c>
      <c r="D1190" s="8" t="s">
        <v>28</v>
      </c>
      <c r="E1190" s="8" t="s">
        <v>19</v>
      </c>
      <c r="F1190" s="8" t="s">
        <v>20</v>
      </c>
      <c r="G1190" s="8" t="s">
        <v>21</v>
      </c>
      <c r="H1190" s="9"/>
      <c r="I1190" s="9"/>
      <c r="J1190" s="10">
        <f t="shared" ref="J1190:M1190" si="731">ifs(OR($H1190="R",$I1190="N"),"N/A",OR(C1190="A",C1190="B",C1190="C",C1190="U"),3,TRUE,"FLAG")</f>
        <v>3</v>
      </c>
      <c r="K1190" s="10">
        <f t="shared" si="731"/>
        <v>3</v>
      </c>
      <c r="L1190" s="10">
        <f t="shared" si="731"/>
        <v>3</v>
      </c>
      <c r="M1190" s="10" t="str">
        <f t="shared" si="731"/>
        <v>FLAG</v>
      </c>
      <c r="N1190" s="10" t="str">
        <f t="shared" si="2"/>
        <v>25-4156(a)(1) - Elections; Election Campaign Finance; excessive charges for space in newspapers/periodicals</v>
      </c>
      <c r="O1190" s="10" t="str">
        <f t="shared" si="3"/>
        <v>Elections</v>
      </c>
    </row>
    <row r="1191">
      <c r="A1191" s="7" t="s">
        <v>2158</v>
      </c>
      <c r="B1191" s="8" t="s">
        <v>2159</v>
      </c>
      <c r="C1191" s="8" t="s">
        <v>27</v>
      </c>
      <c r="D1191" s="8" t="s">
        <v>28</v>
      </c>
      <c r="E1191" s="8" t="s">
        <v>19</v>
      </c>
      <c r="F1191" s="8" t="s">
        <v>20</v>
      </c>
      <c r="G1191" s="8" t="s">
        <v>21</v>
      </c>
      <c r="H1191" s="9"/>
      <c r="I1191" s="9"/>
      <c r="J1191" s="10">
        <f t="shared" ref="J1191:M1191" si="732">ifs(OR($H1191="R",$I1191="N"),"N/A",OR(C1191="A",C1191="B",C1191="C",C1191="U"),3,TRUE,"FLAG")</f>
        <v>3</v>
      </c>
      <c r="K1191" s="10">
        <f t="shared" si="732"/>
        <v>3</v>
      </c>
      <c r="L1191" s="10">
        <f t="shared" si="732"/>
        <v>3</v>
      </c>
      <c r="M1191" s="10" t="str">
        <f t="shared" si="732"/>
        <v>FLAG</v>
      </c>
      <c r="N1191" s="10" t="str">
        <f t="shared" si="2"/>
        <v>25-4177 - Elections; Election Campaign Finance; fail to file affidavit of intent as required in K.S.A. 25-4173 or 25-4175 or failure to file the reports required after a change in intent as required by K.S.A. 25-4174 or 25-4176</v>
      </c>
      <c r="O1191" s="10" t="str">
        <f t="shared" si="3"/>
        <v>Elections</v>
      </c>
    </row>
    <row r="1192">
      <c r="A1192" s="7" t="s">
        <v>2160</v>
      </c>
      <c r="B1192" s="8" t="s">
        <v>2161</v>
      </c>
      <c r="C1192" s="8" t="s">
        <v>27</v>
      </c>
      <c r="D1192" s="8" t="s">
        <v>28</v>
      </c>
      <c r="E1192" s="8" t="s">
        <v>19</v>
      </c>
      <c r="F1192" s="8" t="s">
        <v>20</v>
      </c>
      <c r="G1192" s="8" t="s">
        <v>21</v>
      </c>
      <c r="H1192" s="9"/>
      <c r="I1192" s="9"/>
      <c r="J1192" s="10">
        <f t="shared" ref="J1192:M1192" si="733">ifs(OR($H1192="R",$I1192="N"),"N/A",OR(C1192="A",C1192="B",C1192="C",C1192="U"),3,TRUE,"FLAG")</f>
        <v>3</v>
      </c>
      <c r="K1192" s="10">
        <f t="shared" si="733"/>
        <v>3</v>
      </c>
      <c r="L1192" s="10">
        <f t="shared" si="733"/>
        <v>3</v>
      </c>
      <c r="M1192" s="10" t="str">
        <f t="shared" si="733"/>
        <v>FLAG</v>
      </c>
      <c r="N1192" s="10" t="str">
        <f t="shared" si="2"/>
        <v>25-4167(a) - Elections; Election Campaign Finance; fail to file campaign finance report; intentional failure of any person required to make any report, amended report or statement by the campaign finance act to file the same with the secretary of state or county election officer at the time specified in the campaign finance act</v>
      </c>
      <c r="O1192" s="10" t="str">
        <f t="shared" si="3"/>
        <v>Elections</v>
      </c>
    </row>
    <row r="1193">
      <c r="A1193" s="7" t="s">
        <v>2162</v>
      </c>
      <c r="B1193" s="8" t="s">
        <v>2163</v>
      </c>
      <c r="C1193" s="8" t="s">
        <v>27</v>
      </c>
      <c r="D1193" s="8" t="s">
        <v>28</v>
      </c>
      <c r="E1193" s="8" t="s">
        <v>19</v>
      </c>
      <c r="F1193" s="8" t="s">
        <v>20</v>
      </c>
      <c r="G1193" s="8" t="s">
        <v>21</v>
      </c>
      <c r="H1193" s="9"/>
      <c r="I1193" s="9"/>
      <c r="J1193" s="10">
        <f t="shared" ref="J1193:M1193" si="734">ifs(OR($H1193="R",$I1193="N"),"N/A",OR(C1193="A",C1193="B",C1193="C",C1193="U"),3,TRUE,"FLAG")</f>
        <v>3</v>
      </c>
      <c r="K1193" s="10">
        <f t="shared" si="734"/>
        <v>3</v>
      </c>
      <c r="L1193" s="10">
        <f t="shared" si="734"/>
        <v>3</v>
      </c>
      <c r="M1193" s="10" t="str">
        <f t="shared" si="734"/>
        <v>FLAG</v>
      </c>
      <c r="N1193" s="10" t="str">
        <f t="shared" si="2"/>
        <v>25-4180(a) - Elections; Election Campaign Finance; fail to file financial reports of constitutional campaigns</v>
      </c>
      <c r="O1193" s="10" t="str">
        <f t="shared" si="3"/>
        <v>Elections</v>
      </c>
    </row>
    <row r="1194">
      <c r="A1194" s="7" t="s">
        <v>2164</v>
      </c>
      <c r="B1194" s="8" t="s">
        <v>2165</v>
      </c>
      <c r="C1194" s="8" t="s">
        <v>27</v>
      </c>
      <c r="D1194" s="8" t="s">
        <v>28</v>
      </c>
      <c r="E1194" s="8" t="s">
        <v>19</v>
      </c>
      <c r="F1194" s="8" t="s">
        <v>20</v>
      </c>
      <c r="G1194" s="8" t="s">
        <v>21</v>
      </c>
      <c r="H1194" s="9"/>
      <c r="I1194" s="9"/>
      <c r="J1194" s="10">
        <f t="shared" ref="J1194:M1194" si="735">ifs(OR($H1194="R",$I1194="N"),"N/A",OR(C1194="A",C1194="B",C1194="C",C1194="U"),3,TRUE,"FLAG")</f>
        <v>3</v>
      </c>
      <c r="K1194" s="10">
        <f t="shared" si="735"/>
        <v>3</v>
      </c>
      <c r="L1194" s="10">
        <f t="shared" si="735"/>
        <v>3</v>
      </c>
      <c r="M1194" s="10" t="str">
        <f t="shared" si="735"/>
        <v>FLAG</v>
      </c>
      <c r="N1194" s="10" t="str">
        <f t="shared" si="2"/>
        <v>25-4147(b) - Elections; Election Campaign Finance; fail to preserve accounts of any treasurer for inspection as required</v>
      </c>
      <c r="O1194" s="10" t="str">
        <f t="shared" si="3"/>
        <v>Elections</v>
      </c>
    </row>
    <row r="1195">
      <c r="A1195" s="7" t="s">
        <v>2166</v>
      </c>
      <c r="B1195" s="8" t="s">
        <v>2167</v>
      </c>
      <c r="C1195" s="8" t="s">
        <v>27</v>
      </c>
      <c r="D1195" s="8" t="s">
        <v>28</v>
      </c>
      <c r="E1195" s="8" t="s">
        <v>19</v>
      </c>
      <c r="F1195" s="8" t="s">
        <v>20</v>
      </c>
      <c r="G1195" s="8" t="s">
        <v>21</v>
      </c>
      <c r="H1195" s="9"/>
      <c r="I1195" s="9"/>
      <c r="J1195" s="10">
        <f t="shared" ref="J1195:M1195" si="736">ifs(OR($H1195="R",$I1195="N"),"N/A",OR(C1195="A",C1195="B",C1195="C",C1195="U"),3,TRUE,"FLAG")</f>
        <v>3</v>
      </c>
      <c r="K1195" s="10">
        <f t="shared" si="736"/>
        <v>3</v>
      </c>
      <c r="L1195" s="10">
        <f t="shared" si="736"/>
        <v>3</v>
      </c>
      <c r="M1195" s="10" t="str">
        <f t="shared" si="736"/>
        <v>FLAG</v>
      </c>
      <c r="N1195" s="10" t="str">
        <f t="shared" si="2"/>
        <v>25-4147(a) - Elections; Election Campaign Finance; failure of treasurer to keep detailed accounts of all contributions and other receipts received and all expenditures made</v>
      </c>
      <c r="O1195" s="10" t="str">
        <f t="shared" si="3"/>
        <v>Elections</v>
      </c>
    </row>
    <row r="1196">
      <c r="A1196" s="7" t="s">
        <v>2168</v>
      </c>
      <c r="B1196" s="8" t="s">
        <v>2169</v>
      </c>
      <c r="C1196" s="8" t="s">
        <v>27</v>
      </c>
      <c r="D1196" s="8" t="s">
        <v>28</v>
      </c>
      <c r="E1196" s="8" t="s">
        <v>19</v>
      </c>
      <c r="F1196" s="8" t="s">
        <v>20</v>
      </c>
      <c r="G1196" s="8" t="s">
        <v>21</v>
      </c>
      <c r="H1196" s="9"/>
      <c r="I1196" s="9"/>
      <c r="J1196" s="10">
        <f t="shared" ref="J1196:M1196" si="737">ifs(OR($H1196="R",$I1196="N"),"N/A",OR(C1196="A",C1196="B",C1196="C",C1196="U"),3,TRUE,"FLAG")</f>
        <v>3</v>
      </c>
      <c r="K1196" s="10">
        <f t="shared" si="737"/>
        <v>3</v>
      </c>
      <c r="L1196" s="10">
        <f t="shared" si="737"/>
        <v>3</v>
      </c>
      <c r="M1196" s="10" t="str">
        <f t="shared" si="737"/>
        <v>FLAG</v>
      </c>
      <c r="N1196" s="10" t="str">
        <f t="shared" si="2"/>
        <v>25-4157a(d) - Elections; Election Campaign Finance; failure to contribute residual funds not otherwise obligated for the payment of expenses incurred in the campaign or the holding of office to appropriate party at termination of any campaign and prior to filing a termination report in accordance with K.S.A. 25-4157</v>
      </c>
      <c r="O1196" s="10" t="str">
        <f t="shared" si="3"/>
        <v>Elections</v>
      </c>
    </row>
    <row r="1197">
      <c r="A1197" s="7" t="s">
        <v>2170</v>
      </c>
      <c r="B1197" s="8" t="s">
        <v>2171</v>
      </c>
      <c r="C1197" s="8" t="s">
        <v>27</v>
      </c>
      <c r="D1197" s="8" t="s">
        <v>28</v>
      </c>
      <c r="E1197" s="8" t="s">
        <v>19</v>
      </c>
      <c r="F1197" s="8" t="s">
        <v>20</v>
      </c>
      <c r="G1197" s="8" t="s">
        <v>21</v>
      </c>
      <c r="H1197" s="9"/>
      <c r="I1197" s="9"/>
      <c r="J1197" s="10">
        <f t="shared" ref="J1197:M1197" si="738">ifs(OR($H1197="R",$I1197="N"),"N/A",OR(C1197="A",C1197="B",C1197="C",C1197="U"),3,TRUE,"FLAG")</f>
        <v>3</v>
      </c>
      <c r="K1197" s="10">
        <f t="shared" si="738"/>
        <v>3</v>
      </c>
      <c r="L1197" s="10">
        <f t="shared" si="738"/>
        <v>3</v>
      </c>
      <c r="M1197" s="10" t="str">
        <f t="shared" si="738"/>
        <v>FLAG</v>
      </c>
      <c r="N1197" s="10" t="str">
        <f t="shared" si="2"/>
        <v>25-4167(b) - Elections; Election Campaign Finance; failure to file campaign finance report; intentional failure of any person required by K.S.A. 25-4172, and amendments thereto, to submit a statement to a treasurer to submit the same</v>
      </c>
      <c r="O1197" s="10" t="str">
        <f t="shared" si="3"/>
        <v>Elections</v>
      </c>
    </row>
    <row r="1198">
      <c r="A1198" s="7" t="s">
        <v>2172</v>
      </c>
      <c r="B1198" s="8" t="s">
        <v>2173</v>
      </c>
      <c r="C1198" s="8" t="s">
        <v>27</v>
      </c>
      <c r="D1198" s="8" t="s">
        <v>28</v>
      </c>
      <c r="E1198" s="8" t="s">
        <v>19</v>
      </c>
      <c r="F1198" s="8" t="s">
        <v>20</v>
      </c>
      <c r="G1198" s="8" t="s">
        <v>21</v>
      </c>
      <c r="H1198" s="9"/>
      <c r="I1198" s="9"/>
      <c r="J1198" s="10">
        <f t="shared" ref="J1198:M1198" si="739">ifs(OR($H1198="R",$I1198="N"),"N/A",OR(C1198="A",C1198="B",C1198="C",C1198="U"),3,TRUE,"FLAG")</f>
        <v>3</v>
      </c>
      <c r="K1198" s="10">
        <f t="shared" si="739"/>
        <v>3</v>
      </c>
      <c r="L1198" s="10">
        <f t="shared" si="739"/>
        <v>3</v>
      </c>
      <c r="M1198" s="10" t="str">
        <f t="shared" si="739"/>
        <v>FLAG</v>
      </c>
      <c r="N1198" s="10" t="str">
        <f t="shared" si="2"/>
        <v>25-4168 - Elections; Election Campaign Finance; fraudulent campaign finance reporting</v>
      </c>
      <c r="O1198" s="10" t="str">
        <f t="shared" si="3"/>
        <v>Elections</v>
      </c>
    </row>
    <row r="1199">
      <c r="A1199" s="7" t="s">
        <v>2174</v>
      </c>
      <c r="B1199" s="8" t="s">
        <v>2175</v>
      </c>
      <c r="C1199" s="8" t="s">
        <v>27</v>
      </c>
      <c r="D1199" s="8" t="s">
        <v>28</v>
      </c>
      <c r="E1199" s="8" t="s">
        <v>19</v>
      </c>
      <c r="F1199" s="8" t="s">
        <v>20</v>
      </c>
      <c r="G1199" s="8" t="s">
        <v>21</v>
      </c>
      <c r="H1199" s="9"/>
      <c r="I1199" s="9"/>
      <c r="J1199" s="10">
        <f t="shared" ref="J1199:M1199" si="740">ifs(OR($H1199="R",$I1199="N"),"N/A",OR(C1199="A",C1199="B",C1199="C",C1199="U"),3,TRUE,"FLAG")</f>
        <v>3</v>
      </c>
      <c r="K1199" s="10">
        <f t="shared" si="740"/>
        <v>3</v>
      </c>
      <c r="L1199" s="10">
        <f t="shared" si="740"/>
        <v>3</v>
      </c>
      <c r="M1199" s="10" t="str">
        <f t="shared" si="740"/>
        <v>FLAG</v>
      </c>
      <c r="N1199" s="10" t="str">
        <f t="shared" si="2"/>
        <v>25-4154(b) - Elections; Election Campaign Finance; give or accept any contribution in excess of $10 without making the name and address of the contributor known to the individual receiving the contribution</v>
      </c>
      <c r="O1199" s="10" t="str">
        <f t="shared" si="3"/>
        <v>Elections</v>
      </c>
    </row>
    <row r="1200">
      <c r="A1200" s="7" t="s">
        <v>2176</v>
      </c>
      <c r="B1200" s="8" t="s">
        <v>2177</v>
      </c>
      <c r="C1200" s="8" t="s">
        <v>27</v>
      </c>
      <c r="D1200" s="8" t="s">
        <v>28</v>
      </c>
      <c r="E1200" s="8" t="s">
        <v>19</v>
      </c>
      <c r="F1200" s="8" t="s">
        <v>20</v>
      </c>
      <c r="G1200" s="8" t="s">
        <v>21</v>
      </c>
      <c r="H1200" s="9"/>
      <c r="I1200" s="9"/>
      <c r="J1200" s="10">
        <f t="shared" ref="J1200:M1200" si="741">ifs(OR($H1200="R",$I1200="N"),"N/A",OR(C1200="A",C1200="B",C1200="C",C1200="U"),3,TRUE,"FLAG")</f>
        <v>3</v>
      </c>
      <c r="K1200" s="10">
        <f t="shared" si="741"/>
        <v>3</v>
      </c>
      <c r="L1200" s="10">
        <f t="shared" si="741"/>
        <v>3</v>
      </c>
      <c r="M1200" s="10" t="str">
        <f t="shared" si="741"/>
        <v>FLAG</v>
      </c>
      <c r="N1200" s="10" t="str">
        <f t="shared" si="2"/>
        <v>25-4154(a) - Elections; Election Campaign Finance; making a contribution in the name of another person; accepting contribution knowing such to have been made by one person in the name of another</v>
      </c>
      <c r="O1200" s="10" t="str">
        <f t="shared" si="3"/>
        <v>Elections</v>
      </c>
    </row>
    <row r="1201">
      <c r="A1201" s="7" t="s">
        <v>2178</v>
      </c>
      <c r="B1201" s="8" t="s">
        <v>2179</v>
      </c>
      <c r="C1201" s="8" t="s">
        <v>19</v>
      </c>
      <c r="D1201" s="8" t="s">
        <v>19</v>
      </c>
      <c r="E1201" s="8" t="s">
        <v>19</v>
      </c>
      <c r="F1201" s="8" t="s">
        <v>20</v>
      </c>
      <c r="G1201" s="8" t="s">
        <v>21</v>
      </c>
      <c r="H1201" s="9"/>
      <c r="I1201" s="9"/>
      <c r="J1201" s="10">
        <f t="shared" ref="J1201:M1201" si="742">ifs(OR($H1201="R",$I1201="N"),"N/A",OR(C1201="A",C1201="B",C1201="C",C1201="U"),3,TRUE,"FLAG")</f>
        <v>3</v>
      </c>
      <c r="K1201" s="10">
        <f t="shared" si="742"/>
        <v>3</v>
      </c>
      <c r="L1201" s="10">
        <f t="shared" si="742"/>
        <v>3</v>
      </c>
      <c r="M1201" s="10" t="str">
        <f t="shared" si="742"/>
        <v>FLAG</v>
      </c>
      <c r="N1201" s="10" t="str">
        <f t="shared" si="2"/>
        <v>25-4156(b)(1)(E) - Elections; Election Campaign Finance; making or causing to be made any website, e-mail or other types of internet communication which expressly advocates the nomination, election or defeat of a clearly identified candidate for a state or local office, without the name of the chairperson or treasurer of the political or other organization sponsoring the same or the name of the individual who is responsible therefore; made by candidate, candidate's committee, political committee, or party committee and viewed by or disseminated to at least 25 individuals</v>
      </c>
      <c r="O1201" s="10" t="str">
        <f t="shared" si="3"/>
        <v>Elections</v>
      </c>
    </row>
    <row r="1202">
      <c r="A1202" s="7" t="s">
        <v>2180</v>
      </c>
      <c r="B1202" s="8" t="s">
        <v>2181</v>
      </c>
      <c r="C1202" s="8" t="s">
        <v>27</v>
      </c>
      <c r="D1202" s="8" t="s">
        <v>28</v>
      </c>
      <c r="E1202" s="8" t="s">
        <v>19</v>
      </c>
      <c r="F1202" s="8" t="s">
        <v>20</v>
      </c>
      <c r="G1202" s="8" t="s">
        <v>21</v>
      </c>
      <c r="H1202" s="9"/>
      <c r="I1202" s="9"/>
      <c r="J1202" s="10">
        <f t="shared" ref="J1202:M1202" si="743">ifs(OR($H1202="R",$I1202="N"),"N/A",OR(C1202="A",C1202="B",C1202="C",C1202="U"),3,TRUE,"FLAG")</f>
        <v>3</v>
      </c>
      <c r="K1202" s="10">
        <f t="shared" si="743"/>
        <v>3</v>
      </c>
      <c r="L1202" s="10">
        <f t="shared" si="743"/>
        <v>3</v>
      </c>
      <c r="M1202" s="10" t="str">
        <f t="shared" si="743"/>
        <v>FLAG</v>
      </c>
      <c r="N1202" s="10" t="str">
        <f t="shared" si="2"/>
        <v>25-4186(h) - Elections; Election Campaign Finance; moneys received by any inaugural treasurer used or made available for the personal use of the governor-elect or governor;  moneys used by such governor-elect or governor for purposes other than legitimate gubernatorial inauguration expenses</v>
      </c>
      <c r="O1202" s="10" t="str">
        <f t="shared" si="3"/>
        <v>Elections</v>
      </c>
    </row>
    <row r="1203">
      <c r="A1203" s="7" t="s">
        <v>2182</v>
      </c>
      <c r="B1203" s="8" t="s">
        <v>2183</v>
      </c>
      <c r="C1203" s="8" t="s">
        <v>19</v>
      </c>
      <c r="D1203" s="8" t="s">
        <v>19</v>
      </c>
      <c r="E1203" s="8" t="s">
        <v>19</v>
      </c>
      <c r="F1203" s="8" t="s">
        <v>20</v>
      </c>
      <c r="G1203" s="8" t="s">
        <v>21</v>
      </c>
      <c r="H1203" s="9"/>
      <c r="I1203" s="9"/>
      <c r="J1203" s="10">
        <f t="shared" ref="J1203:M1203" si="744">ifs(OR($H1203="R",$I1203="N"),"N/A",OR(C1203="A",C1203="B",C1203="C",C1203="U"),3,TRUE,"FLAG")</f>
        <v>3</v>
      </c>
      <c r="K1203" s="10">
        <f t="shared" si="744"/>
        <v>3</v>
      </c>
      <c r="L1203" s="10">
        <f t="shared" si="744"/>
        <v>3</v>
      </c>
      <c r="M1203" s="10" t="str">
        <f t="shared" si="744"/>
        <v>FLAG</v>
      </c>
      <c r="N1203" s="10" t="str">
        <f t="shared" si="2"/>
        <v>25-4156(b)(1)(D) - Elections; Election Campaign Finance; publishing or causing to be published any brochure, flier or other political fact sheet which expressly advocates the nomination, election or defeat of a clearly identified candidate for a state or local office, without the name of the chairperson or treasurer of the political or other organization sponsoring the same or the name of the individual who is responsible therefore</v>
      </c>
      <c r="O1203" s="10" t="str">
        <f t="shared" si="3"/>
        <v>Elections</v>
      </c>
    </row>
    <row r="1204">
      <c r="A1204" s="7" t="s">
        <v>2184</v>
      </c>
      <c r="B1204" s="8" t="s">
        <v>2185</v>
      </c>
      <c r="C1204" s="8" t="s">
        <v>19</v>
      </c>
      <c r="D1204" s="8" t="s">
        <v>19</v>
      </c>
      <c r="E1204" s="8" t="s">
        <v>19</v>
      </c>
      <c r="F1204" s="8" t="s">
        <v>20</v>
      </c>
      <c r="G1204" s="8" t="s">
        <v>21</v>
      </c>
      <c r="H1204" s="9"/>
      <c r="I1204" s="9"/>
      <c r="J1204" s="10">
        <f t="shared" ref="J1204:M1204" si="745">ifs(OR($H1204="R",$I1204="N"),"N/A",OR(C1204="A",C1204="B",C1204="C",C1204="U"),3,TRUE,"FLAG")</f>
        <v>3</v>
      </c>
      <c r="K1204" s="10">
        <f t="shared" si="745"/>
        <v>3</v>
      </c>
      <c r="L1204" s="10">
        <f t="shared" si="745"/>
        <v>3</v>
      </c>
      <c r="M1204" s="10" t="str">
        <f t="shared" si="745"/>
        <v>FLAG</v>
      </c>
      <c r="N1204" s="10" t="str">
        <f t="shared" si="2"/>
        <v>25-4156(b)(1)(A) - Elections; Election Campaign Finance; publishing or causing to be published in a newspaper or periodical any paid matter which expressly advocates the nomination, election or defeat of a clearly identified candidate for a state or local office, without the word "advertisement" or "adv." with the name of the chairperson or treasurer of the organization sponsoring the same or the name of the individual who is responsible therefore</v>
      </c>
      <c r="O1204" s="10" t="str">
        <f t="shared" si="3"/>
        <v>Elections</v>
      </c>
    </row>
    <row r="1205">
      <c r="A1205" s="7" t="s">
        <v>2186</v>
      </c>
      <c r="B1205" s="8" t="s">
        <v>2187</v>
      </c>
      <c r="C1205" s="8" t="s">
        <v>27</v>
      </c>
      <c r="D1205" s="8" t="s">
        <v>28</v>
      </c>
      <c r="E1205" s="8" t="s">
        <v>19</v>
      </c>
      <c r="F1205" s="8" t="s">
        <v>20</v>
      </c>
      <c r="G1205" s="8" t="s">
        <v>21</v>
      </c>
      <c r="H1205" s="9"/>
      <c r="I1205" s="9"/>
      <c r="J1205" s="10">
        <f t="shared" ref="J1205:M1205" si="746">ifs(OR($H1205="R",$I1205="N"),"N/A",OR(C1205="A",C1205="B",C1205="C",C1205="U"),3,TRUE,"FLAG")</f>
        <v>3</v>
      </c>
      <c r="K1205" s="10">
        <f t="shared" si="746"/>
        <v>3</v>
      </c>
      <c r="L1205" s="10">
        <f t="shared" si="746"/>
        <v>3</v>
      </c>
      <c r="M1205" s="10" t="str">
        <f t="shared" si="746"/>
        <v>FLAG</v>
      </c>
      <c r="N1205" s="10" t="str">
        <f t="shared" si="2"/>
        <v>25-4146 - Elections; Election Campaign Finance; removal of treasurer or chairperson; notification to Secretary of State</v>
      </c>
      <c r="O1205" s="10" t="str">
        <f t="shared" si="3"/>
        <v>Elections</v>
      </c>
    </row>
    <row r="1206">
      <c r="A1206" s="7" t="s">
        <v>2188</v>
      </c>
      <c r="B1206" s="8" t="s">
        <v>2189</v>
      </c>
      <c r="C1206" s="8" t="s">
        <v>27</v>
      </c>
      <c r="D1206" s="8" t="s">
        <v>28</v>
      </c>
      <c r="E1206" s="8" t="s">
        <v>19</v>
      </c>
      <c r="F1206" s="8" t="s">
        <v>20</v>
      </c>
      <c r="G1206" s="8" t="s">
        <v>21</v>
      </c>
      <c r="H1206" s="9"/>
      <c r="I1206" s="9"/>
      <c r="J1206" s="10">
        <f t="shared" ref="J1206:M1206" si="747">ifs(OR($H1206="R",$I1206="N"),"N/A",OR(C1206="A",C1206="B",C1206="C",C1206="U"),3,TRUE,"FLAG")</f>
        <v>3</v>
      </c>
      <c r="K1206" s="10">
        <f t="shared" si="747"/>
        <v>3</v>
      </c>
      <c r="L1206" s="10">
        <f t="shared" si="747"/>
        <v>3</v>
      </c>
      <c r="M1206" s="10" t="str">
        <f t="shared" si="747"/>
        <v>FLAG</v>
      </c>
      <c r="N1206" s="10" t="str">
        <f t="shared" si="2"/>
        <v>25-4151 - Elections; Election Campaign Finance; reports; declaration of correctness; late filing</v>
      </c>
      <c r="O1206" s="10" t="str">
        <f t="shared" si="3"/>
        <v>Elections</v>
      </c>
    </row>
    <row r="1207">
      <c r="A1207" s="7" t="s">
        <v>2190</v>
      </c>
      <c r="B1207" s="8" t="s">
        <v>2191</v>
      </c>
      <c r="C1207" s="8" t="s">
        <v>27</v>
      </c>
      <c r="D1207" s="8" t="s">
        <v>28</v>
      </c>
      <c r="E1207" s="8" t="s">
        <v>19</v>
      </c>
      <c r="F1207" s="8" t="s">
        <v>20</v>
      </c>
      <c r="G1207" s="8" t="s">
        <v>21</v>
      </c>
      <c r="H1207" s="9"/>
      <c r="I1207" s="9"/>
      <c r="J1207" s="10">
        <f t="shared" ref="J1207:M1207" si="748">ifs(OR($H1207="R",$I1207="N"),"N/A",OR(C1207="A",C1207="B",C1207="C",C1207="U"),3,TRUE,"FLAG")</f>
        <v>3</v>
      </c>
      <c r="K1207" s="10">
        <f t="shared" si="748"/>
        <v>3</v>
      </c>
      <c r="L1207" s="10">
        <f t="shared" si="748"/>
        <v>3</v>
      </c>
      <c r="M1207" s="10" t="str">
        <f t="shared" si="748"/>
        <v>FLAG</v>
      </c>
      <c r="N1207" s="10" t="str">
        <f t="shared" si="2"/>
        <v>25-4145 - Elections; Election Campaign Finance; statements of organization; contents and supplemental statements</v>
      </c>
      <c r="O1207" s="10" t="str">
        <f t="shared" si="3"/>
        <v>Elections</v>
      </c>
    </row>
    <row r="1208">
      <c r="A1208" s="7" t="s">
        <v>2192</v>
      </c>
      <c r="B1208" s="8" t="s">
        <v>2193</v>
      </c>
      <c r="C1208" s="8" t="s">
        <v>19</v>
      </c>
      <c r="D1208" s="8" t="s">
        <v>19</v>
      </c>
      <c r="E1208" s="8" t="s">
        <v>19</v>
      </c>
      <c r="F1208" s="8" t="s">
        <v>20</v>
      </c>
      <c r="G1208" s="8" t="s">
        <v>21</v>
      </c>
      <c r="H1208" s="9"/>
      <c r="I1208" s="9"/>
      <c r="J1208" s="10">
        <f t="shared" ref="J1208:M1208" si="749">ifs(OR($H1208="R",$I1208="N"),"N/A",OR(C1208="A",C1208="B",C1208="C",C1208="U"),3,TRUE,"FLAG")</f>
        <v>3</v>
      </c>
      <c r="K1208" s="10">
        <f t="shared" si="749"/>
        <v>3</v>
      </c>
      <c r="L1208" s="10">
        <f t="shared" si="749"/>
        <v>3</v>
      </c>
      <c r="M1208" s="10" t="str">
        <f t="shared" si="749"/>
        <v>FLAG</v>
      </c>
      <c r="N1208" s="10" t="str">
        <f t="shared" si="2"/>
        <v>25-4156(b)(1)(C) - Elections; Election Campaign Finance; telephoning or causing to be contacted by telephonic means any paid matter which expressly advocates the nomination, election or defeat of a clearly identified candidate for a state or local office, without "Paid for" or "Sponsored by" the name of the sponsoring organization and the name of the chairperson or treasurer of the political or other organization sponsoring the same or the name of the individual who is responsible therefore</v>
      </c>
      <c r="O1208" s="10" t="str">
        <f t="shared" si="3"/>
        <v>Elections</v>
      </c>
    </row>
    <row r="1209">
      <c r="A1209" s="7" t="s">
        <v>2194</v>
      </c>
      <c r="B1209" s="8" t="s">
        <v>2195</v>
      </c>
      <c r="C1209" s="8" t="s">
        <v>27</v>
      </c>
      <c r="D1209" s="8" t="s">
        <v>28</v>
      </c>
      <c r="E1209" s="8" t="s">
        <v>19</v>
      </c>
      <c r="F1209" s="8" t="s">
        <v>20</v>
      </c>
      <c r="G1209" s="8" t="s">
        <v>21</v>
      </c>
      <c r="H1209" s="9"/>
      <c r="I1209" s="9"/>
      <c r="J1209" s="10">
        <f t="shared" ref="J1209:M1209" si="750">ifs(OR($H1209="R",$I1209="N"),"N/A",OR(C1209="A",C1209="B",C1209="C",C1209="U"),3,TRUE,"FLAG")</f>
        <v>3</v>
      </c>
      <c r="K1209" s="10">
        <f t="shared" si="750"/>
        <v>3</v>
      </c>
      <c r="L1209" s="10">
        <f t="shared" si="750"/>
        <v>3</v>
      </c>
      <c r="M1209" s="10" t="str">
        <f t="shared" si="750"/>
        <v>FLAG</v>
      </c>
      <c r="N1209" s="10" t="str">
        <f t="shared" si="2"/>
        <v>25-4186(e) - Elections; Election Campaign Finance; the aggregate amount contributed, in kind or otherwise, by any person for a gubernatorial inauguration shall not exceed $2,000; make such a contribution in the name of another person; knowingly accept a contribution made by one person in the name of another; give or accept any contribution in excess of $10 without knowing the name and address of the contributor; the aggregate of contributions for which the name and address of the contributor is not known shall not exceed 50% of the amount one person may contribute</v>
      </c>
      <c r="O1209" s="10" t="str">
        <f t="shared" si="3"/>
        <v>Elections</v>
      </c>
    </row>
    <row r="1210">
      <c r="A1210" s="7" t="s">
        <v>2196</v>
      </c>
      <c r="B1210" s="8" t="s">
        <v>2197</v>
      </c>
      <c r="C1210" s="8" t="s">
        <v>27</v>
      </c>
      <c r="D1210" s="8" t="s">
        <v>28</v>
      </c>
      <c r="E1210" s="8" t="s">
        <v>19</v>
      </c>
      <c r="F1210" s="8" t="s">
        <v>20</v>
      </c>
      <c r="G1210" s="8" t="s">
        <v>21</v>
      </c>
      <c r="H1210" s="9"/>
      <c r="I1210" s="9"/>
      <c r="J1210" s="10">
        <f t="shared" ref="J1210:M1210" si="751">ifs(OR($H1210="R",$I1210="N"),"N/A",OR(C1210="A",C1210="B",C1210="C",C1210="U"),3,TRUE,"FLAG")</f>
        <v>3</v>
      </c>
      <c r="K1210" s="10">
        <f t="shared" si="751"/>
        <v>3</v>
      </c>
      <c r="L1210" s="10">
        <f t="shared" si="751"/>
        <v>3</v>
      </c>
      <c r="M1210" s="10" t="str">
        <f t="shared" si="751"/>
        <v>FLAG</v>
      </c>
      <c r="N1210" s="10" t="str">
        <f t="shared" si="2"/>
        <v>25-4154(c) - Elections; Election Campaign Finance; the aggregate of contributions for which the name and address of the contributor is not reported under K.S.A. 25-4148 shall not exceed 50% of the amount one individual (other than the candidate or spouse) may contribute to or for a candidate's campaign</v>
      </c>
      <c r="O1210" s="10" t="str">
        <f t="shared" si="3"/>
        <v>Elections</v>
      </c>
    </row>
    <row r="1211">
      <c r="A1211" s="7" t="s">
        <v>2198</v>
      </c>
      <c r="B1211" s="8" t="s">
        <v>2199</v>
      </c>
      <c r="C1211" s="8" t="s">
        <v>27</v>
      </c>
      <c r="D1211" s="8" t="s">
        <v>28</v>
      </c>
      <c r="E1211" s="8" t="s">
        <v>19</v>
      </c>
      <c r="F1211" s="8" t="s">
        <v>20</v>
      </c>
      <c r="G1211" s="8" t="s">
        <v>21</v>
      </c>
      <c r="H1211" s="9"/>
      <c r="I1211" s="9"/>
      <c r="J1211" s="10">
        <f t="shared" ref="J1211:M1211" si="752">ifs(OR($H1211="R",$I1211="N"),"N/A",OR(C1211="A",C1211="B",C1211="C",C1211="U"),3,TRUE,"FLAG")</f>
        <v>3</v>
      </c>
      <c r="K1211" s="10">
        <f t="shared" si="752"/>
        <v>3</v>
      </c>
      <c r="L1211" s="10">
        <f t="shared" si="752"/>
        <v>3</v>
      </c>
      <c r="M1211" s="10" t="str">
        <f t="shared" si="752"/>
        <v>FLAG</v>
      </c>
      <c r="N1211" s="10" t="str">
        <f t="shared" si="2"/>
        <v>25-4161(b) - Elections; Election Campaign Finance; unauthorized disclosure of confidential information pertaining to an alleged violation of a provision of the campaign finance act</v>
      </c>
      <c r="O1211" s="10" t="str">
        <f t="shared" si="3"/>
        <v>Elections</v>
      </c>
    </row>
    <row r="1212">
      <c r="A1212" s="7" t="s">
        <v>2200</v>
      </c>
      <c r="B1212" s="8" t="s">
        <v>2201</v>
      </c>
      <c r="C1212" s="8" t="s">
        <v>19</v>
      </c>
      <c r="D1212" s="8" t="s">
        <v>19</v>
      </c>
      <c r="E1212" s="8" t="s">
        <v>19</v>
      </c>
      <c r="F1212" s="8" t="s">
        <v>20</v>
      </c>
      <c r="G1212" s="8" t="s">
        <v>21</v>
      </c>
      <c r="H1212" s="9"/>
      <c r="I1212" s="9"/>
      <c r="J1212" s="10">
        <f t="shared" ref="J1212:M1212" si="753">ifs(OR($H1212="R",$I1212="N"),"N/A",OR(C1212="A",C1212="B",C1212="C",C1212="U"),3,TRUE,"FLAG")</f>
        <v>3</v>
      </c>
      <c r="K1212" s="10">
        <f t="shared" si="753"/>
        <v>3</v>
      </c>
      <c r="L1212" s="10">
        <f t="shared" si="753"/>
        <v>3</v>
      </c>
      <c r="M1212" s="10" t="str">
        <f t="shared" si="753"/>
        <v>FLAG</v>
      </c>
      <c r="N1212" s="10" t="str">
        <f t="shared" si="2"/>
        <v>25-4169a(a) - Elections; Election Campaign Finance; use of public funds, vehicles, machinery, equipment and supplies and time of certain officers and employees to influence nomination or election of candidate prohibited</v>
      </c>
      <c r="O1212" s="10" t="str">
        <f t="shared" si="3"/>
        <v>Elections</v>
      </c>
    </row>
    <row r="1213">
      <c r="A1213" s="7" t="s">
        <v>2202</v>
      </c>
      <c r="B1213" s="8" t="s">
        <v>2203</v>
      </c>
      <c r="C1213" s="8">
        <v>7.0</v>
      </c>
      <c r="D1213" s="8">
        <v>9.0</v>
      </c>
      <c r="E1213" s="8">
        <v>9.0</v>
      </c>
      <c r="F1213" s="8">
        <v>10.0</v>
      </c>
      <c r="G1213" s="8" t="s">
        <v>21</v>
      </c>
      <c r="H1213" s="9"/>
      <c r="I1213" s="9"/>
      <c r="N1213" s="10" t="str">
        <f t="shared" si="2"/>
        <v>25-2423(a) - Elections; Election Tampering; while being charged with no election duty, make or change any election record</v>
      </c>
      <c r="O1213" s="10" t="str">
        <f t="shared" si="3"/>
        <v>Elections</v>
      </c>
    </row>
    <row r="1214">
      <c r="A1214" s="7" t="s">
        <v>2204</v>
      </c>
      <c r="B1214" s="8" t="s">
        <v>2205</v>
      </c>
      <c r="C1214" s="8" t="s">
        <v>19</v>
      </c>
      <c r="D1214" s="8" t="s">
        <v>19</v>
      </c>
      <c r="E1214" s="8" t="s">
        <v>19</v>
      </c>
      <c r="F1214" s="8" t="s">
        <v>20</v>
      </c>
      <c r="G1214" s="8" t="s">
        <v>21</v>
      </c>
      <c r="H1214" s="9"/>
      <c r="I1214" s="9"/>
      <c r="J1214" s="10">
        <f t="shared" ref="J1214:M1214" si="754">ifs(OR($H1214="R",$I1214="N"),"N/A",OR(C1214="A",C1214="B",C1214="C",C1214="U"),3,TRUE,"FLAG")</f>
        <v>3</v>
      </c>
      <c r="K1214" s="10">
        <f t="shared" si="754"/>
        <v>3</v>
      </c>
      <c r="L1214" s="10">
        <f t="shared" si="754"/>
        <v>3</v>
      </c>
      <c r="M1214" s="10" t="str">
        <f t="shared" si="754"/>
        <v>FLAG</v>
      </c>
      <c r="N1214" s="10" t="str">
        <f t="shared" si="2"/>
        <v>25-2430(a) - Elections; Electioneering</v>
      </c>
      <c r="O1214" s="10" t="str">
        <f t="shared" si="3"/>
        <v>Elections</v>
      </c>
    </row>
    <row r="1215">
      <c r="A1215" s="7" t="s">
        <v>2206</v>
      </c>
      <c r="B1215" s="8" t="s">
        <v>2207</v>
      </c>
      <c r="C1215" s="8">
        <v>9.0</v>
      </c>
      <c r="D1215" s="8">
        <v>10.0</v>
      </c>
      <c r="E1215" s="8">
        <v>10.0</v>
      </c>
      <c r="F1215" s="8">
        <v>10.0</v>
      </c>
      <c r="G1215" s="8" t="s">
        <v>21</v>
      </c>
      <c r="H1215" s="9"/>
      <c r="I1215" s="9"/>
      <c r="N1215" s="10" t="str">
        <f t="shared" si="2"/>
        <v>25-4414(b) - Elections; Electronic Voting System Fraud; intentionally tamper with, alter, disarrange, deface, impair or destroy any electronic or electromechanical system or component part thereof, or any ballot used by such systems</v>
      </c>
      <c r="O1215" s="10" t="str">
        <f t="shared" si="3"/>
        <v>Elections</v>
      </c>
    </row>
    <row r="1216">
      <c r="A1216" s="7" t="s">
        <v>2208</v>
      </c>
      <c r="B1216" s="8" t="s">
        <v>2209</v>
      </c>
      <c r="C1216" s="8">
        <v>9.0</v>
      </c>
      <c r="D1216" s="8">
        <v>10.0</v>
      </c>
      <c r="E1216" s="8">
        <v>10.0</v>
      </c>
      <c r="F1216" s="8">
        <v>10.0</v>
      </c>
      <c r="G1216" s="8" t="s">
        <v>21</v>
      </c>
      <c r="H1216" s="9"/>
      <c r="I1216" s="9"/>
      <c r="N1216" s="10" t="str">
        <f t="shared" si="2"/>
        <v>25-4414(a) - Elections; Electronic Voting System Fraud; unlawful or unauthorized possession of voting equipment, computer programs, operating systems, firmware, software or ballots</v>
      </c>
      <c r="O1216" s="10" t="str">
        <f t="shared" si="3"/>
        <v>Elections</v>
      </c>
    </row>
    <row r="1217">
      <c r="A1217" s="7" t="s">
        <v>2210</v>
      </c>
      <c r="B1217" s="8" t="s">
        <v>2211</v>
      </c>
      <c r="C1217" s="8" t="s">
        <v>27</v>
      </c>
      <c r="D1217" s="8" t="s">
        <v>28</v>
      </c>
      <c r="E1217" s="8" t="s">
        <v>19</v>
      </c>
      <c r="F1217" s="8" t="s">
        <v>20</v>
      </c>
      <c r="G1217" s="8" t="s">
        <v>21</v>
      </c>
      <c r="H1217" s="9"/>
      <c r="I1217" s="9"/>
      <c r="J1217" s="10">
        <f t="shared" ref="J1217:M1217" si="755">ifs(OR($H1217="R",$I1217="N"),"N/A",OR(C1217="A",C1217="B",C1217="C",C1217="U"),3,TRUE,"FLAG")</f>
        <v>3</v>
      </c>
      <c r="K1217" s="10">
        <f t="shared" si="755"/>
        <v>3</v>
      </c>
      <c r="L1217" s="10">
        <f t="shared" si="755"/>
        <v>3</v>
      </c>
      <c r="M1217" s="10" t="str">
        <f t="shared" si="755"/>
        <v>FLAG</v>
      </c>
      <c r="N1217" s="10" t="str">
        <f t="shared" si="2"/>
        <v>25-2424 - Elections; False impersonation as a party official</v>
      </c>
      <c r="O1217" s="10" t="str">
        <f t="shared" si="3"/>
        <v>Elections</v>
      </c>
    </row>
    <row r="1218">
      <c r="A1218" s="7" t="s">
        <v>2212</v>
      </c>
      <c r="B1218" s="8" t="s">
        <v>2213</v>
      </c>
      <c r="C1218" s="8">
        <v>9.0</v>
      </c>
      <c r="D1218" s="8">
        <v>10.0</v>
      </c>
      <c r="E1218" s="8">
        <v>10.0</v>
      </c>
      <c r="F1218" s="8">
        <v>10.0</v>
      </c>
      <c r="G1218" s="8" t="s">
        <v>21</v>
      </c>
      <c r="H1218" s="9"/>
      <c r="I1218" s="9"/>
      <c r="N1218" s="10" t="str">
        <f t="shared" si="2"/>
        <v>25-2431(a) - Elections; False Impersonation of a Voter; representing oneself as another and then voting or attempting such</v>
      </c>
      <c r="O1218" s="10" t="str">
        <f t="shared" si="3"/>
        <v>Elections</v>
      </c>
    </row>
    <row r="1219">
      <c r="A1219" s="7" t="s">
        <v>2214</v>
      </c>
      <c r="B1219" s="8" t="s">
        <v>2215</v>
      </c>
      <c r="C1219" s="8">
        <v>9.0</v>
      </c>
      <c r="D1219" s="8">
        <v>10.0</v>
      </c>
      <c r="E1219" s="8">
        <v>10.0</v>
      </c>
      <c r="F1219" s="8">
        <v>10.0</v>
      </c>
      <c r="G1219" s="8" t="s">
        <v>21</v>
      </c>
      <c r="H1219" s="9"/>
      <c r="I1219" s="9"/>
      <c r="N1219" s="10" t="str">
        <f t="shared" si="2"/>
        <v>25-1122d - Elections; False statement on an advanced voting application for ballot</v>
      </c>
      <c r="O1219" s="10" t="str">
        <f t="shared" si="3"/>
        <v>Elections</v>
      </c>
    </row>
    <row r="1220">
      <c r="A1220" s="7" t="s">
        <v>2216</v>
      </c>
      <c r="B1220" s="8" t="s">
        <v>2217</v>
      </c>
      <c r="C1220" s="8">
        <v>8.0</v>
      </c>
      <c r="D1220" s="8">
        <v>10.0</v>
      </c>
      <c r="E1220" s="8">
        <v>10.0</v>
      </c>
      <c r="F1220" s="8">
        <v>10.0</v>
      </c>
      <c r="G1220" s="8" t="s">
        <v>21</v>
      </c>
      <c r="H1220" s="9"/>
      <c r="I1220" s="9"/>
      <c r="N1220" s="10" t="str">
        <f t="shared" si="2"/>
        <v>25-2412(a) - Elections; Forgery; knowingly, with intent to induce official action, sign or affix any name other than one's own to a certificate of nomination, nomination paper or any petition under the election laws of this state</v>
      </c>
      <c r="O1220" s="10" t="str">
        <f t="shared" si="3"/>
        <v>Elections</v>
      </c>
    </row>
    <row r="1221">
      <c r="A1221" s="7" t="s">
        <v>2218</v>
      </c>
      <c r="B1221" s="8" t="s">
        <v>2219</v>
      </c>
      <c r="C1221" s="8">
        <v>8.0</v>
      </c>
      <c r="D1221" s="8">
        <v>10.0</v>
      </c>
      <c r="E1221" s="8">
        <v>10.0</v>
      </c>
      <c r="F1221" s="8">
        <v>10.0</v>
      </c>
      <c r="G1221" s="8" t="s">
        <v>21</v>
      </c>
      <c r="H1221" s="9"/>
      <c r="I1221" s="9"/>
      <c r="N1221" s="10" t="str">
        <f t="shared" si="2"/>
        <v>25-2412(c) - Elections; Forgery; mark any other person's ballot contrary to the directions of such person</v>
      </c>
      <c r="O1221" s="10" t="str">
        <f t="shared" si="3"/>
        <v>Elections</v>
      </c>
    </row>
    <row r="1222">
      <c r="A1222" s="7" t="s">
        <v>2220</v>
      </c>
      <c r="B1222" s="8" t="s">
        <v>2221</v>
      </c>
      <c r="C1222" s="8">
        <v>8.0</v>
      </c>
      <c r="D1222" s="8">
        <v>10.0</v>
      </c>
      <c r="E1222" s="8">
        <v>10.0</v>
      </c>
      <c r="F1222" s="8">
        <v>10.0</v>
      </c>
      <c r="G1222" s="8" t="s">
        <v>21</v>
      </c>
      <c r="H1222" s="9"/>
      <c r="I1222" s="9"/>
      <c r="N1222" s="10" t="str">
        <f t="shared" si="2"/>
        <v>25-2412(b) - Elections; Forgery; mark any other person's ballot without such person's consent</v>
      </c>
      <c r="O1222" s="10" t="str">
        <f t="shared" si="3"/>
        <v>Elections</v>
      </c>
    </row>
    <row r="1223">
      <c r="A1223" s="7" t="s">
        <v>2222</v>
      </c>
      <c r="B1223" s="8" t="s">
        <v>2223</v>
      </c>
      <c r="C1223" s="8">
        <v>10.0</v>
      </c>
      <c r="D1223" s="8">
        <v>10.0</v>
      </c>
      <c r="E1223" s="8">
        <v>10.0</v>
      </c>
      <c r="F1223" s="8">
        <v>10.0</v>
      </c>
      <c r="G1223" s="8" t="s">
        <v>21</v>
      </c>
      <c r="H1223" s="9"/>
      <c r="I1223" s="9"/>
      <c r="N1223" s="10" t="str">
        <f t="shared" si="2"/>
        <v>25-2420(g) - Elections; Fraud by election officer; declare or otherwise proclaim election result based upon fraudulent, fictitious or illegal votes</v>
      </c>
      <c r="O1223" s="10" t="str">
        <f t="shared" si="3"/>
        <v>Elections</v>
      </c>
    </row>
    <row r="1224">
      <c r="A1224" s="7" t="s">
        <v>2224</v>
      </c>
      <c r="B1224" s="8" t="s">
        <v>2225</v>
      </c>
      <c r="C1224" s="8">
        <v>10.0</v>
      </c>
      <c r="D1224" s="8">
        <v>10.0</v>
      </c>
      <c r="E1224" s="8">
        <v>10.0</v>
      </c>
      <c r="F1224" s="8">
        <v>10.0</v>
      </c>
      <c r="G1224" s="8" t="s">
        <v>21</v>
      </c>
      <c r="H1224" s="9"/>
      <c r="I1224" s="9"/>
      <c r="N1224" s="10" t="str">
        <f t="shared" si="2"/>
        <v>25-2420(f) - Elections; Fraud by election officer; declare or otherwise proclaim false election result</v>
      </c>
      <c r="O1224" s="10" t="str">
        <f t="shared" si="3"/>
        <v>Elections</v>
      </c>
    </row>
    <row r="1225">
      <c r="A1225" s="7" t="s">
        <v>2226</v>
      </c>
      <c r="B1225" s="8" t="s">
        <v>2227</v>
      </c>
      <c r="C1225" s="8">
        <v>10.0</v>
      </c>
      <c r="D1225" s="8">
        <v>10.0</v>
      </c>
      <c r="E1225" s="8">
        <v>10.0</v>
      </c>
      <c r="F1225" s="8">
        <v>10.0</v>
      </c>
      <c r="G1225" s="8" t="s">
        <v>21</v>
      </c>
      <c r="H1225" s="9"/>
      <c r="I1225" s="9"/>
      <c r="N1225" s="10" t="str">
        <f t="shared" si="2"/>
        <v>25-2420(h) - Elections; Fraud by election officer; enter in poll book, registration book or party affiliation list the name of a person not qualified to vote</v>
      </c>
      <c r="O1225" s="10" t="str">
        <f t="shared" si="3"/>
        <v>Elections</v>
      </c>
    </row>
    <row r="1226">
      <c r="A1226" s="7" t="s">
        <v>2228</v>
      </c>
      <c r="B1226" s="8" t="s">
        <v>2229</v>
      </c>
      <c r="C1226" s="8">
        <v>10.0</v>
      </c>
      <c r="D1226" s="8">
        <v>10.0</v>
      </c>
      <c r="E1226" s="8">
        <v>10.0</v>
      </c>
      <c r="F1226" s="8">
        <v>10.0</v>
      </c>
      <c r="G1226" s="8" t="s">
        <v>21</v>
      </c>
      <c r="H1226" s="9"/>
      <c r="I1226" s="9"/>
      <c r="N1226" s="10" t="str">
        <f t="shared" si="2"/>
        <v>25-2420(i) - Elections; Fraud by election officer; enter in poll book, registration book or party affiliation list the name of a person who has not voted when in fact such person has not voted</v>
      </c>
      <c r="O1226" s="10" t="str">
        <f t="shared" si="3"/>
        <v>Elections</v>
      </c>
    </row>
    <row r="1227">
      <c r="A1227" s="7" t="s">
        <v>2230</v>
      </c>
      <c r="B1227" s="8" t="s">
        <v>2231</v>
      </c>
      <c r="C1227" s="8">
        <v>10.0</v>
      </c>
      <c r="D1227" s="8">
        <v>10.0</v>
      </c>
      <c r="E1227" s="8">
        <v>10.0</v>
      </c>
      <c r="F1227" s="8">
        <v>10.0</v>
      </c>
      <c r="G1227" s="8" t="s">
        <v>21</v>
      </c>
      <c r="H1227" s="9"/>
      <c r="I1227" s="9"/>
      <c r="N1227" s="10" t="str">
        <f t="shared" si="2"/>
        <v>25-2420(e) - Elections; Fraud by election officer; issue, grant, mail or deliver any false, fraudulent or illegal certificate of nomination or certificate of election</v>
      </c>
      <c r="O1227" s="10" t="str">
        <f t="shared" si="3"/>
        <v>Elections</v>
      </c>
    </row>
    <row r="1228">
      <c r="A1228" s="7" t="s">
        <v>2232</v>
      </c>
      <c r="B1228" s="8" t="s">
        <v>2233</v>
      </c>
      <c r="C1228" s="8">
        <v>10.0</v>
      </c>
      <c r="D1228" s="8">
        <v>10.0</v>
      </c>
      <c r="E1228" s="8">
        <v>10.0</v>
      </c>
      <c r="F1228" s="8">
        <v>10.0</v>
      </c>
      <c r="G1228" s="8" t="s">
        <v>21</v>
      </c>
      <c r="H1228" s="9"/>
      <c r="I1228" s="9"/>
      <c r="N1228" s="10" t="str">
        <f t="shared" si="2"/>
        <v>25-2420(c) - Elections; Fraud by election officer; possess falsely made, altered, forged or counterfeit poll books, registration books, party affiliation lists, election abstracts or returns or any other election papers</v>
      </c>
      <c r="O1228" s="10" t="str">
        <f t="shared" si="3"/>
        <v>Elections</v>
      </c>
    </row>
    <row r="1229">
      <c r="A1229" s="7" t="s">
        <v>2234</v>
      </c>
      <c r="B1229" s="8" t="s">
        <v>2235</v>
      </c>
      <c r="C1229" s="8">
        <v>10.0</v>
      </c>
      <c r="D1229" s="8">
        <v>10.0</v>
      </c>
      <c r="E1229" s="8">
        <v>10.0</v>
      </c>
      <c r="F1229" s="8">
        <v>10.0</v>
      </c>
      <c r="G1229" s="8" t="s">
        <v>21</v>
      </c>
      <c r="H1229" s="9"/>
      <c r="I1229" s="9"/>
      <c r="N1229" s="10" t="str">
        <f t="shared" si="2"/>
        <v>25-2420(a) - Elections; Fraud by election officer; receive vote by a person not registered otherwise not qualified to vote</v>
      </c>
      <c r="O1229" s="10" t="str">
        <f t="shared" si="3"/>
        <v>Elections</v>
      </c>
    </row>
    <row r="1230">
      <c r="A1230" s="7" t="s">
        <v>2236</v>
      </c>
      <c r="B1230" s="8" t="s">
        <v>2237</v>
      </c>
      <c r="C1230" s="8">
        <v>10.0</v>
      </c>
      <c r="D1230" s="8">
        <v>10.0</v>
      </c>
      <c r="E1230" s="8">
        <v>10.0</v>
      </c>
      <c r="F1230" s="8">
        <v>10.0</v>
      </c>
      <c r="G1230" s="8" t="s">
        <v>21</v>
      </c>
      <c r="H1230" s="9"/>
      <c r="I1230" s="9"/>
      <c r="N1230" s="10" t="str">
        <f t="shared" si="2"/>
        <v>25-2420(b) - Elections; Fraud by election officer; receive vote offered by a person who voted previously in same election</v>
      </c>
      <c r="O1230" s="10" t="str">
        <f t="shared" si="3"/>
        <v>Elections</v>
      </c>
    </row>
    <row r="1231">
      <c r="A1231" s="7" t="s">
        <v>2238</v>
      </c>
      <c r="B1231" s="8" t="s">
        <v>2239</v>
      </c>
      <c r="C1231" s="8">
        <v>10.0</v>
      </c>
      <c r="D1231" s="8">
        <v>10.0</v>
      </c>
      <c r="E1231" s="8">
        <v>10.0</v>
      </c>
      <c r="F1231" s="8">
        <v>10.0</v>
      </c>
      <c r="G1231" s="8" t="s">
        <v>21</v>
      </c>
      <c r="H1231" s="9"/>
      <c r="I1231" s="9"/>
      <c r="N1231" s="10" t="str">
        <f t="shared" si="2"/>
        <v>25-2420(d) - Elections; Fraud by election officer; receive, canvass, count or tally any ballots, votes or election returns which are fraudulent, forged, counterfeited or illegal</v>
      </c>
      <c r="O1231" s="10" t="str">
        <f t="shared" si="3"/>
        <v>Elections</v>
      </c>
    </row>
    <row r="1232">
      <c r="A1232" s="7" t="s">
        <v>2240</v>
      </c>
      <c r="B1232" s="8" t="s">
        <v>2241</v>
      </c>
      <c r="C1232" s="8">
        <v>7.0</v>
      </c>
      <c r="D1232" s="8">
        <v>9.0</v>
      </c>
      <c r="E1232" s="8">
        <v>9.0</v>
      </c>
      <c r="F1232" s="8">
        <v>10.0</v>
      </c>
      <c r="G1232" s="8" t="s">
        <v>21</v>
      </c>
      <c r="H1232" s="9"/>
      <c r="I1232" s="9"/>
      <c r="N1232" s="10" t="str">
        <f t="shared" si="2"/>
        <v>25-2434(a)(4) - Elections; Intentionally inducing or aiding any person to vote in more than one jurisdiction in United States in election held on  particular date</v>
      </c>
      <c r="O1232" s="10" t="str">
        <f t="shared" si="3"/>
        <v>Elections</v>
      </c>
    </row>
    <row r="1233">
      <c r="A1233" s="7" t="s">
        <v>2242</v>
      </c>
      <c r="B1233" s="8" t="s">
        <v>2243</v>
      </c>
      <c r="C1233" s="8">
        <v>7.0</v>
      </c>
      <c r="D1233" s="8">
        <v>9.0</v>
      </c>
      <c r="E1233" s="8">
        <v>9.0</v>
      </c>
      <c r="F1233" s="8">
        <v>10.0</v>
      </c>
      <c r="G1233" s="8" t="s">
        <v>21</v>
      </c>
      <c r="H1233" s="9"/>
      <c r="I1233" s="9"/>
      <c r="N1233" s="10" t="str">
        <f t="shared" si="2"/>
        <v>25-2434(a)(3) - Elections; Intentionally inducing or aiding any person to vote more than once in same jurisdiction in election held on particular date</v>
      </c>
      <c r="O1233" s="10" t="str">
        <f t="shared" si="3"/>
        <v>Elections</v>
      </c>
    </row>
    <row r="1234">
      <c r="A1234" s="7" t="s">
        <v>2244</v>
      </c>
      <c r="B1234" s="8" t="s">
        <v>2245</v>
      </c>
      <c r="C1234" s="8" t="s">
        <v>27</v>
      </c>
      <c r="D1234" s="8" t="s">
        <v>28</v>
      </c>
      <c r="E1234" s="8" t="s">
        <v>19</v>
      </c>
      <c r="F1234" s="8" t="s">
        <v>20</v>
      </c>
      <c r="G1234" s="8" t="s">
        <v>21</v>
      </c>
      <c r="H1234" s="9"/>
      <c r="I1234" s="9"/>
      <c r="J1234" s="10">
        <f t="shared" ref="J1234:M1234" si="756">ifs(OR($H1234="R",$I1234="N"),"N/A",OR(C1234="A",C1234="B",C1234="C",C1234="U"),3,TRUE,"FLAG")</f>
        <v>3</v>
      </c>
      <c r="K1234" s="10">
        <f t="shared" si="756"/>
        <v>3</v>
      </c>
      <c r="L1234" s="10">
        <f t="shared" si="756"/>
        <v>3</v>
      </c>
      <c r="M1234" s="10" t="str">
        <f t="shared" si="756"/>
        <v>FLAG</v>
      </c>
      <c r="N1234" s="10" t="str">
        <f t="shared" si="2"/>
        <v>25-418 - Elections; Intentionally obstructing an employee in his or her exercise of voting privilege or imposing a penalty upon an employee exercising his or her voting privilege</v>
      </c>
      <c r="O1234" s="10" t="str">
        <f t="shared" si="3"/>
        <v>Elections</v>
      </c>
    </row>
    <row r="1235">
      <c r="A1235" s="7" t="s">
        <v>2246</v>
      </c>
      <c r="B1235" s="8" t="s">
        <v>2247</v>
      </c>
      <c r="C1235" s="8">
        <v>7.0</v>
      </c>
      <c r="D1235" s="8">
        <v>9.0</v>
      </c>
      <c r="E1235" s="8">
        <v>9.0</v>
      </c>
      <c r="F1235" s="8">
        <v>10.0</v>
      </c>
      <c r="G1235" s="8" t="s">
        <v>21</v>
      </c>
      <c r="H1235" s="9"/>
      <c r="I1235" s="9"/>
      <c r="N1235" s="10" t="str">
        <f t="shared" si="2"/>
        <v>25-2434(a)(2) - Elections; Intentionally voting or attempting to vote in more than one jurisdiction in United States in election held on particular date</v>
      </c>
      <c r="O1235" s="10" t="str">
        <f t="shared" si="3"/>
        <v>Elections</v>
      </c>
    </row>
    <row r="1236">
      <c r="A1236" s="7" t="s">
        <v>2248</v>
      </c>
      <c r="B1236" s="8" t="s">
        <v>2249</v>
      </c>
      <c r="C1236" s="8">
        <v>7.0</v>
      </c>
      <c r="D1236" s="8">
        <v>9.0</v>
      </c>
      <c r="E1236" s="8">
        <v>9.0</v>
      </c>
      <c r="F1236" s="8">
        <v>10.0</v>
      </c>
      <c r="G1236" s="8" t="s">
        <v>21</v>
      </c>
      <c r="H1236" s="9"/>
      <c r="I1236" s="9"/>
      <c r="N1236" s="10" t="str">
        <f t="shared" si="2"/>
        <v>25-2434(a)(1) - Elections; Intentionally voting or attempting to vote more than once in same jurisdiction in election held on particular date</v>
      </c>
      <c r="O1236" s="10" t="str">
        <f t="shared" si="3"/>
        <v>Elections</v>
      </c>
    </row>
    <row r="1237">
      <c r="A1237" s="7" t="s">
        <v>2250</v>
      </c>
      <c r="B1237" s="8" t="s">
        <v>2251</v>
      </c>
      <c r="C1237" s="8">
        <v>9.0</v>
      </c>
      <c r="D1237" s="8">
        <v>10.0</v>
      </c>
      <c r="E1237" s="8">
        <v>10.0</v>
      </c>
      <c r="F1237" s="8">
        <v>10.0</v>
      </c>
      <c r="G1237" s="8" t="s">
        <v>21</v>
      </c>
      <c r="H1237" s="9"/>
      <c r="I1237" s="9"/>
      <c r="N1237" s="10" t="str">
        <f t="shared" si="2"/>
        <v>25-1128(d) - Elections; Intercepting, interfering with, or delaying the transmission of advance voting ballots from the county election officer to the voter</v>
      </c>
      <c r="O1237" s="10" t="str">
        <f t="shared" si="3"/>
        <v>Elections</v>
      </c>
    </row>
    <row r="1238">
      <c r="A1238" s="7" t="s">
        <v>2252</v>
      </c>
      <c r="B1238" s="8" t="s">
        <v>2253</v>
      </c>
      <c r="C1238" s="8">
        <v>9.0</v>
      </c>
      <c r="D1238" s="8">
        <v>10.0</v>
      </c>
      <c r="E1238" s="8">
        <v>10.0</v>
      </c>
      <c r="F1238" s="8">
        <v>10.0</v>
      </c>
      <c r="G1238" s="8" t="s">
        <v>21</v>
      </c>
      <c r="H1238" s="9"/>
      <c r="I1238" s="9"/>
      <c r="N1238" s="10" t="str">
        <f t="shared" si="2"/>
        <v>25-1128(b) - Elections; Interfering with/delaying the transmission of any advance voting ballot application to the county election officer, or mailing, faxing or sending the application to a place other than the county election office</v>
      </c>
      <c r="O1238" s="10" t="str">
        <f t="shared" si="3"/>
        <v>Elections</v>
      </c>
    </row>
    <row r="1239">
      <c r="A1239" s="7" t="s">
        <v>2254</v>
      </c>
      <c r="B1239" s="8" t="s">
        <v>2255</v>
      </c>
      <c r="C1239" s="8">
        <v>7.0</v>
      </c>
      <c r="D1239" s="8">
        <v>9.0</v>
      </c>
      <c r="E1239" s="8">
        <v>9.0</v>
      </c>
      <c r="F1239" s="8">
        <v>10.0</v>
      </c>
      <c r="G1239" s="8" t="s">
        <v>21</v>
      </c>
      <c r="H1239" s="9"/>
      <c r="I1239" s="9"/>
      <c r="N1239" s="10" t="str">
        <f t="shared" si="2"/>
        <v>25-2415(a)(1) - Elections; Intimidation of voters</v>
      </c>
      <c r="O1239" s="10" t="str">
        <f t="shared" si="3"/>
        <v>Elections</v>
      </c>
    </row>
    <row r="1240">
      <c r="A1240" s="7" t="s">
        <v>2256</v>
      </c>
      <c r="B1240" s="8" t="s">
        <v>2257</v>
      </c>
      <c r="C1240" s="8">
        <v>7.0</v>
      </c>
      <c r="D1240" s="8">
        <v>9.0</v>
      </c>
      <c r="E1240" s="8">
        <v>9.0</v>
      </c>
      <c r="F1240" s="8">
        <v>10.0</v>
      </c>
      <c r="G1240" s="8" t="s">
        <v>21</v>
      </c>
      <c r="H1240" s="9"/>
      <c r="I1240" s="9"/>
      <c r="N1240" s="10" t="str">
        <f t="shared" si="2"/>
        <v>25-2415(a)(2) - Elections; Intimidation of voters using media for false information</v>
      </c>
      <c r="O1240" s="10" t="str">
        <f t="shared" si="3"/>
        <v>Elections</v>
      </c>
    </row>
    <row r="1241">
      <c r="A1241" s="7" t="s">
        <v>2258</v>
      </c>
      <c r="B1241" s="8" t="s">
        <v>2259</v>
      </c>
      <c r="C1241" s="8">
        <v>9.0</v>
      </c>
      <c r="D1241" s="8">
        <v>10.0</v>
      </c>
      <c r="E1241" s="8">
        <v>10.0</v>
      </c>
      <c r="F1241" s="8">
        <v>10.0</v>
      </c>
      <c r="G1241" s="8" t="s">
        <v>21</v>
      </c>
      <c r="H1241" s="9"/>
      <c r="I1241" s="9"/>
      <c r="N1241" s="10" t="str">
        <f t="shared" si="2"/>
        <v>25-1128(f) - Elections; Knowingly and falsely affirm, declare or subscribe to material fact in affirmation form for advance voting ballot</v>
      </c>
      <c r="O1241" s="10" t="str">
        <f t="shared" si="3"/>
        <v>Elections</v>
      </c>
    </row>
    <row r="1242">
      <c r="A1242" s="7" t="s">
        <v>2260</v>
      </c>
      <c r="B1242" s="8" t="s">
        <v>2261</v>
      </c>
      <c r="C1242" s="8" t="s">
        <v>27</v>
      </c>
      <c r="D1242" s="8" t="s">
        <v>28</v>
      </c>
      <c r="E1242" s="8" t="s">
        <v>19</v>
      </c>
      <c r="F1242" s="8" t="s">
        <v>20</v>
      </c>
      <c r="G1242" s="8" t="s">
        <v>21</v>
      </c>
      <c r="H1242" s="9"/>
      <c r="I1242" s="9"/>
      <c r="J1242" s="10">
        <f t="shared" ref="J1242:M1242" si="757">ifs(OR($H1242="R",$I1242="N"),"N/A",OR(C1242="A",C1242="B",C1242="C",C1242="U"),3,TRUE,"FLAG")</f>
        <v>3</v>
      </c>
      <c r="K1242" s="10">
        <f t="shared" si="757"/>
        <v>3</v>
      </c>
      <c r="L1242" s="10">
        <f t="shared" si="757"/>
        <v>3</v>
      </c>
      <c r="M1242" s="10" t="str">
        <f t="shared" si="757"/>
        <v>FLAG</v>
      </c>
      <c r="N1242" s="10" t="str">
        <f t="shared" si="2"/>
        <v>25-2427 - Elections; Marking ballots to identify</v>
      </c>
      <c r="O1242" s="10" t="str">
        <f t="shared" si="3"/>
        <v>Elections</v>
      </c>
    </row>
    <row r="1243">
      <c r="A1243" s="7" t="s">
        <v>2262</v>
      </c>
      <c r="B1243" s="8" t="s">
        <v>2263</v>
      </c>
      <c r="C1243" s="8">
        <v>9.0</v>
      </c>
      <c r="D1243" s="8">
        <v>10.0</v>
      </c>
      <c r="E1243" s="8">
        <v>10.0</v>
      </c>
      <c r="F1243" s="8">
        <v>10.0</v>
      </c>
      <c r="G1243" s="8" t="s">
        <v>21</v>
      </c>
      <c r="H1243" s="9"/>
      <c r="I1243" s="9"/>
      <c r="N1243" s="10" t="str">
        <f t="shared" si="2"/>
        <v>25-1128(a) - Elections; Marking or transmitting to the county election officer more than one advance voting ballot</v>
      </c>
      <c r="O1243" s="10" t="str">
        <f t="shared" si="3"/>
        <v>Elections</v>
      </c>
    </row>
    <row r="1244">
      <c r="A1244" s="7" t="s">
        <v>2264</v>
      </c>
      <c r="B1244" s="8" t="s">
        <v>2265</v>
      </c>
      <c r="C1244" s="8" t="s">
        <v>28</v>
      </c>
      <c r="D1244" s="8" t="s">
        <v>19</v>
      </c>
      <c r="E1244" s="8" t="s">
        <v>19</v>
      </c>
      <c r="F1244" s="8" t="s">
        <v>20</v>
      </c>
      <c r="G1244" s="8" t="s">
        <v>21</v>
      </c>
      <c r="H1244" s="9"/>
      <c r="I1244" s="9"/>
      <c r="J1244" s="10">
        <f t="shared" ref="J1244:M1244" si="758">ifs(OR($H1244="R",$I1244="N"),"N/A",OR(C1244="A",C1244="B",C1244="C",C1244="U"),3,TRUE,"FLAG")</f>
        <v>3</v>
      </c>
      <c r="K1244" s="10">
        <f t="shared" si="758"/>
        <v>3</v>
      </c>
      <c r="L1244" s="10">
        <f t="shared" si="758"/>
        <v>3</v>
      </c>
      <c r="M1244" s="10" t="str">
        <f t="shared" si="758"/>
        <v>FLAG</v>
      </c>
      <c r="N1244" s="10" t="str">
        <f t="shared" si="2"/>
        <v>25-2419(a) - Elections; Misconduct of an election officer; being grossly neglectful in election duties</v>
      </c>
      <c r="O1244" s="10" t="str">
        <f t="shared" si="3"/>
        <v>Elections</v>
      </c>
    </row>
    <row r="1245">
      <c r="A1245" s="7" t="s">
        <v>2266</v>
      </c>
      <c r="B1245" s="8" t="s">
        <v>2267</v>
      </c>
      <c r="C1245" s="8" t="s">
        <v>28</v>
      </c>
      <c r="D1245" s="8" t="s">
        <v>19</v>
      </c>
      <c r="E1245" s="8" t="s">
        <v>19</v>
      </c>
      <c r="F1245" s="8" t="s">
        <v>20</v>
      </c>
      <c r="G1245" s="8" t="s">
        <v>21</v>
      </c>
      <c r="H1245" s="9"/>
      <c r="I1245" s="9"/>
      <c r="J1245" s="10">
        <f t="shared" ref="J1245:M1245" si="759">ifs(OR($H1245="R",$I1245="N"),"N/A",OR(C1245="A",C1245="B",C1245="C",C1245="U"),3,TRUE,"FLAG")</f>
        <v>3</v>
      </c>
      <c r="K1245" s="10">
        <f t="shared" si="759"/>
        <v>3</v>
      </c>
      <c r="L1245" s="10">
        <f t="shared" si="759"/>
        <v>3</v>
      </c>
      <c r="M1245" s="10" t="str">
        <f t="shared" si="759"/>
        <v>FLAG</v>
      </c>
      <c r="N1245" s="10" t="str">
        <f t="shared" si="2"/>
        <v>25-2419(c) - Elections; Misconduct of an election officer; changing the ballot of a voter</v>
      </c>
      <c r="O1245" s="10" t="str">
        <f t="shared" si="3"/>
        <v>Elections</v>
      </c>
    </row>
    <row r="1246">
      <c r="A1246" s="7" t="s">
        <v>2268</v>
      </c>
      <c r="B1246" s="8" t="s">
        <v>2269</v>
      </c>
      <c r="C1246" s="8" t="s">
        <v>28</v>
      </c>
      <c r="D1246" s="8" t="s">
        <v>19</v>
      </c>
      <c r="E1246" s="8" t="s">
        <v>19</v>
      </c>
      <c r="F1246" s="8" t="s">
        <v>20</v>
      </c>
      <c r="G1246" s="8" t="s">
        <v>21</v>
      </c>
      <c r="H1246" s="9"/>
      <c r="I1246" s="9"/>
      <c r="J1246" s="10">
        <f t="shared" ref="J1246:M1246" si="760">ifs(OR($H1246="R",$I1246="N"),"N/A",OR(C1246="A",C1246="B",C1246="C",C1246="U"),3,TRUE,"FLAG")</f>
        <v>3</v>
      </c>
      <c r="K1246" s="10">
        <f t="shared" si="760"/>
        <v>3</v>
      </c>
      <c r="L1246" s="10">
        <f t="shared" si="760"/>
        <v>3</v>
      </c>
      <c r="M1246" s="10" t="str">
        <f t="shared" si="760"/>
        <v>FLAG</v>
      </c>
      <c r="N1246" s="10" t="str">
        <f t="shared" si="2"/>
        <v>25-2419(b) - Elections; Misconduct of an election officer; furnish a voter with a ballot/informing such voter that any of its contents are different from that which appear thereon with intent to induce such voter to vote contrary to such voter's inclinations</v>
      </c>
      <c r="O1246" s="10" t="str">
        <f t="shared" si="3"/>
        <v>Elections</v>
      </c>
    </row>
    <row r="1247">
      <c r="A1247" s="7" t="s">
        <v>2270</v>
      </c>
      <c r="B1247" s="8" t="s">
        <v>2271</v>
      </c>
      <c r="C1247" s="8" t="s">
        <v>28</v>
      </c>
      <c r="D1247" s="8" t="s">
        <v>19</v>
      </c>
      <c r="E1247" s="8" t="s">
        <v>19</v>
      </c>
      <c r="F1247" s="8" t="s">
        <v>20</v>
      </c>
      <c r="G1247" s="8" t="s">
        <v>21</v>
      </c>
      <c r="H1247" s="9"/>
      <c r="I1247" s="9"/>
      <c r="J1247" s="10">
        <f t="shared" ref="J1247:M1247" si="761">ifs(OR($H1247="R",$I1247="N"),"N/A",OR(C1247="A",C1247="B",C1247="C",C1247="U"),3,TRUE,"FLAG")</f>
        <v>3</v>
      </c>
      <c r="K1247" s="10">
        <f t="shared" si="761"/>
        <v>3</v>
      </c>
      <c r="L1247" s="10">
        <f t="shared" si="761"/>
        <v>3</v>
      </c>
      <c r="M1247" s="10" t="str">
        <f t="shared" si="761"/>
        <v>FLAG</v>
      </c>
      <c r="N1247" s="10" t="str">
        <f t="shared" si="2"/>
        <v>25-2419(e) - Elections; Misconduct of an election officer; preventing a qualified elector from voting</v>
      </c>
      <c r="O1247" s="10" t="str">
        <f t="shared" si="3"/>
        <v>Elections</v>
      </c>
    </row>
    <row r="1248">
      <c r="A1248" s="7" t="s">
        <v>2272</v>
      </c>
      <c r="B1248" s="8" t="s">
        <v>2273</v>
      </c>
      <c r="C1248" s="8" t="s">
        <v>28</v>
      </c>
      <c r="D1248" s="8" t="s">
        <v>19</v>
      </c>
      <c r="E1248" s="8" t="s">
        <v>19</v>
      </c>
      <c r="F1248" s="8" t="s">
        <v>20</v>
      </c>
      <c r="G1248" s="8" t="s">
        <v>21</v>
      </c>
      <c r="H1248" s="9"/>
      <c r="I1248" s="9"/>
      <c r="J1248" s="10">
        <f t="shared" ref="J1248:M1248" si="762">ifs(OR($H1248="R",$I1248="N"),"N/A",OR(C1248="A",C1248="B",C1248="C",C1248="U"),3,TRUE,"FLAG")</f>
        <v>3</v>
      </c>
      <c r="K1248" s="10">
        <f t="shared" si="762"/>
        <v>3</v>
      </c>
      <c r="L1248" s="10">
        <f t="shared" si="762"/>
        <v>3</v>
      </c>
      <c r="M1248" s="10" t="str">
        <f t="shared" si="762"/>
        <v>FLAG</v>
      </c>
      <c r="N1248" s="10" t="str">
        <f t="shared" si="2"/>
        <v>25-2419(f) - Elections; Misconduct of an election officer; refusing to receive vote of a qualified elector when duly offered</v>
      </c>
      <c r="O1248" s="10" t="str">
        <f t="shared" si="3"/>
        <v>Elections</v>
      </c>
    </row>
    <row r="1249">
      <c r="A1249" s="7" t="s">
        <v>2274</v>
      </c>
      <c r="B1249" s="8" t="s">
        <v>2275</v>
      </c>
      <c r="C1249" s="8" t="s">
        <v>28</v>
      </c>
      <c r="D1249" s="8" t="s">
        <v>19</v>
      </c>
      <c r="E1249" s="8" t="s">
        <v>19</v>
      </c>
      <c r="F1249" s="8" t="s">
        <v>20</v>
      </c>
      <c r="G1249" s="8" t="s">
        <v>21</v>
      </c>
      <c r="H1249" s="9"/>
      <c r="I1249" s="9"/>
      <c r="J1249" s="10">
        <f t="shared" ref="J1249:M1249" si="763">ifs(OR($H1249="R",$I1249="N"),"N/A",OR(C1249="A",C1249="B",C1249="C",C1249="U"),3,TRUE,"FLAG")</f>
        <v>3</v>
      </c>
      <c r="K1249" s="10">
        <f t="shared" si="763"/>
        <v>3</v>
      </c>
      <c r="L1249" s="10">
        <f t="shared" si="763"/>
        <v>3</v>
      </c>
      <c r="M1249" s="10" t="str">
        <f t="shared" si="763"/>
        <v>FLAG</v>
      </c>
      <c r="N1249" s="10" t="str">
        <f t="shared" si="2"/>
        <v>25-2419(d) - Elections; Misconduct of an election officer; willfully permit any person to testify as a witness or make an affidavit contrary to law</v>
      </c>
      <c r="O1249" s="10" t="str">
        <f t="shared" si="3"/>
        <v>Elections</v>
      </c>
    </row>
    <row r="1250">
      <c r="A1250" s="7" t="s">
        <v>2276</v>
      </c>
      <c r="B1250" s="8" t="s">
        <v>2277</v>
      </c>
      <c r="C1250" s="8">
        <v>9.0</v>
      </c>
      <c r="D1250" s="8">
        <v>10.0</v>
      </c>
      <c r="E1250" s="8">
        <v>10.0</v>
      </c>
      <c r="F1250" s="8">
        <v>10.0</v>
      </c>
      <c r="G1250" s="8" t="s">
        <v>21</v>
      </c>
      <c r="H1250" s="9"/>
      <c r="I1250" s="9"/>
      <c r="N1250" s="10" t="str">
        <f t="shared" si="2"/>
        <v>25-4612(b) - Elections; Optical Scanning Equipment Fraud; intentionally tamper with, alter, disarrange, deface, impair or destroy any optical scanning equipment or component part thereof, or any ballot, operating system, firmware or software used by such system</v>
      </c>
      <c r="O1250" s="10" t="str">
        <f t="shared" si="3"/>
        <v>Elections</v>
      </c>
    </row>
    <row r="1251">
      <c r="A1251" s="7" t="s">
        <v>2278</v>
      </c>
      <c r="B1251" s="8" t="s">
        <v>2279</v>
      </c>
      <c r="C1251" s="8">
        <v>9.0</v>
      </c>
      <c r="D1251" s="8">
        <v>10.0</v>
      </c>
      <c r="E1251" s="8">
        <v>10.0</v>
      </c>
      <c r="F1251" s="8">
        <v>10.0</v>
      </c>
      <c r="G1251" s="8" t="s">
        <v>21</v>
      </c>
      <c r="H1251" s="9"/>
      <c r="I1251" s="9"/>
      <c r="N1251" s="10" t="str">
        <f t="shared" si="2"/>
        <v>25-4612(a) - Elections; Optical Scanning Equipment Fraud; unlawful or unauthorized possession of ballots, optical scanning equipment, computer programs, operating systems, firmware or software</v>
      </c>
      <c r="O1251" s="10" t="str">
        <f t="shared" si="3"/>
        <v>Elections</v>
      </c>
    </row>
    <row r="1252">
      <c r="A1252" s="7" t="s">
        <v>2280</v>
      </c>
      <c r="B1252" s="8" t="s">
        <v>2281</v>
      </c>
      <c r="C1252" s="8" t="s">
        <v>18</v>
      </c>
      <c r="D1252" s="8" t="s">
        <v>18</v>
      </c>
      <c r="E1252" s="8" t="s">
        <v>19</v>
      </c>
      <c r="F1252" s="8" t="s">
        <v>20</v>
      </c>
      <c r="G1252" s="8" t="s">
        <v>21</v>
      </c>
      <c r="H1252" s="9"/>
      <c r="I1252" s="9"/>
      <c r="J1252" s="10">
        <f t="shared" ref="J1252:M1252" si="764">ifs(OR($H1252="R",$I1252="N"),"N/A",OR(C1252="A",C1252="B",C1252="C",C1252="U"),3,TRUE,"FLAG")</f>
        <v>3</v>
      </c>
      <c r="K1252" s="10">
        <f t="shared" si="764"/>
        <v>3</v>
      </c>
      <c r="L1252" s="10">
        <f t="shared" si="764"/>
        <v>3</v>
      </c>
      <c r="M1252" s="10" t="str">
        <f t="shared" si="764"/>
        <v>FLAG</v>
      </c>
      <c r="N1252" s="10" t="str">
        <f t="shared" si="2"/>
        <v>25-901 - Elections; Organizations promoting or opposing candidates or propositions required to have treasurer and keep accounts of receipts and expenditures and file annual statements</v>
      </c>
      <c r="O1252" s="10" t="str">
        <f t="shared" si="3"/>
        <v>Elections</v>
      </c>
    </row>
    <row r="1253">
      <c r="A1253" s="7" t="s">
        <v>2282</v>
      </c>
      <c r="B1253" s="8" t="s">
        <v>2283</v>
      </c>
      <c r="C1253" s="8">
        <v>9.0</v>
      </c>
      <c r="D1253" s="8">
        <v>10.0</v>
      </c>
      <c r="E1253" s="8">
        <v>10.0</v>
      </c>
      <c r="F1253" s="8">
        <v>10.0</v>
      </c>
      <c r="G1253" s="8" t="s">
        <v>21</v>
      </c>
      <c r="H1253" s="9"/>
      <c r="I1253" s="9"/>
      <c r="N1253" s="10" t="str">
        <f t="shared" si="2"/>
        <v>25-2411(c) - Elections; Perjury; falsely swearing, affirming, declaring or subscribing; statements in an affidavit prescribed by chapter 25 of the K.S.A. or other election law of the state, or by the secretary of state or county election officer under election laws of this state</v>
      </c>
      <c r="O1253" s="10" t="str">
        <f t="shared" si="3"/>
        <v>Elections</v>
      </c>
    </row>
    <row r="1254">
      <c r="A1254" s="7" t="s">
        <v>2284</v>
      </c>
      <c r="B1254" s="8" t="s">
        <v>2285</v>
      </c>
      <c r="C1254" s="8">
        <v>9.0</v>
      </c>
      <c r="D1254" s="8">
        <v>10.0</v>
      </c>
      <c r="E1254" s="8">
        <v>10.0</v>
      </c>
      <c r="F1254" s="8">
        <v>10.0</v>
      </c>
      <c r="G1254" s="8" t="s">
        <v>21</v>
      </c>
      <c r="H1254" s="9"/>
      <c r="I1254" s="9"/>
      <c r="N1254" s="10" t="str">
        <f t="shared" si="2"/>
        <v>25-2411(d) - Elections; Perjury; falsely swearing, affirming, declaring or subscribing; statements in answer to questions by a county election officer or deputy county election officer relating to application for voter registration of a person</v>
      </c>
      <c r="O1254" s="10" t="str">
        <f t="shared" si="3"/>
        <v>Elections</v>
      </c>
    </row>
    <row r="1255">
      <c r="A1255" s="7" t="s">
        <v>2286</v>
      </c>
      <c r="B1255" s="8" t="s">
        <v>2287</v>
      </c>
      <c r="C1255" s="8">
        <v>9.0</v>
      </c>
      <c r="D1255" s="8">
        <v>10.0</v>
      </c>
      <c r="E1255" s="8">
        <v>10.0</v>
      </c>
      <c r="F1255" s="8">
        <v>10.0</v>
      </c>
      <c r="G1255" s="8" t="s">
        <v>21</v>
      </c>
      <c r="H1255" s="9"/>
      <c r="I1255" s="9"/>
      <c r="N1255" s="10" t="str">
        <f t="shared" si="2"/>
        <v>25-2411(e) - Elections; Perjury; falsely swearing, affirming, declaring or subscribing; statements in answer to questions by an election board member to a person asking for voter assistance</v>
      </c>
      <c r="O1255" s="10" t="str">
        <f t="shared" si="3"/>
        <v>Elections</v>
      </c>
    </row>
    <row r="1256">
      <c r="A1256" s="7" t="s">
        <v>2288</v>
      </c>
      <c r="B1256" s="8" t="s">
        <v>2289</v>
      </c>
      <c r="C1256" s="8">
        <v>9.0</v>
      </c>
      <c r="D1256" s="8">
        <v>10.0</v>
      </c>
      <c r="E1256" s="8">
        <v>10.0</v>
      </c>
      <c r="F1256" s="8">
        <v>10.0</v>
      </c>
      <c r="G1256" s="8" t="s">
        <v>21</v>
      </c>
      <c r="H1256" s="9"/>
      <c r="I1256" s="9"/>
      <c r="N1256" s="10" t="str">
        <f t="shared" si="2"/>
        <v>25-2411(a) - Elections; Perjury; falsely swearing, affirming, declaring or subscribing; statements in answer to questions of a person challenged as unqualified to vote</v>
      </c>
      <c r="O1256" s="10" t="str">
        <f t="shared" si="3"/>
        <v>Elections</v>
      </c>
    </row>
    <row r="1257">
      <c r="A1257" s="7" t="s">
        <v>2290</v>
      </c>
      <c r="B1257" s="8" t="s">
        <v>2291</v>
      </c>
      <c r="C1257" s="8">
        <v>9.0</v>
      </c>
      <c r="D1257" s="8">
        <v>10.0</v>
      </c>
      <c r="E1257" s="8">
        <v>10.0</v>
      </c>
      <c r="F1257" s="8">
        <v>10.0</v>
      </c>
      <c r="G1257" s="8" t="s">
        <v>21</v>
      </c>
      <c r="H1257" s="9"/>
      <c r="I1257" s="9"/>
      <c r="N1257" s="10" t="str">
        <f t="shared" si="2"/>
        <v>25-2411(b) - Elections; Perjury; falsely swearing, affirming, declaring or subscribing; statements in answer to questions of a witness concerning the qualifications of a person to vote</v>
      </c>
      <c r="O1257" s="10" t="str">
        <f t="shared" si="3"/>
        <v>Elections</v>
      </c>
    </row>
    <row r="1258">
      <c r="A1258" s="7" t="s">
        <v>2292</v>
      </c>
      <c r="B1258" s="8" t="s">
        <v>2293</v>
      </c>
      <c r="C1258" s="8">
        <v>9.0</v>
      </c>
      <c r="D1258" s="8">
        <v>10.0</v>
      </c>
      <c r="E1258" s="8">
        <v>10.0</v>
      </c>
      <c r="F1258" s="8">
        <v>10.0</v>
      </c>
      <c r="G1258" s="8" t="s">
        <v>21</v>
      </c>
      <c r="H1258" s="9"/>
      <c r="I1258" s="9"/>
      <c r="N1258" s="10" t="str">
        <f t="shared" si="2"/>
        <v>25-2411(f) - Elections; Perjury; falsely swearing, affirming, declaring or subscribing; statements of any witness at an election contest</v>
      </c>
      <c r="O1258" s="10" t="str">
        <f t="shared" si="3"/>
        <v>Elections</v>
      </c>
    </row>
    <row r="1259">
      <c r="A1259" s="7" t="s">
        <v>2294</v>
      </c>
      <c r="B1259" s="8" t="s">
        <v>2295</v>
      </c>
      <c r="C1259" s="8">
        <v>9.0</v>
      </c>
      <c r="D1259" s="8">
        <v>10.0</v>
      </c>
      <c r="E1259" s="8">
        <v>10.0</v>
      </c>
      <c r="F1259" s="8">
        <v>10.0</v>
      </c>
      <c r="G1259" s="8" t="s">
        <v>21</v>
      </c>
      <c r="H1259" s="9"/>
      <c r="I1259" s="9"/>
      <c r="N1259" s="10" t="str">
        <f t="shared" si="2"/>
        <v>25-1124 - Elections; Person assisting a sick, physically disabled or illiterate voter in applying for or marking an advance voting ballot; knowingly and willfully fail to sign and submit the statement required by this section or who exercises undue influence on the voting decision of such voter</v>
      </c>
      <c r="O1259" s="10" t="str">
        <f t="shared" si="3"/>
        <v>Elections</v>
      </c>
    </row>
    <row r="1260">
      <c r="A1260" s="7" t="s">
        <v>2296</v>
      </c>
      <c r="B1260" s="8" t="s">
        <v>2297</v>
      </c>
      <c r="C1260" s="8">
        <v>9.0</v>
      </c>
      <c r="D1260" s="8">
        <v>10.0</v>
      </c>
      <c r="E1260" s="8">
        <v>10.0</v>
      </c>
      <c r="F1260" s="8">
        <v>10.0</v>
      </c>
      <c r="G1260" s="8" t="s">
        <v>21</v>
      </c>
      <c r="H1260" s="9"/>
      <c r="I1260" s="9"/>
      <c r="N1260" s="10" t="str">
        <f t="shared" si="2"/>
        <v>25-1128(c) - Elections; Person other than the voter, marking, signing or transmitting any advance voting ballot or advance voting ballot envelope to the county election officer</v>
      </c>
      <c r="O1260" s="10" t="str">
        <f t="shared" si="3"/>
        <v>Elections</v>
      </c>
    </row>
    <row r="1261">
      <c r="A1261" s="7" t="s">
        <v>2298</v>
      </c>
      <c r="B1261" s="8" t="s">
        <v>2299</v>
      </c>
      <c r="C1261" s="8">
        <v>9.0</v>
      </c>
      <c r="D1261" s="8">
        <v>10.0</v>
      </c>
      <c r="E1261" s="8">
        <v>10.0</v>
      </c>
      <c r="F1261" s="8">
        <v>10.0</v>
      </c>
      <c r="G1261" s="8" t="s">
        <v>21</v>
      </c>
      <c r="H1261" s="9"/>
      <c r="I1261" s="9"/>
      <c r="N1261" s="10" t="str">
        <f t="shared" si="2"/>
        <v>25-2414 - Elections; Possess false or forged election supplies</v>
      </c>
      <c r="O1261" s="10" t="str">
        <f t="shared" si="3"/>
        <v>Elections</v>
      </c>
    </row>
    <row r="1262">
      <c r="A1262" s="7" t="s">
        <v>2300</v>
      </c>
      <c r="B1262" s="8" t="s">
        <v>2301</v>
      </c>
      <c r="C1262" s="8">
        <v>10.0</v>
      </c>
      <c r="D1262" s="8">
        <v>10.0</v>
      </c>
      <c r="E1262" s="8">
        <v>10.0</v>
      </c>
      <c r="F1262" s="8">
        <v>10.0</v>
      </c>
      <c r="G1262" s="8" t="s">
        <v>21</v>
      </c>
      <c r="H1262" s="9"/>
      <c r="I1262" s="9"/>
      <c r="N1262" s="10" t="str">
        <f t="shared" si="2"/>
        <v>25-2426 - Elections; Printing and circulating sample or imitation ballots</v>
      </c>
      <c r="O1262" s="10" t="str">
        <f t="shared" si="3"/>
        <v>Elections</v>
      </c>
    </row>
    <row r="1263">
      <c r="A1263" s="7" t="s">
        <v>2302</v>
      </c>
      <c r="B1263" s="8" t="s">
        <v>2303</v>
      </c>
      <c r="C1263" s="8" t="s">
        <v>28</v>
      </c>
      <c r="D1263" s="8" t="s">
        <v>19</v>
      </c>
      <c r="E1263" s="8" t="s">
        <v>19</v>
      </c>
      <c r="F1263" s="8" t="s">
        <v>20</v>
      </c>
      <c r="G1263" s="8" t="s">
        <v>21</v>
      </c>
      <c r="H1263" s="9"/>
      <c r="I1263" s="9"/>
      <c r="J1263" s="10">
        <f t="shared" ref="J1263:M1263" si="765">ifs(OR($H1263="R",$I1263="N"),"N/A",OR(C1263="A",C1263="B",C1263="C",C1263="U"),3,TRUE,"FLAG")</f>
        <v>3</v>
      </c>
      <c r="K1263" s="10">
        <f t="shared" si="765"/>
        <v>3</v>
      </c>
      <c r="L1263" s="10">
        <f t="shared" si="765"/>
        <v>3</v>
      </c>
      <c r="M1263" s="10" t="str">
        <f t="shared" si="765"/>
        <v>FLAG</v>
      </c>
      <c r="N1263" s="10" t="str">
        <f t="shared" si="2"/>
        <v>25-2316a - Elections; Registration of Voters; false swearing to an affidavit given pursuant to K.S.A. 25-2316c</v>
      </c>
      <c r="O1263" s="10" t="str">
        <f t="shared" si="3"/>
        <v>Elections</v>
      </c>
    </row>
    <row r="1264">
      <c r="A1264" s="7" t="s">
        <v>2304</v>
      </c>
      <c r="B1264" s="8" t="s">
        <v>2305</v>
      </c>
      <c r="C1264" s="8" t="s">
        <v>19</v>
      </c>
      <c r="D1264" s="8" t="s">
        <v>19</v>
      </c>
      <c r="E1264" s="8" t="s">
        <v>19</v>
      </c>
      <c r="F1264" s="8" t="s">
        <v>20</v>
      </c>
      <c r="G1264" s="8" t="s">
        <v>21</v>
      </c>
      <c r="H1264" s="9"/>
      <c r="I1264" s="9"/>
      <c r="J1264" s="10">
        <f t="shared" ref="J1264:M1264" si="766">ifs(OR($H1264="R",$I1264="N"),"N/A",OR(C1264="A",C1264="B",C1264="C",C1264="U"),3,TRUE,"FLAG")</f>
        <v>3</v>
      </c>
      <c r="K1264" s="10">
        <f t="shared" si="766"/>
        <v>3</v>
      </c>
      <c r="L1264" s="10">
        <f t="shared" si="766"/>
        <v>3</v>
      </c>
      <c r="M1264" s="10" t="str">
        <f t="shared" si="766"/>
        <v>FLAG</v>
      </c>
      <c r="N1264" s="10" t="str">
        <f t="shared" si="2"/>
        <v>25-2320a - Elections; Registration of Voters; use of voter registration lists for commercial purposes</v>
      </c>
      <c r="O1264" s="10" t="str">
        <f t="shared" si="3"/>
        <v>Elections</v>
      </c>
    </row>
    <row r="1265">
      <c r="A1265" s="7" t="s">
        <v>2306</v>
      </c>
      <c r="B1265" s="8" t="s">
        <v>2307</v>
      </c>
      <c r="C1265" s="8" t="s">
        <v>28</v>
      </c>
      <c r="D1265" s="8" t="s">
        <v>19</v>
      </c>
      <c r="E1265" s="8" t="s">
        <v>19</v>
      </c>
      <c r="F1265" s="8" t="s">
        <v>20</v>
      </c>
      <c r="G1265" s="8" t="s">
        <v>21</v>
      </c>
      <c r="H1265" s="9"/>
      <c r="I1265" s="9"/>
      <c r="J1265" s="10">
        <f t="shared" ref="J1265:M1265" si="767">ifs(OR($H1265="R",$I1265="N"),"N/A",OR(C1265="A",C1265="B",C1265="C",C1265="U"),3,TRUE,"FLAG")</f>
        <v>3</v>
      </c>
      <c r="K1265" s="10">
        <f t="shared" si="767"/>
        <v>3</v>
      </c>
      <c r="L1265" s="10">
        <f t="shared" si="767"/>
        <v>3</v>
      </c>
      <c r="M1265" s="10" t="str">
        <f t="shared" si="767"/>
        <v>FLAG</v>
      </c>
      <c r="N1265" s="10" t="str">
        <f t="shared" si="2"/>
        <v>25-4321 - Elections; Signing a name other than ones own name to a petition for recall of a local officer, or who knowingly signs more than once for the same proposition at one election, or who signs the petition knowing he or she is not a registered elector</v>
      </c>
      <c r="O1265" s="10" t="str">
        <f t="shared" si="3"/>
        <v>Elections</v>
      </c>
    </row>
    <row r="1266">
      <c r="A1266" s="7" t="s">
        <v>2308</v>
      </c>
      <c r="B1266" s="8" t="s">
        <v>2309</v>
      </c>
      <c r="C1266" s="8" t="s">
        <v>28</v>
      </c>
      <c r="D1266" s="8" t="s">
        <v>19</v>
      </c>
      <c r="E1266" s="8" t="s">
        <v>19</v>
      </c>
      <c r="F1266" s="8" t="s">
        <v>20</v>
      </c>
      <c r="G1266" s="8" t="s">
        <v>21</v>
      </c>
      <c r="H1266" s="9"/>
      <c r="I1266" s="9"/>
      <c r="J1266" s="10">
        <f t="shared" ref="J1266:M1266" si="768">ifs(OR($H1266="R",$I1266="N"),"N/A",OR(C1266="A",C1266="B",C1266="C",C1266="U"),3,TRUE,"FLAG")</f>
        <v>3</v>
      </c>
      <c r="K1266" s="10">
        <f t="shared" si="768"/>
        <v>3</v>
      </c>
      <c r="L1266" s="10">
        <f t="shared" si="768"/>
        <v>3</v>
      </c>
      <c r="M1266" s="10" t="str">
        <f t="shared" si="768"/>
        <v>FLAG</v>
      </c>
      <c r="N1266" s="10" t="str">
        <f t="shared" si="2"/>
        <v>25-4309(b) - Elections; Signing a name other than ones own name to a petition for recall of a state officer, or who knowingly signs more than once for the same proposition at one election, or who signs the petition knowing he or she is not a registered elector</v>
      </c>
      <c r="O1266" s="10" t="str">
        <f t="shared" si="3"/>
        <v>Elections</v>
      </c>
    </row>
    <row r="1267">
      <c r="A1267" s="7" t="s">
        <v>2310</v>
      </c>
      <c r="B1267" s="8" t="s">
        <v>2311</v>
      </c>
      <c r="C1267" s="8">
        <v>10.0</v>
      </c>
      <c r="D1267" s="8">
        <v>10.0</v>
      </c>
      <c r="E1267" s="8">
        <v>10.0</v>
      </c>
      <c r="F1267" s="8">
        <v>10.0</v>
      </c>
      <c r="G1267" s="8" t="s">
        <v>21</v>
      </c>
      <c r="H1267" s="9"/>
      <c r="I1267" s="9"/>
      <c r="N1267" s="10" t="str">
        <f t="shared" si="2"/>
        <v>25-2421(b) - Elections; Suppression; possess of a certificate of nomination, nomination papers or petition for candidacy entitled to be filed under any of the election laws of this state and suppressing, neglecting or failing to file the same at the proper time in the proper office</v>
      </c>
      <c r="O1267" s="10" t="str">
        <f t="shared" si="3"/>
        <v>Elections</v>
      </c>
    </row>
    <row r="1268">
      <c r="A1268" s="7" t="s">
        <v>2312</v>
      </c>
      <c r="B1268" s="8" t="s">
        <v>2313</v>
      </c>
      <c r="C1268" s="8">
        <v>10.0</v>
      </c>
      <c r="D1268" s="8">
        <v>10.0</v>
      </c>
      <c r="E1268" s="8">
        <v>10.0</v>
      </c>
      <c r="F1268" s="8">
        <v>10.0</v>
      </c>
      <c r="G1268" s="8" t="s">
        <v>21</v>
      </c>
      <c r="H1268" s="9"/>
      <c r="I1268" s="9"/>
      <c r="N1268" s="10" t="str">
        <f t="shared" si="2"/>
        <v>25-2421(a) - Elections; Suppression; suppress a certificate of nomination, nomination papers, petition for nomination or any part thereof which has been duly filed</v>
      </c>
      <c r="O1268" s="10" t="str">
        <f t="shared" si="3"/>
        <v>Elections</v>
      </c>
    </row>
    <row r="1269">
      <c r="A1269" s="7" t="s">
        <v>2314</v>
      </c>
      <c r="B1269" s="8" t="s">
        <v>2315</v>
      </c>
      <c r="C1269" s="8">
        <v>10.0</v>
      </c>
      <c r="D1269" s="8">
        <v>10.0</v>
      </c>
      <c r="E1269" s="8">
        <v>10.0</v>
      </c>
      <c r="F1269" s="8">
        <v>10.0</v>
      </c>
      <c r="G1269" s="8" t="s">
        <v>21</v>
      </c>
      <c r="H1269" s="9"/>
      <c r="I1269" s="9"/>
      <c r="N1269" s="10" t="str">
        <f t="shared" si="2"/>
        <v>25-2422(a)(1) - Elections; Unauthorized Voting Disclosure; disclose or expose contents of a ballot or manner in which the ballot has been voted</v>
      </c>
      <c r="O1269" s="10" t="str">
        <f t="shared" si="3"/>
        <v>Elections</v>
      </c>
    </row>
    <row r="1270">
      <c r="A1270" s="7" t="s">
        <v>2316</v>
      </c>
      <c r="B1270" s="8" t="s">
        <v>2317</v>
      </c>
      <c r="C1270" s="8">
        <v>10.0</v>
      </c>
      <c r="D1270" s="8">
        <v>10.0</v>
      </c>
      <c r="E1270" s="8">
        <v>10.0</v>
      </c>
      <c r="F1270" s="8">
        <v>10.0</v>
      </c>
      <c r="G1270" s="8" t="s">
        <v>21</v>
      </c>
      <c r="H1270" s="9"/>
      <c r="I1270" s="9"/>
      <c r="N1270" s="10" t="str">
        <f t="shared" si="2"/>
        <v>25-2422(b)(2) - Elections; Unauthorized Voting Disclosure; endeavor to induce a voter to show how the voter marks or has marked the voter's ballot</v>
      </c>
      <c r="O1270" s="10" t="str">
        <f t="shared" si="3"/>
        <v>Elections</v>
      </c>
    </row>
    <row r="1271">
      <c r="A1271" s="7" t="s">
        <v>2318</v>
      </c>
      <c r="B1271" s="8" t="s">
        <v>2319</v>
      </c>
      <c r="C1271" s="8">
        <v>10.0</v>
      </c>
      <c r="D1271" s="8">
        <v>10.0</v>
      </c>
      <c r="E1271" s="8">
        <v>10.0</v>
      </c>
      <c r="F1271" s="8">
        <v>10.0</v>
      </c>
      <c r="G1271" s="8" t="s">
        <v>21</v>
      </c>
      <c r="H1271" s="9"/>
      <c r="I1271" s="9"/>
      <c r="N1271" s="10" t="str">
        <f t="shared" si="2"/>
        <v>25-2421a(a)(1) - Elections; Voter Registration Suppression; destroy any application for voter registration</v>
      </c>
      <c r="O1271" s="10" t="str">
        <f t="shared" si="3"/>
        <v>Elections</v>
      </c>
    </row>
    <row r="1272">
      <c r="A1272" s="7" t="s">
        <v>2320</v>
      </c>
      <c r="B1272" s="8" t="s">
        <v>2321</v>
      </c>
      <c r="C1272" s="8">
        <v>10.0</v>
      </c>
      <c r="D1272" s="8">
        <v>10.0</v>
      </c>
      <c r="E1272" s="8">
        <v>10.0</v>
      </c>
      <c r="F1272" s="8">
        <v>10.0</v>
      </c>
      <c r="G1272" s="8" t="s">
        <v>21</v>
      </c>
      <c r="H1272" s="9"/>
      <c r="I1272" s="9"/>
      <c r="N1272" s="10" t="str">
        <f t="shared" si="2"/>
        <v>25-2421a(a)(3) - Elections; Voter Registration Suppression; fail to deliver a signed application for voter registration</v>
      </c>
      <c r="O1272" s="10" t="str">
        <f t="shared" si="3"/>
        <v>Elections</v>
      </c>
    </row>
    <row r="1273">
      <c r="A1273" s="7" t="s">
        <v>2322</v>
      </c>
      <c r="B1273" s="8" t="s">
        <v>2323</v>
      </c>
      <c r="C1273" s="8">
        <v>10.0</v>
      </c>
      <c r="D1273" s="8">
        <v>10.0</v>
      </c>
      <c r="E1273" s="8">
        <v>10.0</v>
      </c>
      <c r="F1273" s="8">
        <v>10.0</v>
      </c>
      <c r="G1273" s="8" t="s">
        <v>21</v>
      </c>
      <c r="H1273" s="9"/>
      <c r="I1273" s="9"/>
      <c r="N1273" s="10" t="str">
        <f t="shared" si="2"/>
        <v>25-2421a(a)(2) - Elections; Voter Registration Suppression; obstruct delivery of a signed application for voter registration</v>
      </c>
      <c r="O1273" s="10" t="str">
        <f t="shared" si="3"/>
        <v>Elections</v>
      </c>
    </row>
    <row r="1274">
      <c r="A1274" s="7" t="s">
        <v>2324</v>
      </c>
      <c r="B1274" s="8" t="s">
        <v>2325</v>
      </c>
      <c r="C1274" s="8" t="s">
        <v>19</v>
      </c>
      <c r="D1274" s="8" t="s">
        <v>19</v>
      </c>
      <c r="E1274" s="8" t="s">
        <v>19</v>
      </c>
      <c r="F1274" s="8" t="s">
        <v>20</v>
      </c>
      <c r="G1274" s="8" t="s">
        <v>21</v>
      </c>
      <c r="H1274" s="9"/>
      <c r="I1274" s="9"/>
      <c r="J1274" s="10">
        <f t="shared" ref="J1274:M1274" si="769">ifs(OR($H1274="R",$I1274="N"),"N/A",OR(C1274="A",C1274="B",C1274="C",C1274="U"),3,TRUE,"FLAG")</f>
        <v>3</v>
      </c>
      <c r="K1274" s="10">
        <f t="shared" si="769"/>
        <v>3</v>
      </c>
      <c r="L1274" s="10">
        <f t="shared" si="769"/>
        <v>3</v>
      </c>
      <c r="M1274" s="10" t="str">
        <f t="shared" si="769"/>
        <v>FLAG</v>
      </c>
      <c r="N1274" s="10" t="str">
        <f t="shared" si="2"/>
        <v>25-1806a - Elections; Voting by new and former residents in presidential elections; knowingly and willfully falsely declaring any material fact in a declaration form provided in K.S.A. 25-1806</v>
      </c>
      <c r="O1274" s="10" t="str">
        <f t="shared" si="3"/>
        <v>Elections</v>
      </c>
    </row>
    <row r="1275">
      <c r="A1275" s="7" t="s">
        <v>2326</v>
      </c>
      <c r="B1275" s="8" t="s">
        <v>2327</v>
      </c>
      <c r="C1275" s="8">
        <v>10.0</v>
      </c>
      <c r="D1275" s="8">
        <v>10.0</v>
      </c>
      <c r="E1275" s="8">
        <v>10.0</v>
      </c>
      <c r="F1275" s="8">
        <v>10.0</v>
      </c>
      <c r="G1275" s="8" t="s">
        <v>21</v>
      </c>
      <c r="H1275" s="9"/>
      <c r="I1275" s="9"/>
      <c r="N1275" s="10" t="str">
        <f t="shared" si="2"/>
        <v>25-2425(a) - Elections; Voting Machine Fraud; being in unlawful or unauthorized possession of a voting machine key</v>
      </c>
      <c r="O1275" s="10" t="str">
        <f t="shared" si="3"/>
        <v>Elections</v>
      </c>
    </row>
    <row r="1276">
      <c r="A1276" s="7" t="s">
        <v>2328</v>
      </c>
      <c r="B1276" s="8" t="s">
        <v>2329</v>
      </c>
      <c r="C1276" s="8">
        <v>10.0</v>
      </c>
      <c r="D1276" s="8">
        <v>10.0</v>
      </c>
      <c r="E1276" s="8">
        <v>10.0</v>
      </c>
      <c r="F1276" s="8">
        <v>10.0</v>
      </c>
      <c r="G1276" s="8" t="s">
        <v>21</v>
      </c>
      <c r="H1276" s="9"/>
      <c r="I1276" s="9"/>
      <c r="N1276" s="10" t="str">
        <f t="shared" si="2"/>
        <v>25-2425(b) - Elections; Voting Machine Fraud; intentionally tamper with, alter, disarrange, deface, impair or destroy any voting machine, automatic ballot, voting machine label or register or record made by a voting machine</v>
      </c>
      <c r="O1276" s="10" t="str">
        <f t="shared" si="3"/>
        <v>Elections</v>
      </c>
    </row>
    <row r="1277">
      <c r="A1277" s="7" t="s">
        <v>2330</v>
      </c>
      <c r="B1277" s="8" t="s">
        <v>2331</v>
      </c>
      <c r="C1277" s="8">
        <v>7.0</v>
      </c>
      <c r="D1277" s="8">
        <v>9.0</v>
      </c>
      <c r="E1277" s="8">
        <v>9.0</v>
      </c>
      <c r="F1277" s="8">
        <v>10.0</v>
      </c>
      <c r="G1277" s="8" t="s">
        <v>21</v>
      </c>
      <c r="H1277" s="9"/>
      <c r="I1277" s="9"/>
      <c r="N1277" s="10" t="str">
        <f t="shared" si="2"/>
        <v>25-2416(a)(2) - Elections; Voting without being qualified; knowingly voting or attempting to vote at any election by a person not a U.S. citizen</v>
      </c>
      <c r="O1277" s="10" t="str">
        <f t="shared" si="3"/>
        <v>Elections</v>
      </c>
    </row>
    <row r="1278">
      <c r="A1278" s="7" t="s">
        <v>2332</v>
      </c>
      <c r="B1278" s="8" t="s">
        <v>2333</v>
      </c>
      <c r="C1278" s="8">
        <v>7.0</v>
      </c>
      <c r="D1278" s="8">
        <v>9.0</v>
      </c>
      <c r="E1278" s="8">
        <v>9.0</v>
      </c>
      <c r="F1278" s="8">
        <v>10.0</v>
      </c>
      <c r="G1278" s="8" t="s">
        <v>21</v>
      </c>
      <c r="H1278" s="9"/>
      <c r="I1278" s="9"/>
      <c r="N1278" s="10" t="str">
        <f t="shared" si="2"/>
        <v>25-2416(a)(1) - Elections; Voting without being qualified; knowingly voting or attempting to vote at any election district when not a lawfully registered voter in such election district</v>
      </c>
      <c r="O1278" s="10" t="str">
        <f t="shared" si="3"/>
        <v>Elections</v>
      </c>
    </row>
    <row r="1279">
      <c r="A1279" s="7" t="s">
        <v>2334</v>
      </c>
      <c r="B1279" s="8" t="s">
        <v>2335</v>
      </c>
      <c r="C1279" s="8">
        <v>9.0</v>
      </c>
      <c r="D1279" s="8">
        <v>10.0</v>
      </c>
      <c r="E1279" s="8">
        <v>10.0</v>
      </c>
      <c r="F1279" s="8">
        <v>10.0</v>
      </c>
      <c r="G1279" s="8" t="s">
        <v>21</v>
      </c>
      <c r="H1279" s="9"/>
      <c r="I1279" s="9"/>
      <c r="N1279" s="10" t="str">
        <f t="shared" si="2"/>
        <v>25-1128(e) - Elections; Willfully and falsely affirm, declare or subscribe to any material fact in an affirmation form for an advance voting ballot or in a declaration form on an advance voting ballot envelope</v>
      </c>
      <c r="O1279" s="10" t="str">
        <f t="shared" si="3"/>
        <v>Elections</v>
      </c>
    </row>
    <row r="1280">
      <c r="A1280" s="7" t="s">
        <v>2336</v>
      </c>
      <c r="B1280" s="8" t="s">
        <v>2337</v>
      </c>
      <c r="C1280" s="8">
        <v>3.0</v>
      </c>
      <c r="D1280" s="8">
        <v>5.0</v>
      </c>
      <c r="E1280" s="8">
        <v>5.0</v>
      </c>
      <c r="F1280" s="8">
        <v>6.0</v>
      </c>
      <c r="G1280" s="8" t="s">
        <v>24</v>
      </c>
      <c r="H1280" s="8" t="s">
        <v>109</v>
      </c>
      <c r="I1280" s="9"/>
      <c r="N1280" s="10" t="str">
        <f t="shared" si="2"/>
        <v>21-5509(a) - Electronic Solicitation; Of child believed to be 14 or more yrs of age but less than 16 yrs of age</v>
      </c>
      <c r="O1280" s="10" t="str">
        <f t="shared" si="3"/>
        <v>Electronic Solicitation</v>
      </c>
    </row>
    <row r="1281">
      <c r="A1281" s="7" t="s">
        <v>2338</v>
      </c>
      <c r="B1281" s="8" t="s">
        <v>2337</v>
      </c>
      <c r="C1281" s="8">
        <v>1.0</v>
      </c>
      <c r="D1281" s="8">
        <v>3.0</v>
      </c>
      <c r="E1281" s="8">
        <v>3.0</v>
      </c>
      <c r="F1281" s="8">
        <v>4.0</v>
      </c>
      <c r="G1281" s="8" t="s">
        <v>24</v>
      </c>
      <c r="H1281" s="8" t="s">
        <v>109</v>
      </c>
      <c r="I1281" s="9"/>
      <c r="N1281" s="10" t="str">
        <f t="shared" si="2"/>
        <v>21-5509(a) - Electronic Solicitation; Of child believed to be less than 14</v>
      </c>
      <c r="O1281" s="10" t="str">
        <f t="shared" si="3"/>
        <v>Electronic Solicitation</v>
      </c>
    </row>
    <row r="1282">
      <c r="A1282" s="7" t="s">
        <v>2339</v>
      </c>
      <c r="B1282" s="8" t="s">
        <v>2340</v>
      </c>
      <c r="C1282" s="8" t="s">
        <v>27</v>
      </c>
      <c r="D1282" s="8" t="s">
        <v>28</v>
      </c>
      <c r="E1282" s="8" t="s">
        <v>19</v>
      </c>
      <c r="F1282" s="8" t="s">
        <v>20</v>
      </c>
      <c r="G1282" s="8" t="s">
        <v>21</v>
      </c>
      <c r="H1282" s="9"/>
      <c r="I1282" s="9"/>
      <c r="J1282" s="10">
        <f t="shared" ref="J1282:M1282" si="770">ifs(OR($H1282="R",$I1282="N"),"N/A",OR(C1282="A",C1282="B",C1282="C",C1282="U"),3,TRUE,"FLAG")</f>
        <v>3</v>
      </c>
      <c r="K1282" s="10">
        <f t="shared" si="770"/>
        <v>3</v>
      </c>
      <c r="L1282" s="10">
        <f t="shared" si="770"/>
        <v>3</v>
      </c>
      <c r="M1282" s="10" t="str">
        <f t="shared" si="770"/>
        <v>FLAG</v>
      </c>
      <c r="N1282" s="10" t="str">
        <f t="shared" si="2"/>
        <v>65-1705 - Embalmers &amp; Funeral Directors; Advertise, practice or hold oneself out as practicing the science of embalming without having complied with the provisions of this act</v>
      </c>
      <c r="O1282" s="10" t="str">
        <f t="shared" si="3"/>
        <v>Embalmers &amp; Funeral Directors</v>
      </c>
    </row>
    <row r="1283">
      <c r="A1283" s="7" t="s">
        <v>2341</v>
      </c>
      <c r="B1283" s="8" t="s">
        <v>2342</v>
      </c>
      <c r="C1283" s="8" t="s">
        <v>27</v>
      </c>
      <c r="D1283" s="8" t="s">
        <v>28</v>
      </c>
      <c r="E1283" s="8" t="s">
        <v>19</v>
      </c>
      <c r="F1283" s="8" t="s">
        <v>20</v>
      </c>
      <c r="G1283" s="8" t="s">
        <v>21</v>
      </c>
      <c r="H1283" s="9"/>
      <c r="I1283" s="9"/>
      <c r="J1283" s="10">
        <f t="shared" ref="J1283:M1283" si="771">ifs(OR($H1283="R",$I1283="N"),"N/A",OR(C1283="A",C1283="B",C1283="C",C1283="U"),3,TRUE,"FLAG")</f>
        <v>3</v>
      </c>
      <c r="K1283" s="10">
        <f t="shared" si="771"/>
        <v>3</v>
      </c>
      <c r="L1283" s="10">
        <f t="shared" si="771"/>
        <v>3</v>
      </c>
      <c r="M1283" s="10" t="str">
        <f t="shared" si="771"/>
        <v>FLAG</v>
      </c>
      <c r="N1283" s="10" t="str">
        <f t="shared" si="2"/>
        <v>65-1768(a) - Embalmers &amp; Funeral Directors; Crematory license required</v>
      </c>
      <c r="O1283" s="10" t="str">
        <f t="shared" si="3"/>
        <v>Embalmers &amp; Funeral Directors</v>
      </c>
    </row>
    <row r="1284">
      <c r="A1284" s="7" t="s">
        <v>2343</v>
      </c>
      <c r="B1284" s="8" t="s">
        <v>2344</v>
      </c>
      <c r="C1284" s="8" t="s">
        <v>27</v>
      </c>
      <c r="D1284" s="8" t="s">
        <v>28</v>
      </c>
      <c r="E1284" s="8" t="s">
        <v>19</v>
      </c>
      <c r="F1284" s="8" t="s">
        <v>20</v>
      </c>
      <c r="G1284" s="8" t="s">
        <v>21</v>
      </c>
      <c r="H1284" s="9"/>
      <c r="I1284" s="9"/>
      <c r="J1284" s="10">
        <f t="shared" ref="J1284:M1284" si="772">ifs(OR($H1284="R",$I1284="N"),"N/A",OR(C1284="A",C1284="B",C1284="C",C1284="U"),3,TRUE,"FLAG")</f>
        <v>3</v>
      </c>
      <c r="K1284" s="10">
        <f t="shared" si="772"/>
        <v>3</v>
      </c>
      <c r="L1284" s="10">
        <f t="shared" si="772"/>
        <v>3</v>
      </c>
      <c r="M1284" s="10" t="str">
        <f t="shared" si="772"/>
        <v>FLAG</v>
      </c>
      <c r="N1284" s="10" t="str">
        <f t="shared" si="2"/>
        <v>65-1766 - Embalmers &amp; Funeral Directors; Crematory violations</v>
      </c>
      <c r="O1284" s="10" t="str">
        <f t="shared" si="3"/>
        <v>Embalmers &amp; Funeral Directors</v>
      </c>
    </row>
    <row r="1285">
      <c r="A1285" s="7" t="s">
        <v>2345</v>
      </c>
      <c r="B1285" s="8" t="s">
        <v>2346</v>
      </c>
      <c r="C1285" s="8" t="s">
        <v>18</v>
      </c>
      <c r="D1285" s="8" t="s">
        <v>18</v>
      </c>
      <c r="E1285" s="8" t="s">
        <v>19</v>
      </c>
      <c r="F1285" s="8" t="s">
        <v>20</v>
      </c>
      <c r="G1285" s="8" t="s">
        <v>21</v>
      </c>
      <c r="H1285" s="9"/>
      <c r="I1285" s="9"/>
      <c r="J1285" s="10">
        <f t="shared" ref="J1285:M1285" si="773">ifs(OR($H1285="R",$I1285="N"),"N/A",OR(C1285="A",C1285="B",C1285="C",C1285="U"),3,TRUE,"FLAG")</f>
        <v>3</v>
      </c>
      <c r="K1285" s="10">
        <f t="shared" si="773"/>
        <v>3</v>
      </c>
      <c r="L1285" s="10">
        <f t="shared" si="773"/>
        <v>3</v>
      </c>
      <c r="M1285" s="10" t="str">
        <f t="shared" si="773"/>
        <v>FLAG</v>
      </c>
      <c r="N1285" s="10" t="str">
        <f t="shared" si="2"/>
        <v>65-1707 - Embalmers &amp; Funeral Directors; Embalming without permission of coroner when suspicion of crime in connection with the cause of death</v>
      </c>
      <c r="O1285" s="10" t="str">
        <f t="shared" si="3"/>
        <v>Embalmers &amp; Funeral Directors</v>
      </c>
    </row>
    <row r="1286">
      <c r="A1286" s="7" t="s">
        <v>2347</v>
      </c>
      <c r="B1286" s="8" t="s">
        <v>2348</v>
      </c>
      <c r="C1286" s="8" t="s">
        <v>28</v>
      </c>
      <c r="D1286" s="8" t="s">
        <v>19</v>
      </c>
      <c r="E1286" s="8" t="s">
        <v>19</v>
      </c>
      <c r="F1286" s="8" t="s">
        <v>20</v>
      </c>
      <c r="G1286" s="8" t="s">
        <v>21</v>
      </c>
      <c r="H1286" s="9"/>
      <c r="I1286" s="9"/>
      <c r="J1286" s="10">
        <f t="shared" ref="J1286:M1286" si="774">ifs(OR($H1286="R",$I1286="N"),"N/A",OR(C1286="A",C1286="B",C1286="C",C1286="U"),3,TRUE,"FLAG")</f>
        <v>3</v>
      </c>
      <c r="K1286" s="10">
        <f t="shared" si="774"/>
        <v>3</v>
      </c>
      <c r="L1286" s="10">
        <f t="shared" si="774"/>
        <v>3</v>
      </c>
      <c r="M1286" s="10" t="str">
        <f t="shared" si="774"/>
        <v>FLAG</v>
      </c>
      <c r="N1286" s="10" t="str">
        <f t="shared" si="2"/>
        <v>65-1731 - Embalmers &amp; Funeral Directors; Fail, neglect or refuse to pay establishment fee</v>
      </c>
      <c r="O1286" s="10" t="str">
        <f t="shared" si="3"/>
        <v>Embalmers &amp; Funeral Directors</v>
      </c>
    </row>
    <row r="1287">
      <c r="A1287" s="7" t="s">
        <v>2349</v>
      </c>
      <c r="B1287" s="8" t="s">
        <v>2350</v>
      </c>
      <c r="C1287" s="8" t="s">
        <v>27</v>
      </c>
      <c r="D1287" s="8" t="s">
        <v>28</v>
      </c>
      <c r="E1287" s="8" t="s">
        <v>19</v>
      </c>
      <c r="F1287" s="8" t="s">
        <v>20</v>
      </c>
      <c r="G1287" s="8" t="s">
        <v>21</v>
      </c>
      <c r="H1287" s="9"/>
      <c r="I1287" s="9"/>
      <c r="J1287" s="10">
        <f t="shared" ref="J1287:M1287" si="775">ifs(OR($H1287="R",$I1287="N"),"N/A",OR(C1287="A",C1287="B",C1287="C",C1287="U"),3,TRUE,"FLAG")</f>
        <v>3</v>
      </c>
      <c r="K1287" s="10">
        <f t="shared" si="775"/>
        <v>3</v>
      </c>
      <c r="L1287" s="10">
        <f t="shared" si="775"/>
        <v>3</v>
      </c>
      <c r="M1287" s="10" t="str">
        <f t="shared" si="775"/>
        <v>FLAG</v>
      </c>
      <c r="N1287" s="10" t="str">
        <f t="shared" si="2"/>
        <v>65-1714(a) - Embalmers &amp; Funeral Directors; Funeral director's license required</v>
      </c>
      <c r="O1287" s="10" t="str">
        <f t="shared" si="3"/>
        <v>Embalmers &amp; Funeral Directors</v>
      </c>
    </row>
    <row r="1288">
      <c r="A1288" s="7" t="s">
        <v>2351</v>
      </c>
      <c r="B1288" s="8" t="s">
        <v>2352</v>
      </c>
      <c r="C1288" s="8" t="s">
        <v>27</v>
      </c>
      <c r="D1288" s="8" t="s">
        <v>28</v>
      </c>
      <c r="E1288" s="8" t="s">
        <v>19</v>
      </c>
      <c r="F1288" s="8" t="s">
        <v>20</v>
      </c>
      <c r="G1288" s="8" t="s">
        <v>21</v>
      </c>
      <c r="H1288" s="9"/>
      <c r="I1288" s="9"/>
      <c r="J1288" s="10">
        <f t="shared" ref="J1288:M1288" si="776">ifs(OR($H1288="R",$I1288="N"),"N/A",OR(C1288="A",C1288="B",C1288="C",C1288="U"),3,TRUE,"FLAG")</f>
        <v>3</v>
      </c>
      <c r="K1288" s="10">
        <f t="shared" si="776"/>
        <v>3</v>
      </c>
      <c r="L1288" s="10">
        <f t="shared" si="776"/>
        <v>3</v>
      </c>
      <c r="M1288" s="10" t="str">
        <f t="shared" si="776"/>
        <v>FLAG</v>
      </c>
      <c r="N1288" s="10" t="str">
        <f t="shared" si="2"/>
        <v>65-1768(f) - Embalmers &amp; Funeral Directors; Holding oneself out as an operator in charge of a crematory when not so</v>
      </c>
      <c r="O1288" s="10" t="str">
        <f t="shared" si="3"/>
        <v>Embalmers &amp; Funeral Directors</v>
      </c>
    </row>
    <row r="1289">
      <c r="A1289" s="7" t="s">
        <v>2353</v>
      </c>
      <c r="B1289" s="8" t="s">
        <v>2354</v>
      </c>
      <c r="C1289" s="8" t="s">
        <v>27</v>
      </c>
      <c r="D1289" s="8" t="s">
        <v>28</v>
      </c>
      <c r="E1289" s="8" t="s">
        <v>19</v>
      </c>
      <c r="F1289" s="8" t="s">
        <v>20</v>
      </c>
      <c r="G1289" s="8" t="s">
        <v>21</v>
      </c>
      <c r="H1289" s="9"/>
      <c r="I1289" s="9"/>
      <c r="J1289" s="10">
        <f t="shared" ref="J1289:M1289" si="777">ifs(OR($H1289="R",$I1289="N"),"N/A",OR(C1289="A",C1289="B",C1289="C",C1289="U"),3,TRUE,"FLAG")</f>
        <v>3</v>
      </c>
      <c r="K1289" s="10">
        <f t="shared" si="777"/>
        <v>3</v>
      </c>
      <c r="L1289" s="10">
        <f t="shared" si="777"/>
        <v>3</v>
      </c>
      <c r="M1289" s="10" t="str">
        <f t="shared" si="777"/>
        <v>FLAG</v>
      </c>
      <c r="N1289" s="10" t="str">
        <f t="shared" si="2"/>
        <v>65-1703 - Embalmers &amp; Funeral Directors; License required to perform embalming</v>
      </c>
      <c r="O1289" s="10" t="str">
        <f t="shared" si="3"/>
        <v>Embalmers &amp; Funeral Directors</v>
      </c>
    </row>
    <row r="1290">
      <c r="A1290" s="7" t="s">
        <v>2355</v>
      </c>
      <c r="B1290" s="8" t="s">
        <v>2356</v>
      </c>
      <c r="C1290" s="8" t="s">
        <v>27</v>
      </c>
      <c r="D1290" s="8" t="s">
        <v>28</v>
      </c>
      <c r="E1290" s="8" t="s">
        <v>19</v>
      </c>
      <c r="F1290" s="8" t="s">
        <v>20</v>
      </c>
      <c r="G1290" s="8" t="s">
        <v>21</v>
      </c>
      <c r="H1290" s="9"/>
      <c r="I1290" s="9"/>
      <c r="J1290" s="10">
        <f t="shared" ref="J1290:M1290" si="778">ifs(OR($H1290="R",$I1290="N"),"N/A",OR(C1290="A",C1290="B",C1290="C",C1290="U"),3,TRUE,"FLAG")</f>
        <v>3</v>
      </c>
      <c r="K1290" s="10">
        <f t="shared" si="778"/>
        <v>3</v>
      </c>
      <c r="L1290" s="10">
        <f t="shared" si="778"/>
        <v>3</v>
      </c>
      <c r="M1290" s="10" t="str">
        <f t="shared" si="778"/>
        <v>FLAG</v>
      </c>
      <c r="N1290" s="10" t="str">
        <f t="shared" si="2"/>
        <v>65-1761(a) - Embalmers &amp; Funeral Directors; Licensure of crematory required</v>
      </c>
      <c r="O1290" s="10" t="str">
        <f t="shared" si="3"/>
        <v>Embalmers &amp; Funeral Directors</v>
      </c>
    </row>
    <row r="1291">
      <c r="A1291" s="7" t="s">
        <v>2357</v>
      </c>
      <c r="B1291" s="8" t="s">
        <v>2358</v>
      </c>
      <c r="C1291" s="8" t="s">
        <v>27</v>
      </c>
      <c r="D1291" s="8" t="s">
        <v>28</v>
      </c>
      <c r="E1291" s="8" t="s">
        <v>19</v>
      </c>
      <c r="F1291" s="8" t="s">
        <v>20</v>
      </c>
      <c r="G1291" s="8" t="s">
        <v>21</v>
      </c>
      <c r="H1291" s="9"/>
      <c r="I1291" s="9"/>
      <c r="J1291" s="10">
        <f t="shared" ref="J1291:M1291" si="779">ifs(OR($H1291="R",$I1291="N"),"N/A",OR(C1291="A",C1291="B",C1291="C",C1291="U"),3,TRUE,"FLAG")</f>
        <v>3</v>
      </c>
      <c r="K1291" s="10">
        <f t="shared" si="779"/>
        <v>3</v>
      </c>
      <c r="L1291" s="10">
        <f t="shared" si="779"/>
        <v>3</v>
      </c>
      <c r="M1291" s="10" t="str">
        <f t="shared" si="779"/>
        <v>FLAG</v>
      </c>
      <c r="N1291" s="10" t="str">
        <f t="shared" si="2"/>
        <v>65-1729(e) - Embalmers &amp; Funeral Directors; Operate, offer to operate, advertise or represent oneself as operating a funeral or branch establishment without license to do so</v>
      </c>
      <c r="O1291" s="10" t="str">
        <f t="shared" si="3"/>
        <v>Embalmers &amp; Funeral Directors</v>
      </c>
    </row>
    <row r="1292">
      <c r="A1292" s="7" t="s">
        <v>2359</v>
      </c>
      <c r="B1292" s="8" t="s">
        <v>2360</v>
      </c>
      <c r="C1292" s="8" t="s">
        <v>18</v>
      </c>
      <c r="D1292" s="8" t="s">
        <v>18</v>
      </c>
      <c r="E1292" s="8" t="s">
        <v>19</v>
      </c>
      <c r="F1292" s="8" t="s">
        <v>20</v>
      </c>
      <c r="G1292" s="8" t="s">
        <v>21</v>
      </c>
      <c r="H1292" s="9"/>
      <c r="I1292" s="9"/>
      <c r="J1292" s="10">
        <f t="shared" ref="J1292:M1292" si="780">ifs(OR($H1292="R",$I1292="N"),"N/A",OR(C1292="A",C1292="B",C1292="C",C1292="U"),3,TRUE,"FLAG")</f>
        <v>3</v>
      </c>
      <c r="K1292" s="10">
        <f t="shared" si="780"/>
        <v>3</v>
      </c>
      <c r="L1292" s="10">
        <f t="shared" si="780"/>
        <v>3</v>
      </c>
      <c r="M1292" s="10" t="str">
        <f t="shared" si="780"/>
        <v>FLAG</v>
      </c>
      <c r="N1292" s="10" t="str">
        <f t="shared" si="2"/>
        <v>65-1712 - Embalmers &amp; Funeral Directors; Violate or refuse or neglect to obey rules and regulations pertaining to the practice of embalming and transportation of dead bodies</v>
      </c>
      <c r="O1292" s="10" t="str">
        <f t="shared" si="3"/>
        <v>Embalmers &amp; Funeral Directors</v>
      </c>
    </row>
    <row r="1293">
      <c r="A1293" s="7" t="s">
        <v>2361</v>
      </c>
      <c r="B1293" s="8" t="s">
        <v>2362</v>
      </c>
      <c r="C1293" s="8" t="s">
        <v>27</v>
      </c>
      <c r="D1293" s="8" t="s">
        <v>28</v>
      </c>
      <c r="E1293" s="8" t="s">
        <v>19</v>
      </c>
      <c r="F1293" s="8" t="s">
        <v>20</v>
      </c>
      <c r="G1293" s="8" t="s">
        <v>21</v>
      </c>
      <c r="H1293" s="9"/>
      <c r="I1293" s="9"/>
      <c r="J1293" s="10">
        <f t="shared" ref="J1293:M1293" si="781">ifs(OR($H1293="R",$I1293="N"),"N/A",OR(C1293="A",C1293="B",C1293="C",C1293="U"),3,TRUE,"FLAG")</f>
        <v>3</v>
      </c>
      <c r="K1293" s="10">
        <f t="shared" si="781"/>
        <v>3</v>
      </c>
      <c r="L1293" s="10">
        <f t="shared" si="781"/>
        <v>3</v>
      </c>
      <c r="M1293" s="10" t="str">
        <f t="shared" si="781"/>
        <v>FLAG</v>
      </c>
      <c r="N1293" s="10" t="str">
        <f t="shared" si="2"/>
        <v>48-939 - Emergency Management Act; Violation of act, rules, regulations, orders or proclamations under act</v>
      </c>
      <c r="O1293" s="10" t="str">
        <f t="shared" si="3"/>
        <v>Emergency Management Act</v>
      </c>
    </row>
    <row r="1294">
      <c r="A1294" s="7" t="s">
        <v>2363</v>
      </c>
      <c r="B1294" s="8" t="s">
        <v>2364</v>
      </c>
      <c r="C1294" s="8" t="s">
        <v>1532</v>
      </c>
      <c r="D1294" s="8">
        <v>10.0</v>
      </c>
      <c r="E1294" s="8">
        <v>10.0</v>
      </c>
      <c r="F1294" s="8">
        <v>10.0</v>
      </c>
      <c r="G1294" s="8" t="s">
        <v>21</v>
      </c>
      <c r="H1294" s="9"/>
      <c r="I1294" s="9"/>
      <c r="N1294" s="10" t="str">
        <f t="shared" si="2"/>
        <v>65-5707 - Emergency Planning &amp; Community Right-To-Know; Fail to submit lists of chemicals and M.S.D.S sheets</v>
      </c>
      <c r="O1294" s="10" t="str">
        <f t="shared" si="3"/>
        <v>Emergency Planning &amp; Community Right-To-Know</v>
      </c>
    </row>
    <row r="1295">
      <c r="A1295" s="7" t="s">
        <v>2365</v>
      </c>
      <c r="B1295" s="8" t="s">
        <v>2366</v>
      </c>
      <c r="C1295" s="8" t="s">
        <v>27</v>
      </c>
      <c r="D1295" s="8" t="s">
        <v>28</v>
      </c>
      <c r="E1295" s="8" t="s">
        <v>19</v>
      </c>
      <c r="F1295" s="8" t="s">
        <v>20</v>
      </c>
      <c r="G1295" s="8" t="s">
        <v>21</v>
      </c>
      <c r="H1295" s="9"/>
      <c r="I1295" s="9"/>
      <c r="J1295" s="10">
        <f t="shared" ref="J1295:M1295" si="782">ifs(OR($H1295="R",$I1295="N"),"N/A",OR(C1295="A",C1295="B",C1295="C",C1295="U"),3,TRUE,"FLAG")</f>
        <v>3</v>
      </c>
      <c r="K1295" s="10">
        <f t="shared" si="782"/>
        <v>3</v>
      </c>
      <c r="L1295" s="10">
        <f t="shared" si="782"/>
        <v>3</v>
      </c>
      <c r="M1295" s="10" t="str">
        <f t="shared" si="782"/>
        <v>FLAG</v>
      </c>
      <c r="N1295" s="10" t="str">
        <f t="shared" si="2"/>
        <v>44-719(a) - Employment Security Law; Knowingly make a false statement or representation or knowingly fail to disclose a material fact, to obtain or increase any benefit or other payment under this act; punished in accordance with K.S.A. 21-3701-Theft; less than $1,000</v>
      </c>
      <c r="O1295" s="10" t="str">
        <f t="shared" si="3"/>
        <v>Employment Security Law</v>
      </c>
    </row>
    <row r="1296">
      <c r="A1296" s="7" t="s">
        <v>2367</v>
      </c>
      <c r="B1296" s="8" t="s">
        <v>2368</v>
      </c>
      <c r="C1296" s="8">
        <v>9.0</v>
      </c>
      <c r="D1296" s="8">
        <v>10.0</v>
      </c>
      <c r="E1296" s="8">
        <v>10.0</v>
      </c>
      <c r="F1296" s="8">
        <v>10.0</v>
      </c>
      <c r="G1296" s="8" t="s">
        <v>21</v>
      </c>
      <c r="H1296" s="9"/>
      <c r="I1296" s="9"/>
      <c r="N1296" s="10" t="str">
        <f t="shared" si="2"/>
        <v>44-719(f) - Employment Security Law; Knowingly obtain or attempt to obtain a reduced liability for contributions</v>
      </c>
      <c r="O1296" s="10" t="str">
        <f t="shared" si="3"/>
        <v>Employment Security Law</v>
      </c>
    </row>
    <row r="1297">
      <c r="A1297" s="7" t="s">
        <v>2369</v>
      </c>
      <c r="B1297" s="8" t="s">
        <v>2366</v>
      </c>
      <c r="C1297" s="8">
        <v>5.0</v>
      </c>
      <c r="D1297" s="8">
        <v>7.0</v>
      </c>
      <c r="E1297" s="8">
        <v>7.0</v>
      </c>
      <c r="F1297" s="8">
        <v>8.0</v>
      </c>
      <c r="G1297" s="8" t="s">
        <v>21</v>
      </c>
      <c r="H1297" s="9"/>
      <c r="I1297" s="9"/>
      <c r="N1297" s="10" t="str">
        <f t="shared" si="2"/>
        <v>44-719(a) - Employment Security Law; Make a false statement or representation/fail to disclose a material fact, to obtain or increase any benefit or other payment under this act; $100,000 or more</v>
      </c>
      <c r="O1297" s="10" t="str">
        <f t="shared" si="3"/>
        <v>Employment Security Law</v>
      </c>
    </row>
    <row r="1298">
      <c r="A1298" s="7" t="s">
        <v>2370</v>
      </c>
      <c r="B1298" s="8" t="s">
        <v>2366</v>
      </c>
      <c r="C1298" s="8">
        <v>9.0</v>
      </c>
      <c r="D1298" s="8">
        <v>10.0</v>
      </c>
      <c r="E1298" s="8">
        <v>10.0</v>
      </c>
      <c r="F1298" s="8">
        <v>10.0</v>
      </c>
      <c r="G1298" s="8" t="s">
        <v>21</v>
      </c>
      <c r="H1298" s="9"/>
      <c r="I1298" s="9"/>
      <c r="N1298" s="10" t="str">
        <f t="shared" si="2"/>
        <v>44-719(a) - Employment Security Law; Make a false statement or representation/fail to disclose a material fact, to obtain or increase any benefit or other payment under this act; at least $1,000 but less than $25,000</v>
      </c>
      <c r="O1298" s="10" t="str">
        <f t="shared" si="3"/>
        <v>Employment Security Law</v>
      </c>
    </row>
    <row r="1299">
      <c r="A1299" s="7" t="s">
        <v>2371</v>
      </c>
      <c r="B1299" s="8" t="s">
        <v>2366</v>
      </c>
      <c r="C1299" s="8">
        <v>7.0</v>
      </c>
      <c r="D1299" s="8">
        <v>9.0</v>
      </c>
      <c r="E1299" s="8">
        <v>9.0</v>
      </c>
      <c r="F1299" s="8">
        <v>10.0</v>
      </c>
      <c r="G1299" s="8" t="s">
        <v>21</v>
      </c>
      <c r="H1299" s="9"/>
      <c r="I1299" s="9"/>
      <c r="N1299" s="10" t="str">
        <f t="shared" si="2"/>
        <v>44-719(a) - Employment Security Law; Make a false statement or representation/fail to disclose a material fact, to obtain or increase any benefit or other payment under this act; at least $25,000 but less than $100,000</v>
      </c>
      <c r="O1299" s="10" t="str">
        <f t="shared" si="3"/>
        <v>Employment Security Law</v>
      </c>
    </row>
    <row r="1300">
      <c r="A1300" s="7" t="s">
        <v>2372</v>
      </c>
      <c r="B1300" s="8" t="s">
        <v>2366</v>
      </c>
      <c r="C1300" s="8">
        <v>9.0</v>
      </c>
      <c r="D1300" s="8">
        <v>10.0</v>
      </c>
      <c r="E1300" s="8">
        <v>10.0</v>
      </c>
      <c r="F1300" s="8">
        <v>10.0</v>
      </c>
      <c r="G1300" s="8" t="s">
        <v>21</v>
      </c>
      <c r="H1300" s="9"/>
      <c r="I1300" s="9"/>
      <c r="N1300" s="10" t="str">
        <f t="shared" si="2"/>
        <v>44-719(a) - Employment Security Law; Make a false statement or representation/fail to disclose a material fact, to obtain or increase any benefit or other payment under this act; value less than $1,000 by a person with 2 or more prior theft convictions</v>
      </c>
      <c r="O1300" s="10" t="str">
        <f t="shared" si="3"/>
        <v>Employment Security Law</v>
      </c>
    </row>
    <row r="1301">
      <c r="A1301" s="7" t="s">
        <v>2373</v>
      </c>
      <c r="B1301" s="8" t="s">
        <v>2374</v>
      </c>
      <c r="C1301" s="8" t="s">
        <v>18</v>
      </c>
      <c r="D1301" s="8" t="s">
        <v>18</v>
      </c>
      <c r="E1301" s="8" t="s">
        <v>19</v>
      </c>
      <c r="F1301" s="8" t="s">
        <v>20</v>
      </c>
      <c r="G1301" s="8" t="s">
        <v>21</v>
      </c>
      <c r="H1301" s="9"/>
      <c r="I1301" s="9"/>
      <c r="J1301" s="10">
        <f t="shared" ref="J1301:M1301" si="783">ifs(OR($H1301="R",$I1301="N"),"N/A",OR(C1301="A",C1301="B",C1301="C",C1301="U"),3,TRUE,"FLAG")</f>
        <v>3</v>
      </c>
      <c r="K1301" s="10">
        <f t="shared" si="783"/>
        <v>3</v>
      </c>
      <c r="L1301" s="10">
        <f t="shared" si="783"/>
        <v>3</v>
      </c>
      <c r="M1301" s="10" t="str">
        <f t="shared" si="783"/>
        <v>FLAG</v>
      </c>
      <c r="N1301" s="10" t="str">
        <f t="shared" si="2"/>
        <v>19-4331 - Employment Systems; Penalty for any violation of act</v>
      </c>
      <c r="O1301" s="10" t="str">
        <f t="shared" si="3"/>
        <v>Employment Systems</v>
      </c>
    </row>
    <row r="1302">
      <c r="A1302" s="7" t="s">
        <v>2375</v>
      </c>
      <c r="B1302" s="8" t="s">
        <v>2376</v>
      </c>
      <c r="C1302" s="8" t="s">
        <v>18</v>
      </c>
      <c r="D1302" s="8" t="s">
        <v>18</v>
      </c>
      <c r="E1302" s="8" t="s">
        <v>19</v>
      </c>
      <c r="F1302" s="8" t="s">
        <v>20</v>
      </c>
      <c r="G1302" s="8" t="s">
        <v>21</v>
      </c>
      <c r="H1302" s="9"/>
      <c r="I1302" s="9"/>
      <c r="J1302" s="10">
        <f t="shared" ref="J1302:M1302" si="784">ifs(OR($H1302="R",$I1302="N"),"N/A",OR(C1302="A",C1302="B",C1302="C",C1302="U"),3,TRUE,"FLAG")</f>
        <v>3</v>
      </c>
      <c r="K1302" s="10">
        <f t="shared" si="784"/>
        <v>3</v>
      </c>
      <c r="L1302" s="10">
        <f t="shared" si="784"/>
        <v>3</v>
      </c>
      <c r="M1302" s="10" t="str">
        <f t="shared" si="784"/>
        <v>FLAG</v>
      </c>
      <c r="N1302" s="10" t="str">
        <f t="shared" si="2"/>
        <v>19-4330 - Employment Systems; Use of one's authority/official influence to compel any officer/employee covered by the this act to apply for membership in or become a member of any organization</v>
      </c>
      <c r="O1302" s="10" t="str">
        <f t="shared" si="3"/>
        <v>Employment Systems</v>
      </c>
    </row>
    <row r="1303">
      <c r="A1303" s="7" t="s">
        <v>2377</v>
      </c>
      <c r="B1303" s="8" t="s">
        <v>2378</v>
      </c>
      <c r="C1303" s="8" t="s">
        <v>28</v>
      </c>
      <c r="D1303" s="8" t="s">
        <v>19</v>
      </c>
      <c r="E1303" s="8" t="s">
        <v>19</v>
      </c>
      <c r="F1303" s="8" t="s">
        <v>20</v>
      </c>
      <c r="G1303" s="8" t="s">
        <v>21</v>
      </c>
      <c r="H1303" s="9"/>
      <c r="I1303" s="9"/>
      <c r="J1303" s="10">
        <f t="shared" ref="J1303:M1303" si="785">ifs(OR($H1303="R",$I1303="N"),"N/A",OR(C1303="A",C1303="B",C1303="C",C1303="U"),3,TRUE,"FLAG")</f>
        <v>3</v>
      </c>
      <c r="K1303" s="10">
        <f t="shared" si="785"/>
        <v>3</v>
      </c>
      <c r="L1303" s="10">
        <f t="shared" si="785"/>
        <v>3</v>
      </c>
      <c r="M1303" s="10" t="str">
        <f t="shared" si="785"/>
        <v>FLAG</v>
      </c>
      <c r="N1303" s="10" t="str">
        <f t="shared" si="2"/>
        <v>65-6150(a) - EMS; Represent oneself as an attendant or instructor-coordinator without holding a valid certificate</v>
      </c>
      <c r="O1303" s="10" t="str">
        <f t="shared" si="3"/>
        <v>EMS</v>
      </c>
    </row>
    <row r="1304">
      <c r="A1304" s="7" t="s">
        <v>2379</v>
      </c>
      <c r="B1304" s="8" t="s">
        <v>2380</v>
      </c>
      <c r="C1304" s="8" t="s">
        <v>28</v>
      </c>
      <c r="D1304" s="8" t="s">
        <v>19</v>
      </c>
      <c r="E1304" s="8" t="s">
        <v>19</v>
      </c>
      <c r="F1304" s="8" t="s">
        <v>20</v>
      </c>
      <c r="G1304" s="8" t="s">
        <v>21</v>
      </c>
      <c r="H1304" s="9"/>
      <c r="I1304" s="9"/>
      <c r="J1304" s="10">
        <f t="shared" ref="J1304:M1304" si="786">ifs(OR($H1304="R",$I1304="N"),"N/A",OR(C1304="A",C1304="B",C1304="C",C1304="U"),3,TRUE,"FLAG")</f>
        <v>3</v>
      </c>
      <c r="K1304" s="10">
        <f t="shared" si="786"/>
        <v>3</v>
      </c>
      <c r="L1304" s="10">
        <f t="shared" si="786"/>
        <v>3</v>
      </c>
      <c r="M1304" s="10" t="str">
        <f t="shared" si="786"/>
        <v>FLAG</v>
      </c>
      <c r="N1304" s="10" t="str">
        <f t="shared" si="2"/>
        <v>65-6125 - EMS; Unlawful to operate ambulance service without a permit</v>
      </c>
      <c r="O1304" s="10" t="str">
        <f t="shared" si="3"/>
        <v>EMS</v>
      </c>
    </row>
    <row r="1305">
      <c r="A1305" s="7" t="s">
        <v>2381</v>
      </c>
      <c r="B1305" s="8" t="s">
        <v>2382</v>
      </c>
      <c r="C1305" s="8" t="s">
        <v>28</v>
      </c>
      <c r="D1305" s="8" t="s">
        <v>19</v>
      </c>
      <c r="E1305" s="8" t="s">
        <v>19</v>
      </c>
      <c r="F1305" s="8" t="s">
        <v>20</v>
      </c>
      <c r="G1305" s="8" t="s">
        <v>21</v>
      </c>
      <c r="H1305" s="9"/>
      <c r="I1305" s="9"/>
      <c r="J1305" s="10">
        <f t="shared" ref="J1305:M1305" si="787">ifs(OR($H1305="R",$I1305="N"),"N/A",OR(C1305="A",C1305="B",C1305="C",C1305="U"),3,TRUE,"FLAG")</f>
        <v>3</v>
      </c>
      <c r="K1305" s="10">
        <f t="shared" si="787"/>
        <v>3</v>
      </c>
      <c r="L1305" s="10">
        <f t="shared" si="787"/>
        <v>3</v>
      </c>
      <c r="M1305" s="10" t="str">
        <f t="shared" si="787"/>
        <v>FLAG</v>
      </c>
      <c r="N1305" s="10" t="str">
        <f t="shared" si="2"/>
        <v>65-6137 - EMS; Violation of act, rule or regulation</v>
      </c>
      <c r="O1305" s="10" t="str">
        <f t="shared" si="3"/>
        <v>EMS</v>
      </c>
    </row>
    <row r="1306">
      <c r="A1306" s="7" t="s">
        <v>2383</v>
      </c>
      <c r="B1306" s="8" t="s">
        <v>2384</v>
      </c>
      <c r="C1306" s="8" t="s">
        <v>27</v>
      </c>
      <c r="D1306" s="8" t="s">
        <v>28</v>
      </c>
      <c r="E1306" s="8" t="s">
        <v>19</v>
      </c>
      <c r="F1306" s="8" t="s">
        <v>20</v>
      </c>
      <c r="G1306" s="8" t="s">
        <v>24</v>
      </c>
      <c r="H1306" s="9"/>
      <c r="I1306" s="8" t="s">
        <v>54</v>
      </c>
      <c r="J1306" s="10" t="str">
        <f t="shared" ref="J1306:M1306" si="788">ifs(OR($H1306="R",$I1306="N"),"N/A",OR(C1306="A",C1306="B",C1306="C",C1306="U"),3,TRUE,"FLAG")</f>
        <v>N/A</v>
      </c>
      <c r="K1306" s="10" t="str">
        <f t="shared" si="788"/>
        <v>N/A</v>
      </c>
      <c r="L1306" s="10" t="str">
        <f t="shared" si="788"/>
        <v>N/A</v>
      </c>
      <c r="M1306" s="10" t="str">
        <f t="shared" si="788"/>
        <v>N/A</v>
      </c>
      <c r="N1306" s="10" t="str">
        <f t="shared" si="2"/>
        <v>21-5601(a) - Endangering a Child; Knowingly and unreasonably cause or permit a child less than 18 yrs of age to be placed in situation in which child's life, body or health may be endangered</v>
      </c>
      <c r="O1306" s="10" t="str">
        <f t="shared" si="3"/>
        <v>Endangering a Child</v>
      </c>
    </row>
    <row r="1307">
      <c r="A1307" s="7" t="s">
        <v>2385</v>
      </c>
      <c r="B1307" s="8" t="s">
        <v>2386</v>
      </c>
      <c r="C1307" s="8" t="s">
        <v>27</v>
      </c>
      <c r="D1307" s="8" t="s">
        <v>28</v>
      </c>
      <c r="E1307" s="8" t="s">
        <v>19</v>
      </c>
      <c r="F1307" s="8" t="s">
        <v>20</v>
      </c>
      <c r="G1307" s="8" t="s">
        <v>21</v>
      </c>
      <c r="H1307" s="9"/>
      <c r="I1307" s="9"/>
      <c r="J1307" s="10">
        <f t="shared" ref="J1307:M1307" si="789">ifs(OR($H1307="R",$I1307="N"),"N/A",OR(C1307="A",C1307="B",C1307="C",C1307="U"),3,TRUE,"FLAG")</f>
        <v>3</v>
      </c>
      <c r="K1307" s="10">
        <f t="shared" si="789"/>
        <v>3</v>
      </c>
      <c r="L1307" s="10">
        <f t="shared" si="789"/>
        <v>3</v>
      </c>
      <c r="M1307" s="10" t="str">
        <f t="shared" si="789"/>
        <v>FLAG</v>
      </c>
      <c r="N1307" s="10" t="str">
        <f t="shared" si="2"/>
        <v>21-6317(a)(1) - Endangering the Food Supply; Knowingly bring into this state any domestic animal which is affected with or exposed to any contagious or infectious disease</v>
      </c>
      <c r="O1307" s="10" t="str">
        <f t="shared" si="3"/>
        <v>Endangering the Food Supply</v>
      </c>
    </row>
    <row r="1308">
      <c r="A1308" s="7" t="s">
        <v>2387</v>
      </c>
      <c r="B1308" s="8" t="s">
        <v>2386</v>
      </c>
      <c r="C1308" s="8">
        <v>4.0</v>
      </c>
      <c r="D1308" s="8">
        <v>6.0</v>
      </c>
      <c r="E1308" s="8">
        <v>6.0</v>
      </c>
      <c r="F1308" s="8">
        <v>7.0</v>
      </c>
      <c r="G1308" s="8" t="s">
        <v>21</v>
      </c>
      <c r="H1308" s="9"/>
      <c r="I1308" s="9"/>
      <c r="N1308" s="10" t="str">
        <f t="shared" si="2"/>
        <v>21-6317(a)(1) - Endangering the Food Supply; Knowingly bring into this state any domestic animal which is infected with or exposed to foot-and-mouth disease</v>
      </c>
      <c r="O1308" s="10" t="str">
        <f t="shared" si="3"/>
        <v>Endangering the Food Supply</v>
      </c>
    </row>
    <row r="1309">
      <c r="A1309" s="7" t="s">
        <v>2388</v>
      </c>
      <c r="B1309" s="8" t="s">
        <v>2389</v>
      </c>
      <c r="C1309" s="8" t="s">
        <v>27</v>
      </c>
      <c r="D1309" s="8" t="s">
        <v>28</v>
      </c>
      <c r="E1309" s="8" t="s">
        <v>19</v>
      </c>
      <c r="F1309" s="8" t="s">
        <v>20</v>
      </c>
      <c r="G1309" s="8" t="s">
        <v>21</v>
      </c>
      <c r="H1309" s="9"/>
      <c r="I1309" s="9"/>
      <c r="J1309" s="10">
        <f t="shared" ref="J1309:M1309" si="790">ifs(OR($H1309="R",$I1309="N"),"N/A",OR(C1309="A",C1309="B",C1309="C",C1309="U"),3,TRUE,"FLAG")</f>
        <v>3</v>
      </c>
      <c r="K1309" s="10">
        <f t="shared" si="790"/>
        <v>3</v>
      </c>
      <c r="L1309" s="10">
        <f t="shared" si="790"/>
        <v>3</v>
      </c>
      <c r="M1309" s="10" t="str">
        <f t="shared" si="790"/>
        <v>FLAG</v>
      </c>
      <c r="N1309" s="10" t="str">
        <f t="shared" si="2"/>
        <v>21-6317(a)(3) - Endangering the Food Supply; Knowingly bring or release into this state any plant pest or expose any plant to a plant pest</v>
      </c>
      <c r="O1309" s="10" t="str">
        <f t="shared" si="3"/>
        <v>Endangering the Food Supply</v>
      </c>
    </row>
    <row r="1310">
      <c r="A1310" s="7" t="s">
        <v>2390</v>
      </c>
      <c r="B1310" s="8" t="s">
        <v>2391</v>
      </c>
      <c r="C1310" s="8" t="s">
        <v>27</v>
      </c>
      <c r="D1310" s="8" t="s">
        <v>28</v>
      </c>
      <c r="E1310" s="8" t="s">
        <v>19</v>
      </c>
      <c r="F1310" s="8" t="s">
        <v>20</v>
      </c>
      <c r="G1310" s="8" t="s">
        <v>21</v>
      </c>
      <c r="H1310" s="9"/>
      <c r="I1310" s="9"/>
      <c r="J1310" s="10">
        <f t="shared" ref="J1310:M1310" si="791">ifs(OR($H1310="R",$I1310="N"),"N/A",OR(C1310="A",C1310="B",C1310="C",C1310="U"),3,TRUE,"FLAG")</f>
        <v>3</v>
      </c>
      <c r="K1310" s="10">
        <f t="shared" si="791"/>
        <v>3</v>
      </c>
      <c r="L1310" s="10">
        <f t="shared" si="791"/>
        <v>3</v>
      </c>
      <c r="M1310" s="10" t="str">
        <f t="shared" si="791"/>
        <v>FLAG</v>
      </c>
      <c r="N1310" s="10" t="str">
        <f t="shared" si="2"/>
        <v>21-6317(a)(2) - Endangering the Food Supply; Knowingly expose any animal in this state to any contagious or infectious disease</v>
      </c>
      <c r="O1310" s="10" t="str">
        <f t="shared" si="3"/>
        <v>Endangering the Food Supply</v>
      </c>
    </row>
    <row r="1311">
      <c r="A1311" s="7" t="s">
        <v>2392</v>
      </c>
      <c r="B1311" s="8" t="s">
        <v>2391</v>
      </c>
      <c r="C1311" s="8">
        <v>4.0</v>
      </c>
      <c r="D1311" s="8">
        <v>6.0</v>
      </c>
      <c r="E1311" s="8">
        <v>6.0</v>
      </c>
      <c r="F1311" s="8">
        <v>7.0</v>
      </c>
      <c r="G1311" s="8" t="s">
        <v>21</v>
      </c>
      <c r="H1311" s="9"/>
      <c r="I1311" s="9"/>
      <c r="N1311" s="10" t="str">
        <f t="shared" si="2"/>
        <v>21-6317(a)(2) - Endangering the Food Supply; Knowingly expose any animal in this state to foot-and-mouth disease</v>
      </c>
      <c r="O1311" s="10" t="str">
        <f t="shared" si="3"/>
        <v>Endangering the Food Supply</v>
      </c>
    </row>
    <row r="1312">
      <c r="A1312" s="7" t="s">
        <v>2393</v>
      </c>
      <c r="B1312" s="8" t="s">
        <v>2394</v>
      </c>
      <c r="C1312" s="8" t="s">
        <v>27</v>
      </c>
      <c r="D1312" s="8" t="s">
        <v>28</v>
      </c>
      <c r="E1312" s="8" t="s">
        <v>19</v>
      </c>
      <c r="F1312" s="8" t="s">
        <v>20</v>
      </c>
      <c r="G1312" s="8" t="s">
        <v>21</v>
      </c>
      <c r="H1312" s="9"/>
      <c r="I1312" s="9"/>
      <c r="J1312" s="10">
        <f t="shared" ref="J1312:M1312" si="792">ifs(OR($H1312="R",$I1312="N"),"N/A",OR(C1312="A",C1312="B",C1312="C",C1312="U"),3,TRUE,"FLAG")</f>
        <v>3</v>
      </c>
      <c r="K1312" s="10">
        <f t="shared" si="792"/>
        <v>3</v>
      </c>
      <c r="L1312" s="10">
        <f t="shared" si="792"/>
        <v>3</v>
      </c>
      <c r="M1312" s="10" t="str">
        <f t="shared" si="792"/>
        <v>FLAG</v>
      </c>
      <c r="N1312" s="10" t="str">
        <f t="shared" si="2"/>
        <v>21-6317(a)(4) - Endangering the Food Supply; Knowingly expose any raw agricultural commodity, animal feed or processed food to any contaminant or contagious or infectious disease</v>
      </c>
      <c r="O1312" s="10" t="str">
        <f t="shared" si="3"/>
        <v>Endangering the Food Supply</v>
      </c>
    </row>
    <row r="1313">
      <c r="A1313" s="7" t="s">
        <v>2395</v>
      </c>
      <c r="B1313" s="8" t="s">
        <v>2394</v>
      </c>
      <c r="C1313" s="8">
        <v>4.0</v>
      </c>
      <c r="D1313" s="8">
        <v>6.0</v>
      </c>
      <c r="E1313" s="8">
        <v>6.0</v>
      </c>
      <c r="F1313" s="8">
        <v>7.0</v>
      </c>
      <c r="G1313" s="8" t="s">
        <v>21</v>
      </c>
      <c r="H1313" s="9"/>
      <c r="I1313" s="9"/>
      <c r="N1313" s="10" t="str">
        <f t="shared" si="2"/>
        <v>21-6317(a)(4) - Endangering the Food Supply; Knowingly expose any raw agricultural commodity, animal feed or processed food to foot-and-mouth disease</v>
      </c>
      <c r="O1313" s="10" t="str">
        <f t="shared" si="3"/>
        <v>Endangering the Food Supply</v>
      </c>
    </row>
    <row r="1314">
      <c r="A1314" s="7" t="s">
        <v>2396</v>
      </c>
      <c r="B1314" s="8" t="s">
        <v>2397</v>
      </c>
      <c r="C1314" s="8" t="s">
        <v>27</v>
      </c>
      <c r="D1314" s="8" t="s">
        <v>28</v>
      </c>
      <c r="E1314" s="8" t="s">
        <v>19</v>
      </c>
      <c r="F1314" s="8" t="s">
        <v>20</v>
      </c>
      <c r="G1314" s="8" t="s">
        <v>24</v>
      </c>
      <c r="H1314" s="9"/>
      <c r="I1314" s="9"/>
      <c r="J1314" s="10">
        <f t="shared" ref="J1314:M1314" si="793">ifs(OR($H1314="R",$I1314="N"),"N/A",OR(C1314="A",C1314="B",C1314="C",C1314="U"),3,TRUE,"FLAG")</f>
        <v>3</v>
      </c>
      <c r="K1314" s="10">
        <f t="shared" si="793"/>
        <v>3</v>
      </c>
      <c r="L1314" s="10">
        <f t="shared" si="793"/>
        <v>3</v>
      </c>
      <c r="M1314" s="10" t="str">
        <f t="shared" si="793"/>
        <v>FLAG</v>
      </c>
      <c r="N1314" s="10" t="str">
        <f t="shared" si="2"/>
        <v>21-5429 - Endangerment; Recklessly exposing another person to a danger of great bodily harm or death</v>
      </c>
      <c r="O1314" s="10" t="str">
        <f t="shared" si="3"/>
        <v>Endangerment</v>
      </c>
    </row>
    <row r="1315">
      <c r="A1315" s="7" t="s">
        <v>2398</v>
      </c>
      <c r="B1315" s="8" t="s">
        <v>2399</v>
      </c>
      <c r="C1315" s="8" t="s">
        <v>27</v>
      </c>
      <c r="D1315" s="8" t="s">
        <v>28</v>
      </c>
      <c r="E1315" s="8" t="s">
        <v>19</v>
      </c>
      <c r="F1315" s="8" t="s">
        <v>20</v>
      </c>
      <c r="G1315" s="8" t="s">
        <v>21</v>
      </c>
      <c r="H1315" s="9"/>
      <c r="I1315" s="9"/>
      <c r="J1315" s="10">
        <f t="shared" ref="J1315:M1315" si="794">ifs(OR($H1315="R",$I1315="N"),"N/A",OR(C1315="A",C1315="B",C1315="C",C1315="U"),3,TRUE,"FLAG")</f>
        <v>3</v>
      </c>
      <c r="K1315" s="10">
        <f t="shared" si="794"/>
        <v>3</v>
      </c>
      <c r="L1315" s="10">
        <f t="shared" si="794"/>
        <v>3</v>
      </c>
      <c r="M1315" s="10" t="str">
        <f t="shared" si="794"/>
        <v>FLAG</v>
      </c>
      <c r="N1315" s="10" t="str">
        <f t="shared" si="2"/>
        <v>21-5911(a)(2) - Escape From Custody; While held in custody on a charge or adjudication or arrest as a juvenile offender where the act, if committed by an adult, would constitute a misdemeanor</v>
      </c>
      <c r="O1315" s="10" t="str">
        <f t="shared" si="3"/>
        <v>Escape From Custody</v>
      </c>
    </row>
    <row r="1316">
      <c r="A1316" s="7" t="s">
        <v>2400</v>
      </c>
      <c r="B1316" s="8" t="s">
        <v>2401</v>
      </c>
      <c r="C1316" s="8" t="s">
        <v>27</v>
      </c>
      <c r="D1316" s="8" t="s">
        <v>28</v>
      </c>
      <c r="E1316" s="8" t="s">
        <v>19</v>
      </c>
      <c r="F1316" s="8" t="s">
        <v>20</v>
      </c>
      <c r="G1316" s="8" t="s">
        <v>21</v>
      </c>
      <c r="H1316" s="9"/>
      <c r="I1316" s="9"/>
      <c r="J1316" s="10">
        <f t="shared" ref="J1316:M1316" si="795">ifs(OR($H1316="R",$I1316="N"),"N/A",OR(C1316="A",C1316="B",C1316="C",C1316="U"),3,TRUE,"FLAG")</f>
        <v>3</v>
      </c>
      <c r="K1316" s="10">
        <f t="shared" si="795"/>
        <v>3</v>
      </c>
      <c r="L1316" s="10">
        <f t="shared" si="795"/>
        <v>3</v>
      </c>
      <c r="M1316" s="10" t="str">
        <f t="shared" si="795"/>
        <v>FLAG</v>
      </c>
      <c r="N1316" s="10" t="str">
        <f t="shared" si="2"/>
        <v>21-5911(a)(1) - Escape From Custody; While held in custody on a charge, conviction of or arrest for a misdemeanor</v>
      </c>
      <c r="O1316" s="10" t="str">
        <f t="shared" si="3"/>
        <v>Escape From Custody</v>
      </c>
    </row>
    <row r="1317">
      <c r="A1317" s="7" t="s">
        <v>2402</v>
      </c>
      <c r="B1317" s="8" t="s">
        <v>2403</v>
      </c>
      <c r="C1317" s="8" t="s">
        <v>27</v>
      </c>
      <c r="D1317" s="8" t="s">
        <v>28</v>
      </c>
      <c r="E1317" s="8" t="s">
        <v>19</v>
      </c>
      <c r="F1317" s="8" t="s">
        <v>20</v>
      </c>
      <c r="G1317" s="8" t="s">
        <v>21</v>
      </c>
      <c r="H1317" s="9"/>
      <c r="I1317" s="9"/>
      <c r="J1317" s="10">
        <f t="shared" ref="J1317:M1317" si="796">ifs(OR($H1317="R",$I1317="N"),"N/A",OR(C1317="A",C1317="B",C1317="C",C1317="U"),3,TRUE,"FLAG")</f>
        <v>3</v>
      </c>
      <c r="K1317" s="10">
        <f t="shared" si="796"/>
        <v>3</v>
      </c>
      <c r="L1317" s="10">
        <f t="shared" si="796"/>
        <v>3</v>
      </c>
      <c r="M1317" s="10" t="str">
        <f t="shared" si="796"/>
        <v>FLAG</v>
      </c>
      <c r="N1317" s="10" t="str">
        <f t="shared" si="2"/>
        <v>21-5911(a)(3) - Escape From Custody; While held in custody on a commitment to the state security hospital as provided in K.S.A. 22-3428, based on a finding that the person committed an act constituting a misdemeanor or by a person 18 years of age or over who is being held in custody on an adjudication of a misdemeanor</v>
      </c>
      <c r="O1317" s="10" t="str">
        <f t="shared" si="3"/>
        <v>Escape From Custody</v>
      </c>
    </row>
    <row r="1318">
      <c r="A1318" s="7" t="s">
        <v>2404</v>
      </c>
      <c r="B1318" s="8" t="s">
        <v>2405</v>
      </c>
      <c r="C1318" s="8" t="s">
        <v>19</v>
      </c>
      <c r="D1318" s="8" t="s">
        <v>19</v>
      </c>
      <c r="E1318" s="8" t="s">
        <v>19</v>
      </c>
      <c r="F1318" s="8" t="s">
        <v>20</v>
      </c>
      <c r="G1318" s="8" t="s">
        <v>21</v>
      </c>
      <c r="H1318" s="9"/>
      <c r="I1318" s="9"/>
      <c r="J1318" s="10">
        <f t="shared" ref="J1318:M1318" si="797">ifs(OR($H1318="R",$I1318="N"),"N/A",OR(C1318="A",C1318="B",C1318="C",C1318="U"),3,TRUE,"FLAG")</f>
        <v>3</v>
      </c>
      <c r="K1318" s="10">
        <f t="shared" si="797"/>
        <v>3</v>
      </c>
      <c r="L1318" s="10">
        <f t="shared" si="797"/>
        <v>3</v>
      </c>
      <c r="M1318" s="10" t="str">
        <f t="shared" si="797"/>
        <v>FLAG</v>
      </c>
      <c r="N1318" s="10" t="str">
        <f t="shared" si="2"/>
        <v>58-2810 - Examination/Registration/Licensing &amp; Bonding of Abstracters; Unlawful for county officers to prevent use of records</v>
      </c>
      <c r="O1318" s="10" t="str">
        <f t="shared" si="3"/>
        <v>Examination/Registration/Licensing &amp; Bonding of Abstracters</v>
      </c>
    </row>
    <row r="1319">
      <c r="A1319" s="7" t="s">
        <v>2406</v>
      </c>
      <c r="B1319" s="8" t="s">
        <v>2407</v>
      </c>
      <c r="C1319" s="8" t="s">
        <v>19</v>
      </c>
      <c r="D1319" s="8" t="s">
        <v>19</v>
      </c>
      <c r="E1319" s="8" t="s">
        <v>19</v>
      </c>
      <c r="F1319" s="8" t="s">
        <v>20</v>
      </c>
      <c r="G1319" s="8" t="s">
        <v>21</v>
      </c>
      <c r="H1319" s="9"/>
      <c r="I1319" s="9"/>
      <c r="J1319" s="10">
        <f t="shared" ref="J1319:M1319" si="798">ifs(OR($H1319="R",$I1319="N"),"N/A",OR(C1319="A",C1319="B",C1319="C",C1319="U"),3,TRUE,"FLAG")</f>
        <v>3</v>
      </c>
      <c r="K1319" s="10">
        <f t="shared" si="798"/>
        <v>3</v>
      </c>
      <c r="L1319" s="10">
        <f t="shared" si="798"/>
        <v>3</v>
      </c>
      <c r="M1319" s="10" t="str">
        <f t="shared" si="798"/>
        <v>FLAG</v>
      </c>
      <c r="N1319" s="10" t="str">
        <f t="shared" si="2"/>
        <v>58-2809 - Examination/Registration/Licensing &amp; Bonding of Abstracters; Violation by licensee</v>
      </c>
      <c r="O1319" s="10" t="str">
        <f t="shared" si="3"/>
        <v>Examination/Registration/Licensing &amp; Bonding of Abstracters</v>
      </c>
    </row>
    <row r="1320">
      <c r="A1320" s="7" t="s">
        <v>2408</v>
      </c>
      <c r="B1320" s="8" t="s">
        <v>2409</v>
      </c>
      <c r="C1320" s="8">
        <v>8.0</v>
      </c>
      <c r="D1320" s="8">
        <v>10.0</v>
      </c>
      <c r="E1320" s="8">
        <v>10.0</v>
      </c>
      <c r="F1320" s="8">
        <v>10.0</v>
      </c>
      <c r="G1320" s="8" t="s">
        <v>21</v>
      </c>
      <c r="H1320" s="9"/>
      <c r="I1320" s="9"/>
      <c r="N1320" s="10" t="str">
        <f t="shared" si="2"/>
        <v>74-8760(c) - Expanded Lottery Act; Knowingly cheating including possession of or use of cheating device</v>
      </c>
      <c r="O1320" s="10" t="str">
        <f t="shared" si="3"/>
        <v>Expanded Lottery Act</v>
      </c>
    </row>
    <row r="1321">
      <c r="A1321" s="7" t="s">
        <v>2410</v>
      </c>
      <c r="B1321" s="8" t="s">
        <v>2411</v>
      </c>
      <c r="C1321" s="8">
        <v>8.0</v>
      </c>
      <c r="D1321" s="8">
        <v>10.0</v>
      </c>
      <c r="E1321" s="8">
        <v>10.0</v>
      </c>
      <c r="F1321" s="8">
        <v>10.0</v>
      </c>
      <c r="G1321" s="8" t="s">
        <v>21</v>
      </c>
      <c r="H1321" s="9"/>
      <c r="I1321" s="9"/>
      <c r="N1321" s="10" t="str">
        <f t="shared" si="2"/>
        <v>74-8759 - Expanded Lottery Act; Manipulation of an electronic gaming machine or lottery facility game with intent to change the outcome, pay out or operation thereof</v>
      </c>
      <c r="O1321" s="10" t="str">
        <f t="shared" si="3"/>
        <v>Expanded Lottery Act</v>
      </c>
    </row>
    <row r="1322">
      <c r="A1322" s="7" t="s">
        <v>2412</v>
      </c>
      <c r="B1322" s="8" t="s">
        <v>2413</v>
      </c>
      <c r="C1322" s="8">
        <v>9.0</v>
      </c>
      <c r="D1322" s="8">
        <v>10.0</v>
      </c>
      <c r="E1322" s="8">
        <v>10.0</v>
      </c>
      <c r="F1322" s="8">
        <v>10.0</v>
      </c>
      <c r="G1322" s="8" t="s">
        <v>21</v>
      </c>
      <c r="H1322" s="9"/>
      <c r="I1322" s="9"/>
      <c r="N1322" s="10" t="str">
        <f t="shared" si="2"/>
        <v>74-8761 - Expanded Lottery Act; Place in operation, continue to operate any gray machine for use by the public</v>
      </c>
      <c r="O1322" s="10" t="str">
        <f t="shared" si="3"/>
        <v>Expanded Lottery Act</v>
      </c>
    </row>
    <row r="1323">
      <c r="A1323" s="7" t="s">
        <v>2414</v>
      </c>
      <c r="B1323" s="8" t="s">
        <v>2415</v>
      </c>
      <c r="C1323" s="8" t="s">
        <v>27</v>
      </c>
      <c r="D1323" s="8" t="s">
        <v>28</v>
      </c>
      <c r="E1323" s="8" t="s">
        <v>19</v>
      </c>
      <c r="F1323" s="8" t="s">
        <v>20</v>
      </c>
      <c r="G1323" s="8" t="s">
        <v>21</v>
      </c>
      <c r="H1323" s="9"/>
      <c r="I1323" s="9"/>
      <c r="J1323" s="10">
        <f t="shared" ref="J1323:M1323" si="799">ifs(OR($H1323="R",$I1323="N"),"N/A",OR(C1323="A",C1323="B",C1323="C",C1323="U"),3,TRUE,"FLAG")</f>
        <v>3</v>
      </c>
      <c r="K1323" s="10">
        <f t="shared" si="799"/>
        <v>3</v>
      </c>
      <c r="L1323" s="10">
        <f t="shared" si="799"/>
        <v>3</v>
      </c>
      <c r="M1323" s="10" t="str">
        <f t="shared" si="799"/>
        <v>FLAG</v>
      </c>
      <c r="N1323" s="10" t="str">
        <f t="shared" si="2"/>
        <v>74-8758(b) - Expanded Lottery Act; Unauthorized playing of an electronic gaming machine at lottery gaming facility; 1st offense</v>
      </c>
      <c r="O1323" s="10" t="str">
        <f t="shared" si="3"/>
        <v>Expanded Lottery Act</v>
      </c>
    </row>
    <row r="1324">
      <c r="A1324" s="7" t="s">
        <v>2416</v>
      </c>
      <c r="B1324" s="8" t="s">
        <v>2415</v>
      </c>
      <c r="C1324" s="8">
        <v>9.0</v>
      </c>
      <c r="D1324" s="8">
        <v>10.0</v>
      </c>
      <c r="E1324" s="8">
        <v>10.0</v>
      </c>
      <c r="F1324" s="8">
        <v>10.0</v>
      </c>
      <c r="G1324" s="8" t="s">
        <v>21</v>
      </c>
      <c r="H1324" s="9"/>
      <c r="I1324" s="9"/>
      <c r="N1324" s="10" t="str">
        <f t="shared" si="2"/>
        <v>74-8758(b) - Expanded Lottery Act; Unauthorized playing of an electronic gaming machine at lottery gaming facility; 2nd or subs. offense</v>
      </c>
      <c r="O1324" s="10" t="str">
        <f t="shared" si="3"/>
        <v>Expanded Lottery Act</v>
      </c>
    </row>
    <row r="1325">
      <c r="A1325" s="7" t="s">
        <v>2417</v>
      </c>
      <c r="B1325" s="8" t="s">
        <v>2418</v>
      </c>
      <c r="C1325" s="8" t="s">
        <v>27</v>
      </c>
      <c r="D1325" s="8" t="s">
        <v>28</v>
      </c>
      <c r="E1325" s="8" t="s">
        <v>19</v>
      </c>
      <c r="F1325" s="8" t="s">
        <v>20</v>
      </c>
      <c r="G1325" s="8" t="s">
        <v>21</v>
      </c>
      <c r="H1325" s="9"/>
      <c r="I1325" s="9"/>
      <c r="J1325" s="10">
        <f t="shared" ref="J1325:M1325" si="800">ifs(OR($H1325="R",$I1325="N"),"N/A",OR(C1325="A",C1325="B",C1325="C",C1325="U"),3,TRUE,"FLAG")</f>
        <v>3</v>
      </c>
      <c r="K1325" s="10">
        <f t="shared" si="800"/>
        <v>3</v>
      </c>
      <c r="L1325" s="10">
        <f t="shared" si="800"/>
        <v>3</v>
      </c>
      <c r="M1325" s="10" t="str">
        <f t="shared" si="800"/>
        <v>FLAG</v>
      </c>
      <c r="N1325" s="10" t="str">
        <f t="shared" si="2"/>
        <v>74-8758(a) - Expanded Lottery Act; Unauthorized playing of an electronic gaming machine at racetrack gaming facility; 1st offense</v>
      </c>
      <c r="O1325" s="10" t="str">
        <f t="shared" si="3"/>
        <v>Expanded Lottery Act</v>
      </c>
    </row>
    <row r="1326">
      <c r="A1326" s="7" t="s">
        <v>2419</v>
      </c>
      <c r="B1326" s="8" t="s">
        <v>2418</v>
      </c>
      <c r="C1326" s="8">
        <v>9.0</v>
      </c>
      <c r="D1326" s="8">
        <v>10.0</v>
      </c>
      <c r="E1326" s="8">
        <v>10.0</v>
      </c>
      <c r="F1326" s="8">
        <v>10.0</v>
      </c>
      <c r="G1326" s="8" t="s">
        <v>21</v>
      </c>
      <c r="H1326" s="9"/>
      <c r="I1326" s="9"/>
      <c r="N1326" s="10" t="str">
        <f t="shared" si="2"/>
        <v>74-8758(a) - Expanded Lottery Act; Unauthorized playing of an electronic gaming machine at racetrack gaming facility; 2nd or subs. offense</v>
      </c>
      <c r="O1326" s="10" t="str">
        <f t="shared" si="3"/>
        <v>Expanded Lottery Act</v>
      </c>
    </row>
    <row r="1327">
      <c r="A1327" s="7" t="s">
        <v>2420</v>
      </c>
      <c r="B1327" s="8" t="s">
        <v>2421</v>
      </c>
      <c r="C1327" s="8" t="s">
        <v>27</v>
      </c>
      <c r="D1327" s="8" t="s">
        <v>28</v>
      </c>
      <c r="E1327" s="8" t="s">
        <v>19</v>
      </c>
      <c r="F1327" s="8" t="s">
        <v>20</v>
      </c>
      <c r="G1327" s="8" t="s">
        <v>21</v>
      </c>
      <c r="H1327" s="9"/>
      <c r="I1327" s="9"/>
      <c r="J1327" s="10">
        <f t="shared" ref="J1327:M1327" si="801">ifs(OR($H1327="R",$I1327="N"),"N/A",OR(C1327="A",C1327="B",C1327="C",C1327="U"),3,TRUE,"FLAG")</f>
        <v>3</v>
      </c>
      <c r="K1327" s="10">
        <f t="shared" si="801"/>
        <v>3</v>
      </c>
      <c r="L1327" s="10">
        <f t="shared" si="801"/>
        <v>3</v>
      </c>
      <c r="M1327" s="10" t="str">
        <f t="shared" si="801"/>
        <v>FLAG</v>
      </c>
      <c r="N1327" s="10" t="str">
        <f t="shared" si="2"/>
        <v>74-8760(b) - Expanded Lottery Act; Unauthorized wagering or playing electronic gaming machine by select persons at racetrack gaming facility</v>
      </c>
      <c r="O1327" s="10" t="str">
        <f t="shared" si="3"/>
        <v>Expanded Lottery Act</v>
      </c>
    </row>
    <row r="1328">
      <c r="A1328" s="7" t="s">
        <v>2422</v>
      </c>
      <c r="B1328" s="8" t="s">
        <v>2423</v>
      </c>
      <c r="C1328" s="8" t="s">
        <v>27</v>
      </c>
      <c r="D1328" s="8" t="s">
        <v>28</v>
      </c>
      <c r="E1328" s="8" t="s">
        <v>19</v>
      </c>
      <c r="F1328" s="8" t="s">
        <v>20</v>
      </c>
      <c r="G1328" s="8" t="s">
        <v>21</v>
      </c>
      <c r="H1328" s="9"/>
      <c r="I1328" s="9"/>
      <c r="J1328" s="10">
        <f t="shared" ref="J1328:M1328" si="802">ifs(OR($H1328="R",$I1328="N"),"N/A",OR(C1328="A",C1328="B",C1328="C",C1328="U"),3,TRUE,"FLAG")</f>
        <v>3</v>
      </c>
      <c r="K1328" s="10">
        <f t="shared" si="802"/>
        <v>3</v>
      </c>
      <c r="L1328" s="10">
        <f t="shared" si="802"/>
        <v>3</v>
      </c>
      <c r="M1328" s="10" t="str">
        <f t="shared" si="802"/>
        <v>FLAG</v>
      </c>
      <c r="N1328" s="10" t="str">
        <f t="shared" si="2"/>
        <v>74-8760(a) - Expanded Lottery Act; Unauthorized wagering or playing electronic gaming machine or lottery facility game by select persons at lottery gaming facility</v>
      </c>
      <c r="O1328" s="10" t="str">
        <f t="shared" si="3"/>
        <v>Expanded Lottery Act</v>
      </c>
    </row>
    <row r="1329">
      <c r="A1329" s="7" t="s">
        <v>2424</v>
      </c>
      <c r="B1329" s="8" t="s">
        <v>2425</v>
      </c>
      <c r="C1329" s="8" t="s">
        <v>27</v>
      </c>
      <c r="D1329" s="8" t="s">
        <v>28</v>
      </c>
      <c r="E1329" s="8" t="s">
        <v>19</v>
      </c>
      <c r="F1329" s="8" t="s">
        <v>20</v>
      </c>
      <c r="G1329" s="8" t="s">
        <v>21</v>
      </c>
      <c r="H1329" s="9"/>
      <c r="I1329" s="9"/>
      <c r="J1329" s="10">
        <f t="shared" ref="J1329:M1329" si="803">ifs(OR($H1329="R",$I1329="N"),"N/A",OR(C1329="A",C1329="B",C1329="C",C1329="U"),3,TRUE,"FLAG")</f>
        <v>3</v>
      </c>
      <c r="K1329" s="10">
        <f t="shared" si="803"/>
        <v>3</v>
      </c>
      <c r="L1329" s="10">
        <f t="shared" si="803"/>
        <v>3</v>
      </c>
      <c r="M1329" s="10" t="str">
        <f t="shared" si="803"/>
        <v>FLAG</v>
      </c>
      <c r="N1329" s="10" t="str">
        <f t="shared" si="2"/>
        <v>74-8756 - Expanded Lottery Act; Wager and loan violations; 1st offense</v>
      </c>
      <c r="O1329" s="10" t="str">
        <f t="shared" si="3"/>
        <v>Expanded Lottery Act</v>
      </c>
    </row>
    <row r="1330">
      <c r="A1330" s="7" t="s">
        <v>2426</v>
      </c>
      <c r="B1330" s="8" t="s">
        <v>2425</v>
      </c>
      <c r="C1330" s="8">
        <v>9.0</v>
      </c>
      <c r="D1330" s="8">
        <v>10.0</v>
      </c>
      <c r="E1330" s="8">
        <v>10.0</v>
      </c>
      <c r="F1330" s="8">
        <v>10.0</v>
      </c>
      <c r="G1330" s="8" t="s">
        <v>21</v>
      </c>
      <c r="H1330" s="9"/>
      <c r="I1330" s="9"/>
      <c r="N1330" s="10" t="str">
        <f t="shared" si="2"/>
        <v>74-8756 - Expanded Lottery Act; Wager and loan violations; 2nd or subs. offense</v>
      </c>
      <c r="O1330" s="10" t="str">
        <f t="shared" si="3"/>
        <v>Expanded Lottery Act</v>
      </c>
    </row>
    <row r="1331">
      <c r="A1331" s="7" t="s">
        <v>2427</v>
      </c>
      <c r="B1331" s="8" t="s">
        <v>2428</v>
      </c>
      <c r="C1331" s="8" t="s">
        <v>27</v>
      </c>
      <c r="D1331" s="8" t="s">
        <v>28</v>
      </c>
      <c r="E1331" s="8" t="s">
        <v>19</v>
      </c>
      <c r="F1331" s="8" t="s">
        <v>20</v>
      </c>
      <c r="G1331" s="8" t="s">
        <v>21</v>
      </c>
      <c r="H1331" s="9"/>
      <c r="I1331" s="9"/>
      <c r="J1331" s="10">
        <f t="shared" ref="J1331:M1331" si="804">ifs(OR($H1331="R",$I1331="N"),"N/A",OR(C1331="A",C1331="B",C1331="C",C1331="U"),3,TRUE,"FLAG")</f>
        <v>3</v>
      </c>
      <c r="K1331" s="10">
        <f t="shared" si="804"/>
        <v>3</v>
      </c>
      <c r="L1331" s="10">
        <f t="shared" si="804"/>
        <v>3</v>
      </c>
      <c r="M1331" s="10" t="str">
        <f t="shared" si="804"/>
        <v>FLAG</v>
      </c>
      <c r="N1331" s="10" t="str">
        <f t="shared" si="2"/>
        <v>74-8762 - Expanded Lottery Act; Willful violations of restrictions on officials and affiliated persons</v>
      </c>
      <c r="O1331" s="10" t="str">
        <f t="shared" si="3"/>
        <v>Expanded Lottery Act</v>
      </c>
    </row>
    <row r="1332">
      <c r="A1332" s="7" t="s">
        <v>2429</v>
      </c>
      <c r="B1332" s="8" t="s">
        <v>2430</v>
      </c>
      <c r="C1332" s="8">
        <v>7.0</v>
      </c>
      <c r="D1332" s="8">
        <v>9.0</v>
      </c>
      <c r="E1332" s="8">
        <v>9.0</v>
      </c>
      <c r="F1332" s="8">
        <v>10.0</v>
      </c>
      <c r="G1332" s="8" t="s">
        <v>24</v>
      </c>
      <c r="H1332" s="9"/>
      <c r="I1332" s="9"/>
      <c r="N1332" s="10" t="str">
        <f t="shared" si="2"/>
        <v>21-5424(a)(1) - Exposing Another to a Life Threatening Communicable Disease; Intentionally and knowingly engage in sexual intercourse or sodomy with another individual</v>
      </c>
      <c r="O1332" s="10" t="str">
        <f t="shared" si="3"/>
        <v>Exposing Another to a Life Threatening Communicable Disease</v>
      </c>
    </row>
    <row r="1333">
      <c r="A1333" s="7" t="s">
        <v>2431</v>
      </c>
      <c r="B1333" s="8" t="s">
        <v>2432</v>
      </c>
      <c r="C1333" s="8">
        <v>7.0</v>
      </c>
      <c r="D1333" s="8">
        <v>9.0</v>
      </c>
      <c r="E1333" s="8">
        <v>9.0</v>
      </c>
      <c r="F1333" s="8">
        <v>10.0</v>
      </c>
      <c r="G1333" s="8" t="s">
        <v>24</v>
      </c>
      <c r="H1333" s="9"/>
      <c r="I1333" s="9"/>
      <c r="N1333" s="10" t="str">
        <f t="shared" si="2"/>
        <v>21-5424(a)(2) - Exposing Another to a Life Threatening Communicable Disease; Intentionally and knowingly sell or donate one's own blood, blood products, semen, tissue, organs or other body fluids</v>
      </c>
      <c r="O1333" s="10" t="str">
        <f t="shared" si="3"/>
        <v>Exposing Another to a Life Threatening Communicable Disease</v>
      </c>
    </row>
    <row r="1334">
      <c r="A1334" s="7" t="s">
        <v>2433</v>
      </c>
      <c r="B1334" s="8" t="s">
        <v>2434</v>
      </c>
      <c r="C1334" s="8">
        <v>7.0</v>
      </c>
      <c r="D1334" s="8">
        <v>9.0</v>
      </c>
      <c r="E1334" s="8">
        <v>9.0</v>
      </c>
      <c r="F1334" s="8">
        <v>10.0</v>
      </c>
      <c r="G1334" s="8" t="s">
        <v>24</v>
      </c>
      <c r="H1334" s="9"/>
      <c r="I1334" s="9"/>
      <c r="N1334" s="10" t="str">
        <f t="shared" si="2"/>
        <v>21-5424(a)(3) - Exposing Another to a Life Threatening Communicable Disease; Intentionally and knowingly share a hypodermic needle, syringe, or both, with another</v>
      </c>
      <c r="O1334" s="10" t="str">
        <f t="shared" si="3"/>
        <v>Exposing Another to a Life Threatening Communicable Disease</v>
      </c>
    </row>
    <row r="1335">
      <c r="A1335" s="7" t="s">
        <v>2435</v>
      </c>
      <c r="B1335" s="8" t="s">
        <v>2436</v>
      </c>
      <c r="C1335" s="8">
        <v>7.0</v>
      </c>
      <c r="D1335" s="8">
        <v>9.0</v>
      </c>
      <c r="E1335" s="8">
        <v>9.0</v>
      </c>
      <c r="F1335" s="8">
        <v>10.0</v>
      </c>
      <c r="G1335" s="8" t="s">
        <v>21</v>
      </c>
      <c r="H1335" s="9"/>
      <c r="I1335" s="9"/>
      <c r="N1335" s="10" t="str">
        <f t="shared" si="2"/>
        <v>21-6501(a)(2)(A) - Extortion; Threat or promise to diminish or eliminate competition</v>
      </c>
      <c r="O1335" s="10" t="str">
        <f t="shared" si="3"/>
        <v>Extortion</v>
      </c>
    </row>
    <row r="1336">
      <c r="A1336" s="7" t="s">
        <v>2437</v>
      </c>
      <c r="B1336" s="8" t="s">
        <v>2438</v>
      </c>
      <c r="C1336" s="8">
        <v>7.0</v>
      </c>
      <c r="D1336" s="8">
        <v>9.0</v>
      </c>
      <c r="E1336" s="8">
        <v>9.0</v>
      </c>
      <c r="F1336" s="8">
        <v>10.0</v>
      </c>
      <c r="G1336" s="8" t="s">
        <v>21</v>
      </c>
      <c r="H1336" s="9"/>
      <c r="I1336" s="9"/>
      <c r="N1336" s="10" t="str">
        <f t="shared" si="2"/>
        <v>21-6501(a)(2)(B) - Extortion; Threat or promise to increase, decrease or maintain the price of goods or services purchased or sold</v>
      </c>
      <c r="O1336" s="10" t="str">
        <f t="shared" si="3"/>
        <v>Extortion</v>
      </c>
    </row>
    <row r="1337">
      <c r="A1337" s="7" t="s">
        <v>2439</v>
      </c>
      <c r="B1337" s="8" t="s">
        <v>2440</v>
      </c>
      <c r="C1337" s="8">
        <v>7.0</v>
      </c>
      <c r="D1337" s="8">
        <v>9.0</v>
      </c>
      <c r="E1337" s="8">
        <v>9.0</v>
      </c>
      <c r="F1337" s="8">
        <v>10.0</v>
      </c>
      <c r="G1337" s="8" t="s">
        <v>21</v>
      </c>
      <c r="H1337" s="9"/>
      <c r="I1337" s="9"/>
      <c r="N1337" s="10" t="str">
        <f t="shared" si="2"/>
        <v>21-6501(a)(2)(C) - Extortion; Threat or promise to protect the business, person or family of the owner, proprietor or interested person by violence or other unlawful means</v>
      </c>
      <c r="O1337" s="10" t="str">
        <f t="shared" si="3"/>
        <v>Extortion</v>
      </c>
    </row>
    <row r="1338">
      <c r="A1338" s="7" t="s">
        <v>2441</v>
      </c>
      <c r="B1338" s="8" t="s">
        <v>2442</v>
      </c>
      <c r="C1338" s="8" t="s">
        <v>28</v>
      </c>
      <c r="D1338" s="8" t="s">
        <v>19</v>
      </c>
      <c r="E1338" s="8" t="s">
        <v>19</v>
      </c>
      <c r="F1338" s="8" t="s">
        <v>20</v>
      </c>
      <c r="G1338" s="8" t="s">
        <v>21</v>
      </c>
      <c r="H1338" s="9"/>
      <c r="I1338" s="9"/>
      <c r="J1338" s="10">
        <f t="shared" ref="J1338:M1338" si="805">ifs(OR($H1338="R",$I1338="N"),"N/A",OR(C1338="A",C1338="B",C1338="C",C1338="U"),3,TRUE,"FLAG")</f>
        <v>3</v>
      </c>
      <c r="K1338" s="10">
        <f t="shared" si="805"/>
        <v>3</v>
      </c>
      <c r="L1338" s="10">
        <f t="shared" si="805"/>
        <v>3</v>
      </c>
      <c r="M1338" s="10" t="str">
        <f t="shared" si="805"/>
        <v>FLAG</v>
      </c>
      <c r="N1338" s="10" t="str">
        <f t="shared" si="2"/>
        <v>21-5915(a) - Failure to Appear; Knowingly incurring a forfeiture of an appearance bond and failing to surrender oneself within 30 days of forfeiture by one charged with or convicted of a misdemeanor</v>
      </c>
      <c r="O1338" s="10" t="str">
        <f t="shared" si="3"/>
        <v>Failure to Appear</v>
      </c>
    </row>
    <row r="1339">
      <c r="A1339" s="7" t="s">
        <v>2443</v>
      </c>
      <c r="B1339" s="8" t="s">
        <v>2444</v>
      </c>
      <c r="C1339" s="8" t="s">
        <v>27</v>
      </c>
      <c r="D1339" s="8" t="s">
        <v>28</v>
      </c>
      <c r="E1339" s="8" t="s">
        <v>19</v>
      </c>
      <c r="F1339" s="8" t="s">
        <v>20</v>
      </c>
      <c r="G1339" s="8" t="s">
        <v>21</v>
      </c>
      <c r="H1339" s="9"/>
      <c r="I1339" s="9"/>
      <c r="J1339" s="10">
        <f t="shared" ref="J1339:M1339" si="806">ifs(OR($H1339="R",$I1339="N"),"N/A",OR(C1339="A",C1339="B",C1339="C",C1339="U"),3,TRUE,"FLAG")</f>
        <v>3</v>
      </c>
      <c r="K1339" s="10">
        <f t="shared" si="806"/>
        <v>3</v>
      </c>
      <c r="L1339" s="10">
        <f t="shared" si="806"/>
        <v>3</v>
      </c>
      <c r="M1339" s="10" t="str">
        <f t="shared" si="806"/>
        <v>FLAG</v>
      </c>
      <c r="N1339" s="10" t="str">
        <f t="shared" si="2"/>
        <v>21-5930(a)(2) - Failure to Maintain Adequate Records; Negligently fail to maintain records necessary to fully disclose all income and expenditures upon which rates of medical payments were based</v>
      </c>
      <c r="O1339" s="10" t="str">
        <f t="shared" si="3"/>
        <v>Failure to Maintain Adequate Records</v>
      </c>
    </row>
    <row r="1340">
      <c r="A1340" s="7" t="s">
        <v>2445</v>
      </c>
      <c r="B1340" s="8" t="s">
        <v>2446</v>
      </c>
      <c r="C1340" s="8" t="s">
        <v>27</v>
      </c>
      <c r="D1340" s="8" t="s">
        <v>28</v>
      </c>
      <c r="E1340" s="8" t="s">
        <v>19</v>
      </c>
      <c r="F1340" s="8" t="s">
        <v>20</v>
      </c>
      <c r="G1340" s="8" t="s">
        <v>21</v>
      </c>
      <c r="H1340" s="9"/>
      <c r="I1340" s="9"/>
      <c r="J1340" s="10">
        <f t="shared" ref="J1340:M1340" si="807">ifs(OR($H1340="R",$I1340="N"),"N/A",OR(C1340="A",C1340="B",C1340="C",C1340="U"),3,TRUE,"FLAG")</f>
        <v>3</v>
      </c>
      <c r="K1340" s="10">
        <f t="shared" si="807"/>
        <v>3</v>
      </c>
      <c r="L1340" s="10">
        <f t="shared" si="807"/>
        <v>3</v>
      </c>
      <c r="M1340" s="10" t="str">
        <f t="shared" si="807"/>
        <v>FLAG</v>
      </c>
      <c r="N1340" s="10" t="str">
        <f t="shared" si="2"/>
        <v>21-5930(a)(1) - Failure to Maintain Adequate Records; Negligently fail to maintain records necessary to fully disclose the nature of goods, services, items, facilities or accommodations for which a medicaid claim was submitted or payment received</v>
      </c>
      <c r="O1340" s="10" t="str">
        <f t="shared" si="3"/>
        <v>Failure to Maintain Adequate Records</v>
      </c>
    </row>
    <row r="1341">
      <c r="A1341" s="7" t="s">
        <v>2447</v>
      </c>
      <c r="B1341" s="8" t="s">
        <v>2448</v>
      </c>
      <c r="C1341" s="8">
        <v>8.0</v>
      </c>
      <c r="D1341" s="8">
        <v>10.0</v>
      </c>
      <c r="E1341" s="8">
        <v>10.0</v>
      </c>
      <c r="F1341" s="8">
        <v>10.0</v>
      </c>
      <c r="G1341" s="8" t="s">
        <v>21</v>
      </c>
      <c r="H1341" s="9"/>
      <c r="I1341" s="9"/>
      <c r="N1341" s="10" t="str">
        <f t="shared" si="2"/>
        <v>21-5935(a) - Failure to register an aircraft</v>
      </c>
      <c r="O1341" s="10" t="str">
        <f t="shared" si="3"/>
        <v>Failure to register an aircraft</v>
      </c>
    </row>
    <row r="1342">
      <c r="A1342" s="7" t="s">
        <v>2449</v>
      </c>
      <c r="B1342" s="8" t="s">
        <v>2450</v>
      </c>
      <c r="C1342" s="8" t="s">
        <v>19</v>
      </c>
      <c r="D1342" s="8" t="s">
        <v>19</v>
      </c>
      <c r="E1342" s="8" t="s">
        <v>19</v>
      </c>
      <c r="F1342" s="8" t="s">
        <v>20</v>
      </c>
      <c r="G1342" s="8" t="s">
        <v>21</v>
      </c>
      <c r="H1342" s="9"/>
      <c r="I1342" s="9"/>
      <c r="J1342" s="10">
        <f t="shared" ref="J1342:M1342" si="808">ifs(OR($H1342="R",$I1342="N"),"N/A",OR(C1342="A",C1342="B",C1342="C",C1342="U"),3,TRUE,"FLAG")</f>
        <v>3</v>
      </c>
      <c r="K1342" s="10">
        <f t="shared" si="808"/>
        <v>3</v>
      </c>
      <c r="L1342" s="10">
        <f t="shared" si="808"/>
        <v>3</v>
      </c>
      <c r="M1342" s="10" t="str">
        <f t="shared" si="808"/>
        <v>FLAG</v>
      </c>
      <c r="N1342" s="10" t="str">
        <f t="shared" si="2"/>
        <v>21-6311(a)(2) - Failure to Register Explosives; Receipt of explosives or detonating substance</v>
      </c>
      <c r="O1342" s="10" t="str">
        <f t="shared" si="3"/>
        <v>Failure to Register Explosives</v>
      </c>
    </row>
    <row r="1343">
      <c r="A1343" s="7" t="s">
        <v>2451</v>
      </c>
      <c r="B1343" s="8" t="s">
        <v>2452</v>
      </c>
      <c r="C1343" s="8" t="s">
        <v>28</v>
      </c>
      <c r="D1343" s="8" t="s">
        <v>19</v>
      </c>
      <c r="E1343" s="8" t="s">
        <v>19</v>
      </c>
      <c r="F1343" s="8" t="s">
        <v>20</v>
      </c>
      <c r="G1343" s="8" t="s">
        <v>21</v>
      </c>
      <c r="H1343" s="9"/>
      <c r="I1343" s="9"/>
      <c r="J1343" s="10">
        <f t="shared" ref="J1343:M1343" si="809">ifs(OR($H1343="R",$I1343="N"),"N/A",OR(C1343="A",C1343="B",C1343="C",C1343="U"),3,TRUE,"FLAG")</f>
        <v>3</v>
      </c>
      <c r="K1343" s="10">
        <f t="shared" si="809"/>
        <v>3</v>
      </c>
      <c r="L1343" s="10">
        <f t="shared" si="809"/>
        <v>3</v>
      </c>
      <c r="M1343" s="10" t="str">
        <f t="shared" si="809"/>
        <v>FLAG</v>
      </c>
      <c r="N1343" s="10" t="str">
        <f t="shared" si="2"/>
        <v>21-6311(a)(1) - Failure to Register Explosives; Sale of explosives or detonating substance</v>
      </c>
      <c r="O1343" s="10" t="str">
        <f t="shared" si="3"/>
        <v>Failure to Register Explosives</v>
      </c>
    </row>
    <row r="1344">
      <c r="A1344" s="7" t="s">
        <v>2453</v>
      </c>
      <c r="B1344" s="8" t="s">
        <v>2454</v>
      </c>
      <c r="C1344" s="8">
        <v>6.0</v>
      </c>
      <c r="D1344" s="8">
        <v>8.0</v>
      </c>
      <c r="E1344" s="8">
        <v>8.0</v>
      </c>
      <c r="F1344" s="8">
        <v>9.0</v>
      </c>
      <c r="G1344" s="8" t="s">
        <v>24</v>
      </c>
      <c r="H1344" s="9"/>
      <c r="I1344" s="9"/>
      <c r="N1344" s="10" t="str">
        <f t="shared" si="2"/>
        <v>8-1602(a) - Failure to Remain; At scene of accident resulting in death of any person</v>
      </c>
      <c r="O1344" s="10" t="str">
        <f t="shared" si="3"/>
        <v>Failure to Remain</v>
      </c>
    </row>
    <row r="1345">
      <c r="A1345" s="7" t="s">
        <v>2455</v>
      </c>
      <c r="B1345" s="8" t="s">
        <v>2454</v>
      </c>
      <c r="C1345" s="8">
        <v>5.0</v>
      </c>
      <c r="D1345" s="8">
        <v>7.0</v>
      </c>
      <c r="E1345" s="8">
        <v>7.0</v>
      </c>
      <c r="F1345" s="8">
        <v>8.0</v>
      </c>
      <c r="G1345" s="8" t="s">
        <v>24</v>
      </c>
      <c r="H1345" s="9"/>
      <c r="I1345" s="9"/>
      <c r="N1345" s="10" t="str">
        <f t="shared" si="2"/>
        <v>8-1602(a) - Failure to Remain; At scene of accident resulting in death of any person, if the person knew or reasonably should have known that such accident resulted in injury or death</v>
      </c>
      <c r="O1345" s="10" t="str">
        <f t="shared" si="3"/>
        <v>Failure to Remain</v>
      </c>
    </row>
    <row r="1346">
      <c r="A1346" s="7" t="s">
        <v>2456</v>
      </c>
      <c r="B1346" s="8" t="s">
        <v>2454</v>
      </c>
      <c r="C1346" s="8">
        <v>8.0</v>
      </c>
      <c r="D1346" s="8">
        <v>10.0</v>
      </c>
      <c r="E1346" s="8">
        <v>10.0</v>
      </c>
      <c r="F1346" s="8">
        <v>10.0</v>
      </c>
      <c r="G1346" s="8" t="s">
        <v>24</v>
      </c>
      <c r="H1346" s="9"/>
      <c r="I1346" s="9"/>
      <c r="N1346" s="10" t="str">
        <f t="shared" si="2"/>
        <v>8-1602(a) - Failure to Remain; At scene of accident resulting in great bodily harm to any person</v>
      </c>
      <c r="O1346" s="10" t="str">
        <f t="shared" si="3"/>
        <v>Failure to Remain</v>
      </c>
    </row>
    <row r="1347">
      <c r="A1347" s="7" t="s">
        <v>2457</v>
      </c>
      <c r="B1347" s="8" t="s">
        <v>2454</v>
      </c>
      <c r="C1347" s="8" t="s">
        <v>27</v>
      </c>
      <c r="D1347" s="8" t="s">
        <v>28</v>
      </c>
      <c r="E1347" s="8" t="s">
        <v>19</v>
      </c>
      <c r="F1347" s="8" t="s">
        <v>20</v>
      </c>
      <c r="G1347" s="8" t="s">
        <v>24</v>
      </c>
      <c r="H1347" s="9"/>
      <c r="I1347" s="9"/>
      <c r="J1347" s="10">
        <f t="shared" ref="J1347:M1347" si="810">ifs(OR($H1347="R",$I1347="N"),"N/A",OR(C1347="A",C1347="B",C1347="C",C1347="U"),3,TRUE,"FLAG")</f>
        <v>3</v>
      </c>
      <c r="K1347" s="10">
        <f t="shared" si="810"/>
        <v>3</v>
      </c>
      <c r="L1347" s="10">
        <f t="shared" si="810"/>
        <v>3</v>
      </c>
      <c r="M1347" s="10" t="str">
        <f t="shared" si="810"/>
        <v>FLAG</v>
      </c>
      <c r="N1347" s="10" t="str">
        <f t="shared" si="2"/>
        <v>8-1602(a) - Failure to Remain; At scene of accident resulting in injury to any person or total property damages in excess of $1,000 or more</v>
      </c>
      <c r="O1347" s="10" t="str">
        <f t="shared" si="3"/>
        <v>Failure to Remain</v>
      </c>
    </row>
    <row r="1348">
      <c r="A1348" s="7" t="s">
        <v>2458</v>
      </c>
      <c r="B1348" s="8" t="s">
        <v>2454</v>
      </c>
      <c r="C1348" s="8" t="s">
        <v>19</v>
      </c>
      <c r="D1348" s="8" t="s">
        <v>19</v>
      </c>
      <c r="E1348" s="8" t="s">
        <v>19</v>
      </c>
      <c r="F1348" s="8" t="s">
        <v>20</v>
      </c>
      <c r="G1348" s="8" t="s">
        <v>21</v>
      </c>
      <c r="H1348" s="9"/>
      <c r="I1348" s="9"/>
      <c r="J1348" s="10">
        <f t="shared" ref="J1348:M1348" si="811">ifs(OR($H1348="R",$I1348="N"),"N/A",OR(C1348="A",C1348="B",C1348="C",C1348="U"),3,TRUE,"FLAG")</f>
        <v>3</v>
      </c>
      <c r="K1348" s="10">
        <f t="shared" si="811"/>
        <v>3</v>
      </c>
      <c r="L1348" s="10">
        <f t="shared" si="811"/>
        <v>3</v>
      </c>
      <c r="M1348" s="10" t="str">
        <f t="shared" si="811"/>
        <v>FLAG</v>
      </c>
      <c r="N1348" s="10" t="str">
        <f t="shared" si="2"/>
        <v>8-1602(a) - Failure to Remain; At scene of accident resulting in total property damages or less than $1,000; 1st offense</v>
      </c>
      <c r="O1348" s="10" t="str">
        <f t="shared" si="3"/>
        <v>Failure to Remain</v>
      </c>
    </row>
    <row r="1349">
      <c r="A1349" s="7" t="s">
        <v>2459</v>
      </c>
      <c r="B1349" s="8" t="s">
        <v>2454</v>
      </c>
      <c r="C1349" s="8" t="s">
        <v>28</v>
      </c>
      <c r="D1349" s="8" t="s">
        <v>19</v>
      </c>
      <c r="E1349" s="8" t="s">
        <v>19</v>
      </c>
      <c r="F1349" s="8" t="s">
        <v>20</v>
      </c>
      <c r="G1349" s="8" t="s">
        <v>21</v>
      </c>
      <c r="H1349" s="9"/>
      <c r="I1349" s="9"/>
      <c r="J1349" s="10">
        <f t="shared" ref="J1349:M1349" si="812">ifs(OR($H1349="R",$I1349="N"),"N/A",OR(C1349="A",C1349="B",C1349="C",C1349="U"),3,TRUE,"FLAG")</f>
        <v>3</v>
      </c>
      <c r="K1349" s="10">
        <f t="shared" si="812"/>
        <v>3</v>
      </c>
      <c r="L1349" s="10">
        <f t="shared" si="812"/>
        <v>3</v>
      </c>
      <c r="M1349" s="10" t="str">
        <f t="shared" si="812"/>
        <v>FLAG</v>
      </c>
      <c r="N1349" s="10" t="str">
        <f t="shared" si="2"/>
        <v>8-1602(a) - Failure to Remain; At scene of accident resulting in total property damages or less than $1,000; 2nd offense within 1 yr of the 1st offense</v>
      </c>
      <c r="O1349" s="10" t="str">
        <f t="shared" si="3"/>
        <v>Failure to Remain</v>
      </c>
    </row>
    <row r="1350">
      <c r="A1350" s="7" t="s">
        <v>2460</v>
      </c>
      <c r="B1350" s="8" t="s">
        <v>2454</v>
      </c>
      <c r="C1350" s="8" t="s">
        <v>27</v>
      </c>
      <c r="D1350" s="8" t="s">
        <v>28</v>
      </c>
      <c r="E1350" s="8" t="s">
        <v>19</v>
      </c>
      <c r="F1350" s="8" t="s">
        <v>20</v>
      </c>
      <c r="G1350" s="8" t="s">
        <v>21</v>
      </c>
      <c r="H1350" s="9"/>
      <c r="I1350" s="9"/>
      <c r="J1350" s="10">
        <f t="shared" ref="J1350:M1350" si="813">ifs(OR($H1350="R",$I1350="N"),"N/A",OR(C1350="A",C1350="B",C1350="C",C1350="U"),3,TRUE,"FLAG")</f>
        <v>3</v>
      </c>
      <c r="K1350" s="10">
        <f t="shared" si="813"/>
        <v>3</v>
      </c>
      <c r="L1350" s="10">
        <f t="shared" si="813"/>
        <v>3</v>
      </c>
      <c r="M1350" s="10" t="str">
        <f t="shared" si="813"/>
        <v>FLAG</v>
      </c>
      <c r="N1350" s="10" t="str">
        <f t="shared" si="2"/>
        <v>8-1602(a) - Failure to Remain; At scene of accident resulting in total property damages or less than $1,000; 3rd or subs. offense within 1 yr of the 1st</v>
      </c>
      <c r="O1350" s="10" t="str">
        <f t="shared" si="3"/>
        <v>Failure to Remain</v>
      </c>
    </row>
    <row r="1351">
      <c r="A1351" s="7" t="s">
        <v>2461</v>
      </c>
      <c r="B1351" s="8" t="s">
        <v>2462</v>
      </c>
      <c r="C1351" s="8" t="s">
        <v>19</v>
      </c>
      <c r="D1351" s="8" t="s">
        <v>19</v>
      </c>
      <c r="E1351" s="8" t="s">
        <v>19</v>
      </c>
      <c r="F1351" s="8" t="s">
        <v>20</v>
      </c>
      <c r="G1351" s="8" t="s">
        <v>21</v>
      </c>
      <c r="H1351" s="9"/>
      <c r="I1351" s="9"/>
      <c r="J1351" s="10">
        <f t="shared" ref="J1351:M1351" si="814">ifs(OR($H1351="R",$I1351="N"),"N/A",OR(C1351="A",C1351="B",C1351="C",C1351="U"),3,TRUE,"FLAG")</f>
        <v>3</v>
      </c>
      <c r="K1351" s="10">
        <f t="shared" si="814"/>
        <v>3</v>
      </c>
      <c r="L1351" s="10">
        <f t="shared" si="814"/>
        <v>3</v>
      </c>
      <c r="M1351" s="10" t="str">
        <f t="shared" si="814"/>
        <v>FLAG</v>
      </c>
      <c r="N1351" s="10" t="str">
        <f t="shared" si="2"/>
        <v>21-6319(a)(1) - Failure to Report a Wound; Any bullet wound, gunshot wound, powder burn or other injury arising from or caused by a firearm</v>
      </c>
      <c r="O1351" s="10" t="str">
        <f t="shared" si="3"/>
        <v>Failure to Report a Wound</v>
      </c>
    </row>
    <row r="1352">
      <c r="A1352" s="7" t="s">
        <v>2463</v>
      </c>
      <c r="B1352" s="8" t="s">
        <v>2464</v>
      </c>
      <c r="C1352" s="8" t="s">
        <v>19</v>
      </c>
      <c r="D1352" s="8" t="s">
        <v>19</v>
      </c>
      <c r="E1352" s="8" t="s">
        <v>19</v>
      </c>
      <c r="F1352" s="8" t="s">
        <v>20</v>
      </c>
      <c r="G1352" s="8" t="s">
        <v>21</v>
      </c>
      <c r="H1352" s="9"/>
      <c r="I1352" s="9"/>
      <c r="J1352" s="10">
        <f t="shared" ref="J1352:M1352" si="815">ifs(OR($H1352="R",$I1352="N"),"N/A",OR(C1352="A",C1352="B",C1352="C",C1352="U"),3,TRUE,"FLAG")</f>
        <v>3</v>
      </c>
      <c r="K1352" s="10">
        <f t="shared" si="815"/>
        <v>3</v>
      </c>
      <c r="L1352" s="10">
        <f t="shared" si="815"/>
        <v>3</v>
      </c>
      <c r="M1352" s="10" t="str">
        <f t="shared" si="815"/>
        <v>FLAG</v>
      </c>
      <c r="N1352" s="10" t="str">
        <f t="shared" si="2"/>
        <v>21-6319(a)(2) - Failure to Report a Wound; Any wound potentially resulting in death and apparently inflicted by a knife, ice pick, or other sharp or pointed instrument</v>
      </c>
      <c r="O1352" s="10" t="str">
        <f t="shared" si="3"/>
        <v>Failure to Report a Wound</v>
      </c>
    </row>
    <row r="1353">
      <c r="A1353" s="7" t="s">
        <v>2465</v>
      </c>
      <c r="B1353" s="12" t="s">
        <v>2466</v>
      </c>
      <c r="C1353" s="8" t="s">
        <v>19</v>
      </c>
      <c r="D1353" s="8" t="s">
        <v>19</v>
      </c>
      <c r="E1353" s="8" t="s">
        <v>19</v>
      </c>
      <c r="F1353" s="8" t="s">
        <v>20</v>
      </c>
      <c r="G1353" s="8" t="s">
        <v>21</v>
      </c>
      <c r="H1353" s="9"/>
      <c r="I1353" s="9"/>
      <c r="J1353" s="10">
        <f t="shared" ref="J1353:M1353" si="816">ifs(OR($H1353="R",$I1353="N"),"N/A",OR(C1353="A",C1353="B",C1353="C",C1353="U"),3,TRUE,"FLAG")</f>
        <v>3</v>
      </c>
      <c r="K1353" s="10">
        <f t="shared" si="816"/>
        <v>3</v>
      </c>
      <c r="L1353" s="10">
        <f t="shared" si="816"/>
        <v>3</v>
      </c>
      <c r="M1353" s="10" t="str">
        <f t="shared" si="816"/>
        <v>FLAG</v>
      </c>
      <c r="N1353" s="10" t="str">
        <f t="shared" si="2"/>
        <v>-106071 - Failure to Report Accident; Fail to file written report as required; 1st violation</v>
      </c>
      <c r="O1353" s="10" t="str">
        <f t="shared" si="3"/>
        <v>Failure to Report Accident</v>
      </c>
    </row>
    <row r="1354">
      <c r="A1354" s="7" t="s">
        <v>2467</v>
      </c>
      <c r="B1354" s="12" t="s">
        <v>2466</v>
      </c>
      <c r="C1354" s="8" t="s">
        <v>28</v>
      </c>
      <c r="D1354" s="8" t="s">
        <v>19</v>
      </c>
      <c r="E1354" s="8" t="s">
        <v>19</v>
      </c>
      <c r="F1354" s="8" t="s">
        <v>20</v>
      </c>
      <c r="G1354" s="8" t="s">
        <v>21</v>
      </c>
      <c r="H1354" s="9"/>
      <c r="I1354" s="9"/>
      <c r="J1354" s="10">
        <f t="shared" ref="J1354:M1354" si="817">ifs(OR($H1354="R",$I1354="N"),"N/A",OR(C1354="A",C1354="B",C1354="C",C1354="U"),3,TRUE,"FLAG")</f>
        <v>3</v>
      </c>
      <c r="K1354" s="10">
        <f t="shared" si="817"/>
        <v>3</v>
      </c>
      <c r="L1354" s="10">
        <f t="shared" si="817"/>
        <v>3</v>
      </c>
      <c r="M1354" s="10" t="str">
        <f t="shared" si="817"/>
        <v>FLAG</v>
      </c>
      <c r="N1354" s="10" t="str">
        <f t="shared" si="2"/>
        <v>-106071 - Failure to Report Accident; Fail to file written report as required; 2nd violation within 1 yr of 1st offense</v>
      </c>
      <c r="O1354" s="10" t="str">
        <f t="shared" si="3"/>
        <v>Failure to Report Accident</v>
      </c>
    </row>
    <row r="1355">
      <c r="A1355" s="7" t="s">
        <v>2468</v>
      </c>
      <c r="B1355" s="12" t="s">
        <v>2466</v>
      </c>
      <c r="C1355" s="8" t="s">
        <v>27</v>
      </c>
      <c r="D1355" s="8" t="s">
        <v>28</v>
      </c>
      <c r="E1355" s="8" t="s">
        <v>19</v>
      </c>
      <c r="F1355" s="8" t="s">
        <v>20</v>
      </c>
      <c r="G1355" s="8" t="s">
        <v>21</v>
      </c>
      <c r="H1355" s="9"/>
      <c r="I1355" s="9"/>
      <c r="J1355" s="10">
        <f t="shared" ref="J1355:M1355" si="818">ifs(OR($H1355="R",$I1355="N"),"N/A",OR(C1355="A",C1355="B",C1355="C",C1355="U"),3,TRUE,"FLAG")</f>
        <v>3</v>
      </c>
      <c r="K1355" s="10">
        <f t="shared" si="818"/>
        <v>3</v>
      </c>
      <c r="L1355" s="10">
        <f t="shared" si="818"/>
        <v>3</v>
      </c>
      <c r="M1355" s="10" t="str">
        <f t="shared" si="818"/>
        <v>FLAG</v>
      </c>
      <c r="N1355" s="10" t="str">
        <f t="shared" si="2"/>
        <v>-106071 - Failure to Report Accident; Fail to file written report as required; 3rd violation within 1 yr of 1st offense</v>
      </c>
      <c r="O1355" s="10" t="str">
        <f t="shared" si="3"/>
        <v>Failure to Report Accident</v>
      </c>
    </row>
    <row r="1356">
      <c r="A1356" s="7" t="s">
        <v>2469</v>
      </c>
      <c r="B1356" s="8" t="s">
        <v>2470</v>
      </c>
      <c r="C1356" s="8" t="s">
        <v>19</v>
      </c>
      <c r="D1356" s="8" t="s">
        <v>19</v>
      </c>
      <c r="E1356" s="8" t="s">
        <v>19</v>
      </c>
      <c r="F1356" s="8" t="s">
        <v>20</v>
      </c>
      <c r="G1356" s="8" t="s">
        <v>21</v>
      </c>
      <c r="H1356" s="9"/>
      <c r="I1356" s="9"/>
      <c r="J1356" s="10">
        <f t="shared" ref="J1356:M1356" si="819">ifs(OR($H1356="R",$I1356="N"),"N/A",OR(C1356="A",C1356="B",C1356="C",C1356="U"),3,TRUE,"FLAG")</f>
        <v>3</v>
      </c>
      <c r="K1356" s="10">
        <f t="shared" si="819"/>
        <v>3</v>
      </c>
      <c r="L1356" s="10">
        <f t="shared" si="819"/>
        <v>3</v>
      </c>
      <c r="M1356" s="10" t="str">
        <f t="shared" si="819"/>
        <v>FLAG</v>
      </c>
      <c r="N1356" s="10" t="str">
        <f t="shared" si="2"/>
        <v>8-1605(a) - Failure to Report Accident; Resulting in damage to unattended vehicle or property; 1st offense</v>
      </c>
      <c r="O1356" s="10" t="str">
        <f t="shared" si="3"/>
        <v>Failure to Report Accident</v>
      </c>
    </row>
    <row r="1357">
      <c r="A1357" s="7" t="s">
        <v>2471</v>
      </c>
      <c r="B1357" s="8" t="s">
        <v>2470</v>
      </c>
      <c r="C1357" s="8" t="s">
        <v>28</v>
      </c>
      <c r="D1357" s="8" t="s">
        <v>19</v>
      </c>
      <c r="E1357" s="8" t="s">
        <v>19</v>
      </c>
      <c r="F1357" s="8" t="s">
        <v>20</v>
      </c>
      <c r="G1357" s="8" t="s">
        <v>21</v>
      </c>
      <c r="H1357" s="9"/>
      <c r="I1357" s="9"/>
      <c r="J1357" s="10">
        <f t="shared" ref="J1357:M1357" si="820">ifs(OR($H1357="R",$I1357="N"),"N/A",OR(C1357="A",C1357="B",C1357="C",C1357="U"),3,TRUE,"FLAG")</f>
        <v>3</v>
      </c>
      <c r="K1357" s="10">
        <f t="shared" si="820"/>
        <v>3</v>
      </c>
      <c r="L1357" s="10">
        <f t="shared" si="820"/>
        <v>3</v>
      </c>
      <c r="M1357" s="10" t="str">
        <f t="shared" si="820"/>
        <v>FLAG</v>
      </c>
      <c r="N1357" s="10" t="str">
        <f t="shared" si="2"/>
        <v>8-1605(a) - Failure to Report Accident; Resulting in damage to unattended vehicle or property; 2nd offense within 1 yr of the 1st offense</v>
      </c>
      <c r="O1357" s="10" t="str">
        <f t="shared" si="3"/>
        <v>Failure to Report Accident</v>
      </c>
    </row>
    <row r="1358">
      <c r="A1358" s="7" t="s">
        <v>2472</v>
      </c>
      <c r="B1358" s="8" t="s">
        <v>2470</v>
      </c>
      <c r="C1358" s="8" t="s">
        <v>27</v>
      </c>
      <c r="D1358" s="8" t="s">
        <v>28</v>
      </c>
      <c r="E1358" s="8" t="s">
        <v>19</v>
      </c>
      <c r="F1358" s="8" t="s">
        <v>20</v>
      </c>
      <c r="G1358" s="8" t="s">
        <v>21</v>
      </c>
      <c r="H1358" s="9"/>
      <c r="I1358" s="9"/>
      <c r="J1358" s="10">
        <f t="shared" ref="J1358:M1358" si="821">ifs(OR($H1358="R",$I1358="N"),"N/A",OR(C1358="A",C1358="B",C1358="C",C1358="U"),3,TRUE,"FLAG")</f>
        <v>3</v>
      </c>
      <c r="K1358" s="10">
        <f t="shared" si="821"/>
        <v>3</v>
      </c>
      <c r="L1358" s="10">
        <f t="shared" si="821"/>
        <v>3</v>
      </c>
      <c r="M1358" s="10" t="str">
        <f t="shared" si="821"/>
        <v>FLAG</v>
      </c>
      <c r="N1358" s="10" t="str">
        <f t="shared" si="2"/>
        <v>8-1605(a) - Failure to Report Accident; Resulting in damage to unattended vehicle or property; 3rd or subs. offense within 1 yr of the 1st offense</v>
      </c>
      <c r="O1358" s="10" t="str">
        <f t="shared" si="3"/>
        <v>Failure to Report Accident</v>
      </c>
    </row>
    <row r="1359">
      <c r="A1359" s="7" t="s">
        <v>2473</v>
      </c>
      <c r="B1359" s="8" t="s">
        <v>2474</v>
      </c>
      <c r="C1359" s="8" t="s">
        <v>28</v>
      </c>
      <c r="D1359" s="8" t="s">
        <v>19</v>
      </c>
      <c r="E1359" s="8" t="s">
        <v>19</v>
      </c>
      <c r="F1359" s="8" t="s">
        <v>20</v>
      </c>
      <c r="G1359" s="8" t="s">
        <v>21</v>
      </c>
      <c r="H1359" s="9"/>
      <c r="I1359" s="9"/>
      <c r="J1359" s="10">
        <f t="shared" ref="J1359:M1359" si="822">ifs(OR($H1359="R",$I1359="N"),"N/A",OR(C1359="A",C1359="B",C1359="C",C1359="U"),3,TRUE,"FLAG")</f>
        <v>3</v>
      </c>
      <c r="K1359" s="10">
        <f t="shared" si="822"/>
        <v>3</v>
      </c>
      <c r="L1359" s="10">
        <f t="shared" si="822"/>
        <v>3</v>
      </c>
      <c r="M1359" s="10" t="str">
        <f t="shared" si="822"/>
        <v>FLAG</v>
      </c>
      <c r="N1359" s="10" t="str">
        <f t="shared" si="2"/>
        <v>21-5938(b)(1)(B) - Failure to Report the Death of a Child; Knowingly failing to report the death to law enforcement officer or agencies with intent to conceal a crime by certain person required to report abuse or neglect in K.S.A. 38-2223</v>
      </c>
      <c r="O1359" s="10" t="str">
        <f t="shared" si="3"/>
        <v>Failure to Report the Death of a Child</v>
      </c>
    </row>
    <row r="1360">
      <c r="A1360" s="7" t="s">
        <v>2475</v>
      </c>
      <c r="B1360" s="8" t="s">
        <v>2476</v>
      </c>
      <c r="C1360" s="8">
        <v>8.0</v>
      </c>
      <c r="D1360" s="8">
        <v>10.0</v>
      </c>
      <c r="E1360" s="8">
        <v>10.0</v>
      </c>
      <c r="F1360" s="8">
        <v>10.0</v>
      </c>
      <c r="G1360" s="8" t="s">
        <v>21</v>
      </c>
      <c r="H1360" s="9"/>
      <c r="I1360" s="9"/>
      <c r="N1360" s="10" t="str">
        <f t="shared" si="2"/>
        <v>21-5938(b)(1)(A) - Failure to Report the Death of a Child; Knowingly failing to report the death to law enforcement officer or agencies with intent to conceal a crime by parent, legal guardian or caretaker</v>
      </c>
      <c r="O1360" s="10" t="str">
        <f t="shared" si="3"/>
        <v>Failure to Report the Death of a Child</v>
      </c>
    </row>
    <row r="1361">
      <c r="A1361" s="7" t="s">
        <v>2477</v>
      </c>
      <c r="B1361" s="8" t="s">
        <v>2478</v>
      </c>
      <c r="C1361" s="8">
        <v>8.0</v>
      </c>
      <c r="D1361" s="8">
        <v>10.0</v>
      </c>
      <c r="E1361" s="8">
        <v>10.0</v>
      </c>
      <c r="F1361" s="8">
        <v>10.0</v>
      </c>
      <c r="G1361" s="8" t="s">
        <v>21</v>
      </c>
      <c r="H1361" s="9"/>
      <c r="I1361" s="9"/>
      <c r="N1361" s="10" t="str">
        <f t="shared" si="2"/>
        <v>21-5938(a)(1) - Failure to Report the Disappearance of a Child under 13; Knowingly failing to report the disappearance to law enforcement officer or agencies by parent, legal guardian or caretaker when person knows or reasonably should know child has been missing, with intent to conceal commission of a crime</v>
      </c>
      <c r="O1361" s="10" t="str">
        <f t="shared" si="3"/>
        <v>Failure to Report the Disappearance of a Child under 13</v>
      </c>
    </row>
    <row r="1362">
      <c r="A1362" s="7" t="s">
        <v>2479</v>
      </c>
      <c r="B1362" s="8" t="s">
        <v>2480</v>
      </c>
      <c r="C1362" s="8">
        <v>8.0</v>
      </c>
      <c r="D1362" s="8">
        <v>10.0</v>
      </c>
      <c r="E1362" s="8">
        <v>10.0</v>
      </c>
      <c r="F1362" s="8">
        <v>10.0</v>
      </c>
      <c r="G1362" s="8" t="s">
        <v>21</v>
      </c>
      <c r="H1362" s="9"/>
      <c r="I1362" s="9"/>
      <c r="N1362" s="10" t="str">
        <f t="shared" si="2"/>
        <v>21-5938(a)(2) - Failure to Report the Disappearance of a Child under 13; Knowingly failing to report the disappearance to law enforcement officer or agencies by parent, legal guardian or caretaker when person knows that child is missing and has reason to believe that child is in imminent danger of death or great bodily harm</v>
      </c>
      <c r="O1362" s="10" t="str">
        <f t="shared" si="3"/>
        <v>Failure to Report the Disappearance of a Child under 13</v>
      </c>
    </row>
    <row r="1363">
      <c r="A1363" s="7" t="s">
        <v>2481</v>
      </c>
      <c r="B1363" s="8" t="s">
        <v>2482</v>
      </c>
      <c r="C1363" s="8" t="s">
        <v>19</v>
      </c>
      <c r="D1363" s="8" t="s">
        <v>19</v>
      </c>
      <c r="E1363" s="8" t="s">
        <v>19</v>
      </c>
      <c r="F1363" s="8" t="s">
        <v>20</v>
      </c>
      <c r="G1363" s="8" t="s">
        <v>21</v>
      </c>
      <c r="H1363" s="9"/>
      <c r="I1363" s="9"/>
      <c r="J1363" s="10">
        <f t="shared" ref="J1363:M1363" si="823">ifs(OR($H1363="R",$I1363="N"),"N/A",OR(C1363="A",C1363="B",C1363="C",C1363="U"),3,TRUE,"FLAG")</f>
        <v>3</v>
      </c>
      <c r="K1363" s="10">
        <f t="shared" si="823"/>
        <v>3</v>
      </c>
      <c r="L1363" s="10">
        <f t="shared" si="823"/>
        <v>3</v>
      </c>
      <c r="M1363" s="10" t="str">
        <f t="shared" si="823"/>
        <v>FLAG</v>
      </c>
      <c r="N1363" s="10" t="str">
        <f t="shared" si="2"/>
        <v>50-720 - Fair Credit Reporting Act; Any violation of K.S.A. 50-701 to 50-719, inclusive, unless otherwise provided</v>
      </c>
      <c r="O1363" s="10" t="str">
        <f t="shared" si="3"/>
        <v>Fair Credit Reporting Act</v>
      </c>
    </row>
    <row r="1364">
      <c r="A1364" s="7" t="s">
        <v>2483</v>
      </c>
      <c r="B1364" s="8" t="s">
        <v>2484</v>
      </c>
      <c r="C1364" s="8">
        <v>7.0</v>
      </c>
      <c r="D1364" s="8">
        <v>9.0</v>
      </c>
      <c r="E1364" s="8">
        <v>9.0</v>
      </c>
      <c r="F1364" s="8">
        <v>10.0</v>
      </c>
      <c r="G1364" s="8" t="s">
        <v>24</v>
      </c>
      <c r="H1364" s="9"/>
      <c r="I1364" s="9"/>
      <c r="N1364" s="10" t="str">
        <f t="shared" si="2"/>
        <v>50-718 - Fair Credit Reporting Act; Obtaining information under false pretenses</v>
      </c>
      <c r="O1364" s="10" t="str">
        <f t="shared" si="3"/>
        <v>Fair Credit Reporting Act</v>
      </c>
    </row>
    <row r="1365">
      <c r="A1365" s="7" t="s">
        <v>2485</v>
      </c>
      <c r="B1365" s="8" t="s">
        <v>2486</v>
      </c>
      <c r="C1365" s="8">
        <v>7.0</v>
      </c>
      <c r="D1365" s="8">
        <v>9.0</v>
      </c>
      <c r="E1365" s="8">
        <v>9.0</v>
      </c>
      <c r="F1365" s="8">
        <v>10.0</v>
      </c>
      <c r="G1365" s="8" t="s">
        <v>24</v>
      </c>
      <c r="H1365" s="9"/>
      <c r="I1365" s="9"/>
      <c r="N1365" s="10" t="str">
        <f t="shared" si="2"/>
        <v>50-719 - Fair Credit Reporting Act; Unauthorized disclosures by officers or employees</v>
      </c>
      <c r="O1365" s="10" t="str">
        <f t="shared" si="3"/>
        <v>Fair Credit Reporting Act</v>
      </c>
    </row>
    <row r="1366">
      <c r="A1366" s="7" t="s">
        <v>2487</v>
      </c>
      <c r="B1366" s="8" t="s">
        <v>2488</v>
      </c>
      <c r="C1366" s="8" t="s">
        <v>27</v>
      </c>
      <c r="D1366" s="8" t="s">
        <v>28</v>
      </c>
      <c r="E1366" s="8" t="s">
        <v>19</v>
      </c>
      <c r="F1366" s="8" t="s">
        <v>20</v>
      </c>
      <c r="G1366" s="8" t="s">
        <v>21</v>
      </c>
      <c r="H1366" s="9"/>
      <c r="I1366" s="9"/>
      <c r="J1366" s="10">
        <f t="shared" ref="J1366:M1366" si="824">ifs(OR($H1366="R",$I1366="N"),"N/A",OR(C1366="A",C1366="B",C1366="C",C1366="U"),3,TRUE,"FLAG")</f>
        <v>3</v>
      </c>
      <c r="K1366" s="10">
        <f t="shared" si="824"/>
        <v>3</v>
      </c>
      <c r="L1366" s="10">
        <f t="shared" si="824"/>
        <v>3</v>
      </c>
      <c r="M1366" s="10" t="str">
        <f t="shared" si="824"/>
        <v>FLAG</v>
      </c>
      <c r="N1366" s="10" t="str">
        <f t="shared" si="2"/>
        <v>21-6207(a)(2) - False Alarm; Knowingly making an emergency assistance call</v>
      </c>
      <c r="O1366" s="10" t="str">
        <f t="shared" si="3"/>
        <v>False Alarm</v>
      </c>
    </row>
    <row r="1367">
      <c r="A1367" s="7" t="s">
        <v>2489</v>
      </c>
      <c r="B1367" s="8" t="s">
        <v>2488</v>
      </c>
      <c r="C1367" s="8">
        <v>7.0</v>
      </c>
      <c r="D1367" s="8">
        <v>9.0</v>
      </c>
      <c r="E1367" s="8">
        <v>9.0</v>
      </c>
      <c r="F1367" s="8">
        <v>10.0</v>
      </c>
      <c r="G1367" s="8" t="s">
        <v>21</v>
      </c>
      <c r="H1367" s="9"/>
      <c r="I1367" s="9"/>
      <c r="N1367" s="10" t="str">
        <f t="shared" si="2"/>
        <v>21-6207(a)(2) - False Alarm; Knowingly making an emergency assistance call; including false information that violent criminal activity or immediate threat to a person's life or safety is taking place</v>
      </c>
      <c r="O1367" s="10" t="str">
        <f t="shared" si="3"/>
        <v>False Alarm</v>
      </c>
    </row>
    <row r="1368">
      <c r="A1368" s="7" t="s">
        <v>2490</v>
      </c>
      <c r="B1368" s="8" t="s">
        <v>2488</v>
      </c>
      <c r="C1368" s="8">
        <v>10.0</v>
      </c>
      <c r="D1368" s="8">
        <v>10.0</v>
      </c>
      <c r="E1368" s="8">
        <v>10.0</v>
      </c>
      <c r="F1368" s="8">
        <v>10.0</v>
      </c>
      <c r="G1368" s="8" t="s">
        <v>21</v>
      </c>
      <c r="H1368" s="9"/>
      <c r="I1368" s="9"/>
      <c r="N1368" s="10" t="str">
        <f t="shared" si="2"/>
        <v>21-6207(a)(2) - False Alarm; Knowingly making an emergency assistance call; using electronic device or software to alter, conceal or disguise identity</v>
      </c>
      <c r="O1368" s="10" t="str">
        <f t="shared" si="3"/>
        <v>False Alarm</v>
      </c>
    </row>
    <row r="1369">
      <c r="A1369" s="7" t="s">
        <v>2491</v>
      </c>
      <c r="B1369" s="8" t="s">
        <v>2492</v>
      </c>
      <c r="C1369" s="8" t="s">
        <v>27</v>
      </c>
      <c r="D1369" s="8" t="s">
        <v>28</v>
      </c>
      <c r="E1369" s="8" t="s">
        <v>19</v>
      </c>
      <c r="F1369" s="8" t="s">
        <v>20</v>
      </c>
      <c r="G1369" s="8" t="s">
        <v>21</v>
      </c>
      <c r="H1369" s="9"/>
      <c r="I1369" s="9"/>
      <c r="J1369" s="10">
        <f t="shared" ref="J1369:M1369" si="825">ifs(OR($H1369="R",$I1369="N"),"N/A",OR(C1369="A",C1369="B",C1369="C",C1369="U"),3,TRUE,"FLAG")</f>
        <v>3</v>
      </c>
      <c r="K1369" s="10">
        <f t="shared" si="825"/>
        <v>3</v>
      </c>
      <c r="L1369" s="10">
        <f t="shared" si="825"/>
        <v>3</v>
      </c>
      <c r="M1369" s="10" t="str">
        <f t="shared" si="825"/>
        <v>FLAG</v>
      </c>
      <c r="N1369" s="10" t="str">
        <f t="shared" si="2"/>
        <v>21-6207(a)(1) - False Alarm; Knowingly transmitting a false fire alarm</v>
      </c>
      <c r="O1369" s="10" t="str">
        <f t="shared" si="3"/>
        <v>False Alarm</v>
      </c>
    </row>
    <row r="1370">
      <c r="A1370" s="7" t="s">
        <v>2493</v>
      </c>
      <c r="B1370" s="8" t="s">
        <v>2492</v>
      </c>
      <c r="C1370" s="8">
        <v>7.0</v>
      </c>
      <c r="D1370" s="8">
        <v>9.0</v>
      </c>
      <c r="E1370" s="8">
        <v>9.0</v>
      </c>
      <c r="F1370" s="8">
        <v>10.0</v>
      </c>
      <c r="G1370" s="8" t="s">
        <v>21</v>
      </c>
      <c r="H1370" s="9"/>
      <c r="I1370" s="9"/>
      <c r="N1370" s="10" t="str">
        <f t="shared" si="2"/>
        <v>21-6207(a)(1) - False Alarm; Knowingly transmitting a false fire alarm; including false information that violent criminal activity or immediate threat to a person's life or safety is taking place</v>
      </c>
      <c r="O1370" s="10" t="str">
        <f t="shared" si="3"/>
        <v>False Alarm</v>
      </c>
    </row>
    <row r="1371">
      <c r="A1371" s="7" t="s">
        <v>2494</v>
      </c>
      <c r="B1371" s="8" t="s">
        <v>2492</v>
      </c>
      <c r="C1371" s="8">
        <v>10.0</v>
      </c>
      <c r="D1371" s="8">
        <v>10.0</v>
      </c>
      <c r="E1371" s="8">
        <v>10.0</v>
      </c>
      <c r="F1371" s="8">
        <v>10.0</v>
      </c>
      <c r="G1371" s="8" t="s">
        <v>21</v>
      </c>
      <c r="H1371" s="9"/>
      <c r="I1371" s="9"/>
      <c r="N1371" s="10" t="str">
        <f t="shared" si="2"/>
        <v>21-6207(a)(1) - False Alarm; Knowingly transmitting a false fire alarm; using electronic device or software to alter, conceal or disguise identity</v>
      </c>
      <c r="O1371" s="10" t="str">
        <f t="shared" si="3"/>
        <v>False Alarm</v>
      </c>
    </row>
    <row r="1372">
      <c r="A1372" s="7" t="s">
        <v>2495</v>
      </c>
      <c r="B1372" s="8" t="s">
        <v>2496</v>
      </c>
      <c r="C1372" s="8" t="s">
        <v>28</v>
      </c>
      <c r="D1372" s="8" t="s">
        <v>19</v>
      </c>
      <c r="E1372" s="8" t="s">
        <v>19</v>
      </c>
      <c r="F1372" s="8" t="s">
        <v>20</v>
      </c>
      <c r="G1372" s="8" t="s">
        <v>21</v>
      </c>
      <c r="H1372" s="9"/>
      <c r="I1372" s="9"/>
      <c r="J1372" s="10">
        <f t="shared" ref="J1372:M1372" si="826">ifs(OR($H1372="R",$I1372="N"),"N/A",OR(C1372="A",C1372="B",C1372="C",C1372="U"),3,TRUE,"FLAG")</f>
        <v>3</v>
      </c>
      <c r="K1372" s="10">
        <f t="shared" si="826"/>
        <v>3</v>
      </c>
      <c r="L1372" s="10">
        <f t="shared" si="826"/>
        <v>3</v>
      </c>
      <c r="M1372" s="10" t="str">
        <f t="shared" si="826"/>
        <v>FLAG</v>
      </c>
      <c r="N1372" s="10" t="str">
        <f t="shared" si="2"/>
        <v>21-5917(a) - False Impersonation</v>
      </c>
      <c r="O1372" s="10" t="str">
        <f t="shared" si="3"/>
        <v>False Impersonation</v>
      </c>
    </row>
    <row r="1373">
      <c r="A1373" s="7" t="s">
        <v>2497</v>
      </c>
      <c r="B1373" s="12" t="s">
        <v>2498</v>
      </c>
      <c r="C1373" s="8" t="s">
        <v>18</v>
      </c>
      <c r="D1373" s="8" t="s">
        <v>18</v>
      </c>
      <c r="E1373" s="8" t="s">
        <v>19</v>
      </c>
      <c r="F1373" s="8" t="s">
        <v>20</v>
      </c>
      <c r="G1373" s="8" t="s">
        <v>21</v>
      </c>
      <c r="H1373" s="9"/>
      <c r="I1373" s="9"/>
      <c r="J1373" s="10">
        <f t="shared" ref="J1373:M1373" si="827">ifs(OR($H1373="R",$I1373="N"),"N/A",OR(C1373="A",C1373="B",C1373="C",C1373="U"),3,TRUE,"FLAG")</f>
        <v>3</v>
      </c>
      <c r="K1373" s="10">
        <f t="shared" si="827"/>
        <v>3</v>
      </c>
      <c r="L1373" s="10">
        <f t="shared" si="827"/>
        <v>3</v>
      </c>
      <c r="M1373" s="10" t="str">
        <f t="shared" si="827"/>
        <v>FLAG</v>
      </c>
      <c r="N1373" s="10" t="str">
        <f t="shared" si="2"/>
        <v>-106436 - False Information or Report; Knowingly give false information or report concerning accident</v>
      </c>
      <c r="O1373" s="10" t="str">
        <f t="shared" si="3"/>
        <v>False Information or Report</v>
      </c>
    </row>
    <row r="1374">
      <c r="A1374" s="7" t="s">
        <v>2499</v>
      </c>
      <c r="B1374" s="8" t="s">
        <v>2500</v>
      </c>
      <c r="C1374" s="8" t="s">
        <v>19</v>
      </c>
      <c r="D1374" s="8" t="s">
        <v>19</v>
      </c>
      <c r="E1374" s="8" t="s">
        <v>19</v>
      </c>
      <c r="F1374" s="8" t="s">
        <v>20</v>
      </c>
      <c r="G1374" s="8" t="s">
        <v>21</v>
      </c>
      <c r="H1374" s="9"/>
      <c r="I1374" s="9"/>
      <c r="J1374" s="10">
        <f t="shared" ref="J1374:M1374" si="828">ifs(OR($H1374="R",$I1374="N"),"N/A",OR(C1374="A",C1374="B",C1374="C",C1374="U"),3,TRUE,"FLAG")</f>
        <v>3</v>
      </c>
      <c r="K1374" s="10">
        <f t="shared" si="828"/>
        <v>3</v>
      </c>
      <c r="L1374" s="10">
        <f t="shared" si="828"/>
        <v>3</v>
      </c>
      <c r="M1374" s="10" t="str">
        <f t="shared" si="828"/>
        <v>FLAG</v>
      </c>
      <c r="N1374" s="10" t="str">
        <f t="shared" si="2"/>
        <v>21-6410(a) - False Membership Claim; Knowingly and falsely represent oneself to be a member of a fraternal or veteran's organization</v>
      </c>
      <c r="O1374" s="10" t="str">
        <f t="shared" si="3"/>
        <v>False Membership Claim</v>
      </c>
    </row>
    <row r="1375">
      <c r="A1375" s="7" t="s">
        <v>2501</v>
      </c>
      <c r="B1375" s="8" t="s">
        <v>2502</v>
      </c>
      <c r="C1375" s="8" t="s">
        <v>19</v>
      </c>
      <c r="D1375" s="8" t="s">
        <v>19</v>
      </c>
      <c r="E1375" s="8" t="s">
        <v>19</v>
      </c>
      <c r="F1375" s="8" t="s">
        <v>20</v>
      </c>
      <c r="G1375" s="8" t="s">
        <v>21</v>
      </c>
      <c r="H1375" s="9"/>
      <c r="I1375" s="9"/>
      <c r="J1375" s="10">
        <f t="shared" ref="J1375:M1375" si="829">ifs(OR($H1375="R",$I1375="N"),"N/A",OR(C1375="A",C1375="B",C1375="C",C1375="U"),3,TRUE,"FLAG")</f>
        <v>3</v>
      </c>
      <c r="K1375" s="10">
        <f t="shared" si="829"/>
        <v>3</v>
      </c>
      <c r="L1375" s="10">
        <f t="shared" si="829"/>
        <v>3</v>
      </c>
      <c r="M1375" s="10" t="str">
        <f t="shared" si="829"/>
        <v>FLAG</v>
      </c>
      <c r="N1375" s="10" t="str">
        <f t="shared" si="2"/>
        <v>21-5916(a) - False Signing of a Petition; Knowingly affixing any fictitious or unauthorized signature to document intended to presented to the legislature or any agency or officer of the state</v>
      </c>
      <c r="O1375" s="10" t="str">
        <f t="shared" si="3"/>
        <v>False Signing of a Petition</v>
      </c>
    </row>
    <row r="1376">
      <c r="A1376" s="7" t="s">
        <v>2503</v>
      </c>
      <c r="B1376" s="8" t="s">
        <v>2504</v>
      </c>
      <c r="C1376" s="8">
        <v>8.0</v>
      </c>
      <c r="D1376" s="8">
        <v>10.0</v>
      </c>
      <c r="E1376" s="8">
        <v>10.0</v>
      </c>
      <c r="F1376" s="8">
        <v>10.0</v>
      </c>
      <c r="G1376" s="8" t="s">
        <v>21</v>
      </c>
      <c r="H1376" s="9"/>
      <c r="I1376" s="9"/>
      <c r="N1376" s="10" t="str">
        <f t="shared" si="2"/>
        <v>21-5824(a) - False Writing; Make, generate, distribute or draw, any written instrument, electronic data or entry in a book of account knowing that such information falsely states or represents some material matter or is not what it purports to be, and with intent to defraud, obstruct the detection of a theft or felony offense or induce official action</v>
      </c>
      <c r="O1376" s="10" t="str">
        <f t="shared" si="3"/>
        <v>False Writing</v>
      </c>
    </row>
    <row r="1377">
      <c r="A1377" s="7" t="s">
        <v>2505</v>
      </c>
      <c r="B1377" s="12" t="s">
        <v>2506</v>
      </c>
      <c r="C1377" s="8" t="s">
        <v>18</v>
      </c>
      <c r="D1377" s="8" t="s">
        <v>18</v>
      </c>
      <c r="E1377" s="8" t="s">
        <v>19</v>
      </c>
      <c r="F1377" s="8" t="s">
        <v>20</v>
      </c>
      <c r="G1377" s="8" t="s">
        <v>21</v>
      </c>
      <c r="H1377" s="9"/>
      <c r="I1377" s="9"/>
      <c r="J1377" s="10">
        <f t="shared" ref="J1377:M1377" si="830">ifs(OR($H1377="R",$I1377="N"),"N/A",OR(C1377="A",C1377="B",C1377="C",C1377="U"),3,TRUE,"FLAG")</f>
        <v>3</v>
      </c>
      <c r="K1377" s="10">
        <f t="shared" si="830"/>
        <v>3</v>
      </c>
      <c r="L1377" s="10">
        <f t="shared" si="830"/>
        <v>3</v>
      </c>
      <c r="M1377" s="10" t="str">
        <f t="shared" si="830"/>
        <v>FLAG</v>
      </c>
      <c r="N1377" s="10" t="str">
        <f t="shared" si="2"/>
        <v>-287413 - Farm Produce; Dressed poultry; increasing weight prohibited</v>
      </c>
      <c r="O1377" s="10" t="str">
        <f t="shared" si="3"/>
        <v>Farm Produce</v>
      </c>
    </row>
    <row r="1378">
      <c r="A1378" s="7" t="s">
        <v>2507</v>
      </c>
      <c r="B1378" s="12" t="s">
        <v>2508</v>
      </c>
      <c r="C1378" s="8" t="s">
        <v>18</v>
      </c>
      <c r="D1378" s="8" t="s">
        <v>18</v>
      </c>
      <c r="E1378" s="8" t="s">
        <v>19</v>
      </c>
      <c r="F1378" s="8" t="s">
        <v>20</v>
      </c>
      <c r="G1378" s="8" t="s">
        <v>21</v>
      </c>
      <c r="H1378" s="9"/>
      <c r="I1378" s="9"/>
      <c r="J1378" s="10">
        <f t="shared" ref="J1378:M1378" si="831">ifs(OR($H1378="R",$I1378="N"),"N/A",OR(C1378="A",C1378="B",C1378="C",C1378="U"),3,TRUE,"FLAG")</f>
        <v>3</v>
      </c>
      <c r="K1378" s="10">
        <f t="shared" si="831"/>
        <v>3</v>
      </c>
      <c r="L1378" s="10">
        <f t="shared" si="831"/>
        <v>3</v>
      </c>
      <c r="M1378" s="10" t="str">
        <f t="shared" si="831"/>
        <v>FLAG</v>
      </c>
      <c r="N1378" s="10" t="str">
        <f t="shared" si="2"/>
        <v>-288509 - Farm Produce; Failure to maintain purchase memorandum manifesting the name and address of the seller, the number and kinds or colors of poultry purchased as required</v>
      </c>
      <c r="O1378" s="10" t="str">
        <f t="shared" si="3"/>
        <v>Farm Produce</v>
      </c>
    </row>
    <row r="1379">
      <c r="A1379" s="7" t="s">
        <v>2509</v>
      </c>
      <c r="B1379" s="12" t="s">
        <v>2510</v>
      </c>
      <c r="C1379" s="8" t="s">
        <v>18</v>
      </c>
      <c r="D1379" s="8" t="s">
        <v>18</v>
      </c>
      <c r="E1379" s="8" t="s">
        <v>19</v>
      </c>
      <c r="F1379" s="8" t="s">
        <v>20</v>
      </c>
      <c r="G1379" s="8" t="s">
        <v>21</v>
      </c>
      <c r="H1379" s="9"/>
      <c r="I1379" s="9"/>
      <c r="J1379" s="10">
        <f t="shared" ref="J1379:M1379" si="832">ifs(OR($H1379="R",$I1379="N"),"N/A",OR(C1379="A",C1379="B",C1379="C",C1379="U"),3,TRUE,"FLAG")</f>
        <v>3</v>
      </c>
      <c r="K1379" s="10">
        <f t="shared" si="832"/>
        <v>3</v>
      </c>
      <c r="L1379" s="10">
        <f t="shared" si="832"/>
        <v>3</v>
      </c>
      <c r="M1379" s="10" t="str">
        <f t="shared" si="832"/>
        <v>FLAG</v>
      </c>
      <c r="N1379" s="10" t="str">
        <f t="shared" si="2"/>
        <v>-287779 - Farm Produce; Fraudulent examination of records; penalty for violation</v>
      </c>
      <c r="O1379" s="10" t="str">
        <f t="shared" si="3"/>
        <v>Farm Produce</v>
      </c>
    </row>
    <row r="1380">
      <c r="A1380" s="7" t="s">
        <v>2511</v>
      </c>
      <c r="B1380" s="12" t="s">
        <v>2512</v>
      </c>
      <c r="C1380" s="8" t="s">
        <v>18</v>
      </c>
      <c r="D1380" s="8" t="s">
        <v>18</v>
      </c>
      <c r="E1380" s="8" t="s">
        <v>19</v>
      </c>
      <c r="F1380" s="8" t="s">
        <v>20</v>
      </c>
      <c r="G1380" s="8" t="s">
        <v>21</v>
      </c>
      <c r="H1380" s="9"/>
      <c r="I1380" s="9"/>
      <c r="J1380" s="10">
        <f t="shared" ref="J1380:M1380" si="833">ifs(OR($H1380="R",$I1380="N"),"N/A",OR(C1380="A",C1380="B",C1380="C",C1380="U"),3,TRUE,"FLAG")</f>
        <v>3</v>
      </c>
      <c r="K1380" s="10">
        <f t="shared" si="833"/>
        <v>3</v>
      </c>
      <c r="L1380" s="10">
        <f t="shared" si="833"/>
        <v>3</v>
      </c>
      <c r="M1380" s="10" t="str">
        <f t="shared" si="833"/>
        <v>FLAG</v>
      </c>
      <c r="N1380" s="10" t="str">
        <f t="shared" si="2"/>
        <v>-287048 - Farm Produce; Unlawful sale of dressed poultry</v>
      </c>
      <c r="O1380" s="10" t="str">
        <f t="shared" si="3"/>
        <v>Farm Produce</v>
      </c>
    </row>
    <row r="1381">
      <c r="A1381" s="7" t="s">
        <v>2513</v>
      </c>
      <c r="B1381" s="12" t="s">
        <v>2514</v>
      </c>
      <c r="C1381" s="8" t="s">
        <v>18</v>
      </c>
      <c r="D1381" s="8" t="s">
        <v>18</v>
      </c>
      <c r="E1381" s="8" t="s">
        <v>19</v>
      </c>
      <c r="F1381" s="8" t="s">
        <v>20</v>
      </c>
      <c r="G1381" s="8" t="s">
        <v>21</v>
      </c>
      <c r="H1381" s="9"/>
      <c r="I1381" s="9"/>
      <c r="J1381" s="10">
        <f t="shared" ref="J1381:M1381" si="834">ifs(OR($H1381="R",$I1381="N"),"N/A",OR(C1381="A",C1381="B",C1381="C",C1381="U"),3,TRUE,"FLAG")</f>
        <v>3</v>
      </c>
      <c r="K1381" s="10">
        <f t="shared" si="834"/>
        <v>3</v>
      </c>
      <c r="L1381" s="10">
        <f t="shared" si="834"/>
        <v>3</v>
      </c>
      <c r="M1381" s="10" t="str">
        <f t="shared" si="834"/>
        <v>FLAG</v>
      </c>
      <c r="N1381" s="10" t="str">
        <f t="shared" si="2"/>
        <v>-285952 - Farm Produce; Unlawful use of end intake air probes; penalty</v>
      </c>
      <c r="O1381" s="10" t="str">
        <f t="shared" si="3"/>
        <v>Farm Produce</v>
      </c>
    </row>
    <row r="1382">
      <c r="A1382" s="7" t="s">
        <v>2515</v>
      </c>
      <c r="B1382" s="8" t="s">
        <v>2516</v>
      </c>
      <c r="C1382" s="8" t="s">
        <v>18</v>
      </c>
      <c r="D1382" s="8" t="s">
        <v>18</v>
      </c>
      <c r="E1382" s="8" t="s">
        <v>19</v>
      </c>
      <c r="F1382" s="8" t="s">
        <v>20</v>
      </c>
      <c r="G1382" s="8" t="s">
        <v>21</v>
      </c>
      <c r="H1382" s="9"/>
      <c r="I1382" s="9"/>
      <c r="J1382" s="10">
        <f t="shared" ref="J1382:M1382" si="835">ifs(OR($H1382="R",$I1382="N"),"N/A",OR(C1382="A",C1382="B",C1382="C",C1382="U"),3,TRUE,"FLAG")</f>
        <v>3</v>
      </c>
      <c r="K1382" s="10">
        <f t="shared" si="835"/>
        <v>3</v>
      </c>
      <c r="L1382" s="10">
        <f t="shared" si="835"/>
        <v>3</v>
      </c>
      <c r="M1382" s="10" t="str">
        <f t="shared" si="835"/>
        <v>FLAG</v>
      </c>
      <c r="N1382" s="10" t="str">
        <f t="shared" si="2"/>
        <v>28-318 - Fees &amp; Salaries; Certain Counties over 140,000;  penalties for violation of 1911 act ; officer, deputy, assistant or clerk, who fails to perform any of the duties prescribed by this act</v>
      </c>
      <c r="O1382" s="10" t="str">
        <f t="shared" si="3"/>
        <v>Fees &amp; Salaries</v>
      </c>
    </row>
    <row r="1383">
      <c r="A1383" s="7" t="s">
        <v>2517</v>
      </c>
      <c r="B1383" s="8" t="s">
        <v>2518</v>
      </c>
      <c r="C1383" s="8" t="s">
        <v>18</v>
      </c>
      <c r="D1383" s="8" t="s">
        <v>18</v>
      </c>
      <c r="E1383" s="8" t="s">
        <v>19</v>
      </c>
      <c r="F1383" s="8" t="s">
        <v>20</v>
      </c>
      <c r="G1383" s="8" t="s">
        <v>21</v>
      </c>
      <c r="H1383" s="9"/>
      <c r="I1383" s="9"/>
      <c r="J1383" s="10">
        <f t="shared" ref="J1383:M1383" si="836">ifs(OR($H1383="R",$I1383="N"),"N/A",OR(C1383="A",C1383="B",C1383="C",C1383="U"),3,TRUE,"FLAG")</f>
        <v>3</v>
      </c>
      <c r="K1383" s="10">
        <f t="shared" si="836"/>
        <v>3</v>
      </c>
      <c r="L1383" s="10">
        <f t="shared" si="836"/>
        <v>3</v>
      </c>
      <c r="M1383" s="10" t="str">
        <f t="shared" si="836"/>
        <v>FLAG</v>
      </c>
      <c r="N1383" s="10" t="str">
        <f t="shared" si="2"/>
        <v>28-226 - Fees &amp; Salaries; Counties between 130,000 and 185,000; officer, deputy, assistant or clerk, who fails to perform any of the duties prescribed by this act</v>
      </c>
      <c r="O1383" s="10" t="str">
        <f t="shared" si="3"/>
        <v>Fees &amp; Salaries</v>
      </c>
    </row>
    <row r="1384">
      <c r="A1384" s="7" t="s">
        <v>2519</v>
      </c>
      <c r="B1384" s="8" t="s">
        <v>2520</v>
      </c>
      <c r="C1384" s="8" t="s">
        <v>18</v>
      </c>
      <c r="D1384" s="8" t="s">
        <v>18</v>
      </c>
      <c r="E1384" s="8" t="s">
        <v>19</v>
      </c>
      <c r="F1384" s="8" t="s">
        <v>20</v>
      </c>
      <c r="G1384" s="8" t="s">
        <v>21</v>
      </c>
      <c r="H1384" s="9"/>
      <c r="I1384" s="9"/>
      <c r="J1384" s="10">
        <f t="shared" ref="J1384:M1384" si="837">ifs(OR($H1384="R",$I1384="N"),"N/A",OR(C1384="A",C1384="B",C1384="C",C1384="U"),3,TRUE,"FLAG")</f>
        <v>3</v>
      </c>
      <c r="K1384" s="10">
        <f t="shared" si="837"/>
        <v>3</v>
      </c>
      <c r="L1384" s="10">
        <f t="shared" si="837"/>
        <v>3</v>
      </c>
      <c r="M1384" s="10" t="str">
        <f t="shared" si="837"/>
        <v>FLAG</v>
      </c>
      <c r="N1384" s="10" t="str">
        <f t="shared" si="2"/>
        <v>28-1008 - Fees &amp; Salaries; Counties Designated Urban Areas; officer, deputy, assistant or clerk, who fails to perform any of the duties prescribed by this act</v>
      </c>
      <c r="O1384" s="10" t="str">
        <f t="shared" si="3"/>
        <v>Fees &amp; Salaries</v>
      </c>
    </row>
    <row r="1385">
      <c r="A1385" s="7" t="s">
        <v>2521</v>
      </c>
      <c r="B1385" s="8" t="s">
        <v>2522</v>
      </c>
      <c r="C1385" s="8" t="s">
        <v>18</v>
      </c>
      <c r="D1385" s="8" t="s">
        <v>18</v>
      </c>
      <c r="E1385" s="8" t="s">
        <v>19</v>
      </c>
      <c r="F1385" s="8" t="s">
        <v>20</v>
      </c>
      <c r="G1385" s="8" t="s">
        <v>21</v>
      </c>
      <c r="H1385" s="9"/>
      <c r="I1385" s="9"/>
      <c r="J1385" s="10">
        <f t="shared" ref="J1385:M1385" si="838">ifs(OR($H1385="R",$I1385="N"),"N/A",OR(C1385="A",C1385="B",C1385="C",C1385="U"),3,TRUE,"FLAG")</f>
        <v>3</v>
      </c>
      <c r="K1385" s="10">
        <f t="shared" si="838"/>
        <v>3</v>
      </c>
      <c r="L1385" s="10">
        <f t="shared" si="838"/>
        <v>3</v>
      </c>
      <c r="M1385" s="10" t="str">
        <f t="shared" si="838"/>
        <v>FLAG</v>
      </c>
      <c r="N1385" s="10" t="str">
        <f t="shared" si="2"/>
        <v>28-619 - Fees &amp; Salaries; Counties over 300,000; officer, deputy, assistant or clerk, who fails to perform any of the duties prescribed by this act</v>
      </c>
      <c r="O1385" s="10" t="str">
        <f t="shared" si="3"/>
        <v>Fees &amp; Salaries</v>
      </c>
    </row>
    <row r="1386">
      <c r="A1386" s="7" t="s">
        <v>2523</v>
      </c>
      <c r="B1386" s="8" t="s">
        <v>2524</v>
      </c>
      <c r="C1386" s="8">
        <v>3.0</v>
      </c>
      <c r="D1386" s="8">
        <v>5.0</v>
      </c>
      <c r="E1386" s="8">
        <v>5.0</v>
      </c>
      <c r="F1386" s="8">
        <v>6.0</v>
      </c>
      <c r="G1386" s="8" t="s">
        <v>24</v>
      </c>
      <c r="H1386" s="9"/>
      <c r="I1386" s="9"/>
      <c r="N1386" s="10" t="str">
        <f t="shared" si="2"/>
        <v>21-5431(a)(3) - Female Genital Mutilation; Causing or permitting another to perform the acts described in (a)(1) or (a)(2) by a parent, caretaker or guardian</v>
      </c>
      <c r="O1386" s="10" t="str">
        <f t="shared" si="3"/>
        <v>Female Genital Mutilation</v>
      </c>
    </row>
    <row r="1387">
      <c r="A1387" s="7" t="s">
        <v>2525</v>
      </c>
      <c r="B1387" s="8" t="s">
        <v>2526</v>
      </c>
      <c r="C1387" s="8">
        <v>3.0</v>
      </c>
      <c r="D1387" s="8">
        <v>5.0</v>
      </c>
      <c r="E1387" s="8">
        <v>5.0</v>
      </c>
      <c r="F1387" s="8">
        <v>6.0</v>
      </c>
      <c r="G1387" s="8" t="s">
        <v>24</v>
      </c>
      <c r="H1387" s="9"/>
      <c r="I1387" s="9"/>
      <c r="N1387" s="10" t="str">
        <f t="shared" si="2"/>
        <v>21-5431(a)(1) - Female Genital Mutilation; Knowingly circumcising, excising or infibulating the whole or part of the labia majora, labia minora or clitoris of a female under 18</v>
      </c>
      <c r="O1387" s="10" t="str">
        <f t="shared" si="3"/>
        <v>Female Genital Mutilation</v>
      </c>
    </row>
    <row r="1388">
      <c r="A1388" s="7" t="s">
        <v>2527</v>
      </c>
      <c r="B1388" s="8" t="s">
        <v>2528</v>
      </c>
      <c r="C1388" s="8">
        <v>3.0</v>
      </c>
      <c r="D1388" s="8">
        <v>5.0</v>
      </c>
      <c r="E1388" s="8">
        <v>5.0</v>
      </c>
      <c r="F1388" s="8">
        <v>6.0</v>
      </c>
      <c r="G1388" s="8" t="s">
        <v>24</v>
      </c>
      <c r="H1388" s="9"/>
      <c r="I1388" s="9"/>
      <c r="N1388" s="10" t="str">
        <f t="shared" si="2"/>
        <v>21-5431(a)(2) - Female Genital Mutilation; Removing a female under 18 from the state for the purpose of circumcising, excising or infibulating the whole or part of the labia majora, labia minora or clitoris of such female</v>
      </c>
      <c r="O1388" s="10" t="str">
        <f t="shared" si="3"/>
        <v>Female Genital Mutilation</v>
      </c>
    </row>
    <row r="1389">
      <c r="A1389" s="7" t="s">
        <v>2529</v>
      </c>
      <c r="B1389" s="8" t="s">
        <v>2530</v>
      </c>
      <c r="C1389" s="8" t="s">
        <v>18</v>
      </c>
      <c r="D1389" s="8" t="s">
        <v>18</v>
      </c>
      <c r="E1389" s="8" t="s">
        <v>19</v>
      </c>
      <c r="F1389" s="8" t="s">
        <v>20</v>
      </c>
      <c r="G1389" s="8" t="s">
        <v>21</v>
      </c>
      <c r="H1389" s="9"/>
      <c r="I1389" s="9"/>
      <c r="J1389" s="10">
        <f t="shared" ref="J1389:M1389" si="839">ifs(OR($H1389="R",$I1389="N"),"N/A",OR(C1389="A",C1389="B",C1389="C",C1389="U"),3,TRUE,"FLAG")</f>
        <v>3</v>
      </c>
      <c r="K1389" s="10">
        <f t="shared" si="839"/>
        <v>3</v>
      </c>
      <c r="L1389" s="10">
        <f t="shared" si="839"/>
        <v>3</v>
      </c>
      <c r="M1389" s="10" t="str">
        <f t="shared" si="839"/>
        <v>FLAG</v>
      </c>
      <c r="N1389" s="10" t="str">
        <f t="shared" si="2"/>
        <v>29-107 - Fences; Legal Enclosures; interfering with fence described in K.S.A. 29-106 or leaving gates open</v>
      </c>
      <c r="O1389" s="10" t="str">
        <f t="shared" si="3"/>
        <v>Fences</v>
      </c>
    </row>
    <row r="1390">
      <c r="A1390" s="7" t="s">
        <v>2531</v>
      </c>
      <c r="B1390" s="8" t="s">
        <v>2532</v>
      </c>
      <c r="C1390" s="8" t="s">
        <v>18</v>
      </c>
      <c r="D1390" s="8" t="s">
        <v>18</v>
      </c>
      <c r="E1390" s="8" t="s">
        <v>19</v>
      </c>
      <c r="F1390" s="8" t="s">
        <v>20</v>
      </c>
      <c r="G1390" s="8" t="s">
        <v>21</v>
      </c>
      <c r="H1390" s="9"/>
      <c r="I1390" s="9"/>
      <c r="J1390" s="10">
        <f t="shared" ref="J1390:M1390" si="840">ifs(OR($H1390="R",$I1390="N"),"N/A",OR(C1390="A",C1390="B",C1390="C",C1390="U"),3,TRUE,"FLAG")</f>
        <v>3</v>
      </c>
      <c r="K1390" s="10">
        <f t="shared" si="840"/>
        <v>3</v>
      </c>
      <c r="L1390" s="10">
        <f t="shared" si="840"/>
        <v>3</v>
      </c>
      <c r="M1390" s="10" t="str">
        <f t="shared" si="840"/>
        <v>FLAG</v>
      </c>
      <c r="N1390" s="10" t="str">
        <f t="shared" si="2"/>
        <v>2-1208(2)(b) - Fertilizers; Fail or neglect to file the tonnage reports or affidavit or pay the inspection fee</v>
      </c>
      <c r="O1390" s="10" t="str">
        <f t="shared" si="3"/>
        <v>Fertilizers</v>
      </c>
    </row>
    <row r="1391">
      <c r="A1391" s="7" t="s">
        <v>2533</v>
      </c>
      <c r="B1391" s="8" t="s">
        <v>2534</v>
      </c>
      <c r="C1391" s="8" t="s">
        <v>18</v>
      </c>
      <c r="D1391" s="8" t="s">
        <v>18</v>
      </c>
      <c r="E1391" s="8" t="s">
        <v>19</v>
      </c>
      <c r="F1391" s="8" t="s">
        <v>20</v>
      </c>
      <c r="G1391" s="8" t="s">
        <v>21</v>
      </c>
      <c r="H1391" s="9"/>
      <c r="I1391" s="9"/>
      <c r="J1391" s="10">
        <f t="shared" ref="J1391:M1391" si="841">ifs(OR($H1391="R",$I1391="N"),"N/A",OR(C1391="A",C1391="B",C1391="C",C1391="U"),3,TRUE,"FLAG")</f>
        <v>3</v>
      </c>
      <c r="K1391" s="10">
        <f t="shared" si="841"/>
        <v>3</v>
      </c>
      <c r="L1391" s="10">
        <f t="shared" si="841"/>
        <v>3</v>
      </c>
      <c r="M1391" s="10" t="str">
        <f t="shared" si="841"/>
        <v>FLAG</v>
      </c>
      <c r="N1391" s="10" t="str">
        <f t="shared" si="2"/>
        <v>2-1218(c) - Fertilizers; Failure to provide, or have available for use, safety material and effective safety equipment, as required by regulation</v>
      </c>
      <c r="O1391" s="10" t="str">
        <f t="shared" si="3"/>
        <v>Fertilizers</v>
      </c>
    </row>
    <row r="1392">
      <c r="A1392" s="7" t="s">
        <v>2535</v>
      </c>
      <c r="B1392" s="8" t="s">
        <v>2536</v>
      </c>
      <c r="C1392" s="8" t="s">
        <v>28</v>
      </c>
      <c r="D1392" s="8" t="s">
        <v>19</v>
      </c>
      <c r="E1392" s="8" t="s">
        <v>19</v>
      </c>
      <c r="F1392" s="8" t="s">
        <v>20</v>
      </c>
      <c r="G1392" s="8" t="s">
        <v>21</v>
      </c>
      <c r="H1392" s="9"/>
      <c r="I1392" s="9"/>
      <c r="J1392" s="10">
        <f t="shared" ref="J1392:M1392" si="842">ifs(OR($H1392="R",$I1392="N"),"N/A",OR(C1392="A",C1392="B",C1392="C",C1392="U"),3,TRUE,"FLAG")</f>
        <v>3</v>
      </c>
      <c r="K1392" s="10">
        <f t="shared" si="842"/>
        <v>3</v>
      </c>
      <c r="L1392" s="10">
        <f t="shared" si="842"/>
        <v>3</v>
      </c>
      <c r="M1392" s="10" t="str">
        <f t="shared" si="842"/>
        <v>FLAG</v>
      </c>
      <c r="N1392" s="10" t="str">
        <f t="shared" si="2"/>
        <v>2-1230(f) - Fertilizers; Handling/Storage/Disposal; failure to comply with a stop sale order or stop use order issued pursuant to K.S.A. 2-1232</v>
      </c>
      <c r="O1392" s="10" t="str">
        <f t="shared" si="3"/>
        <v>Fertilizers</v>
      </c>
    </row>
    <row r="1393">
      <c r="A1393" s="7" t="s">
        <v>2537</v>
      </c>
      <c r="B1393" s="8" t="s">
        <v>2538</v>
      </c>
      <c r="C1393" s="8" t="s">
        <v>28</v>
      </c>
      <c r="D1393" s="8" t="s">
        <v>19</v>
      </c>
      <c r="E1393" s="8" t="s">
        <v>19</v>
      </c>
      <c r="F1393" s="8" t="s">
        <v>20</v>
      </c>
      <c r="G1393" s="8" t="s">
        <v>21</v>
      </c>
      <c r="H1393" s="9"/>
      <c r="I1393" s="9"/>
      <c r="J1393" s="10">
        <f t="shared" ref="J1393:M1393" si="843">ifs(OR($H1393="R",$I1393="N"),"N/A",OR(C1393="A",C1393="B",C1393="C",C1393="U"),3,TRUE,"FLAG")</f>
        <v>3</v>
      </c>
      <c r="K1393" s="10">
        <f t="shared" si="843"/>
        <v>3</v>
      </c>
      <c r="L1393" s="10">
        <f t="shared" si="843"/>
        <v>3</v>
      </c>
      <c r="M1393" s="10" t="str">
        <f t="shared" si="843"/>
        <v>FLAG</v>
      </c>
      <c r="N1393" s="10" t="str">
        <f t="shared" si="2"/>
        <v>2-1230(c) - Fertilizers; Handling/Storage/Disposal; failure to provide, or have available for use, safety material and effective safety equipment, as required by regulation</v>
      </c>
      <c r="O1393" s="10" t="str">
        <f t="shared" si="3"/>
        <v>Fertilizers</v>
      </c>
    </row>
    <row r="1394">
      <c r="A1394" s="7" t="s">
        <v>2539</v>
      </c>
      <c r="B1394" s="8" t="s">
        <v>2540</v>
      </c>
      <c r="C1394" s="8" t="s">
        <v>28</v>
      </c>
      <c r="D1394" s="8" t="s">
        <v>19</v>
      </c>
      <c r="E1394" s="8" t="s">
        <v>19</v>
      </c>
      <c r="F1394" s="8" t="s">
        <v>20</v>
      </c>
      <c r="G1394" s="8" t="s">
        <v>21</v>
      </c>
      <c r="H1394" s="9"/>
      <c r="I1394" s="9"/>
      <c r="J1394" s="10">
        <f t="shared" ref="J1394:M1394" si="844">ifs(OR($H1394="R",$I1394="N"),"N/A",OR(C1394="A",C1394="B",C1394="C",C1394="U"),3,TRUE,"FLAG")</f>
        <v>3</v>
      </c>
      <c r="K1394" s="10">
        <f t="shared" si="844"/>
        <v>3</v>
      </c>
      <c r="L1394" s="10">
        <f t="shared" si="844"/>
        <v>3</v>
      </c>
      <c r="M1394" s="10" t="str">
        <f t="shared" si="844"/>
        <v>FLAG</v>
      </c>
      <c r="N1394" s="10" t="str">
        <f t="shared" si="2"/>
        <v>2-1230(e) - Fertilizers; Handling/Storage/Disposal; impede, obstruct or hinder, prevent or to attempt to prevent, authorized personnel/employee in performance of duties in connection with administration of this act</v>
      </c>
      <c r="O1394" s="10" t="str">
        <f t="shared" si="3"/>
        <v>Fertilizers</v>
      </c>
    </row>
    <row r="1395">
      <c r="A1395" s="7" t="s">
        <v>2541</v>
      </c>
      <c r="B1395" s="8" t="s">
        <v>2542</v>
      </c>
      <c r="C1395" s="8" t="s">
        <v>28</v>
      </c>
      <c r="D1395" s="8" t="s">
        <v>19</v>
      </c>
      <c r="E1395" s="8" t="s">
        <v>19</v>
      </c>
      <c r="F1395" s="8" t="s">
        <v>20</v>
      </c>
      <c r="G1395" s="8" t="s">
        <v>21</v>
      </c>
      <c r="H1395" s="9"/>
      <c r="I1395" s="9"/>
      <c r="J1395" s="10">
        <f t="shared" ref="J1395:M1395" si="845">ifs(OR($H1395="R",$I1395="N"),"N/A",OR(C1395="A",C1395="B",C1395="C",C1395="U"),3,TRUE,"FLAG")</f>
        <v>3</v>
      </c>
      <c r="K1395" s="10">
        <f t="shared" si="845"/>
        <v>3</v>
      </c>
      <c r="L1395" s="10">
        <f t="shared" si="845"/>
        <v>3</v>
      </c>
      <c r="M1395" s="10" t="str">
        <f t="shared" si="845"/>
        <v>FLAG</v>
      </c>
      <c r="N1395" s="10" t="str">
        <f t="shared" si="2"/>
        <v>2-1230(d) - Fertilizers; Handling/Storage/Disposal; penalty for violation of any rule and regulation adopted under K.S.A. 2-1227</v>
      </c>
      <c r="O1395" s="10" t="str">
        <f t="shared" si="3"/>
        <v>Fertilizers</v>
      </c>
    </row>
    <row r="1396">
      <c r="A1396" s="7" t="s">
        <v>2543</v>
      </c>
      <c r="B1396" s="8" t="s">
        <v>2544</v>
      </c>
      <c r="C1396" s="8" t="s">
        <v>28</v>
      </c>
      <c r="D1396" s="8" t="s">
        <v>19</v>
      </c>
      <c r="E1396" s="8" t="s">
        <v>19</v>
      </c>
      <c r="F1396" s="8" t="s">
        <v>20</v>
      </c>
      <c r="G1396" s="8" t="s">
        <v>21</v>
      </c>
      <c r="H1396" s="9"/>
      <c r="I1396" s="9"/>
      <c r="J1396" s="10">
        <f t="shared" ref="J1396:M1396" si="846">ifs(OR($H1396="R",$I1396="N"),"N/A",OR(C1396="A",C1396="B",C1396="C",C1396="U"),3,TRUE,"FLAG")</f>
        <v>3</v>
      </c>
      <c r="K1396" s="10">
        <f t="shared" si="846"/>
        <v>3</v>
      </c>
      <c r="L1396" s="10">
        <f t="shared" si="846"/>
        <v>3</v>
      </c>
      <c r="M1396" s="10" t="str">
        <f t="shared" si="846"/>
        <v>FLAG</v>
      </c>
      <c r="N1396" s="10" t="str">
        <f t="shared" si="2"/>
        <v>2-1230(a) - Fertilizers; Handling/Storage/Disposal; unlawful operation of facilities or equipment</v>
      </c>
      <c r="O1396" s="10" t="str">
        <f t="shared" si="3"/>
        <v>Fertilizers</v>
      </c>
    </row>
    <row r="1397">
      <c r="A1397" s="7" t="s">
        <v>2545</v>
      </c>
      <c r="B1397" s="8" t="s">
        <v>2546</v>
      </c>
      <c r="C1397" s="8" t="s">
        <v>28</v>
      </c>
      <c r="D1397" s="8" t="s">
        <v>19</v>
      </c>
      <c r="E1397" s="8" t="s">
        <v>19</v>
      </c>
      <c r="F1397" s="8" t="s">
        <v>20</v>
      </c>
      <c r="G1397" s="8" t="s">
        <v>21</v>
      </c>
      <c r="H1397" s="9"/>
      <c r="I1397" s="9"/>
      <c r="J1397" s="10">
        <f t="shared" ref="J1397:M1397" si="847">ifs(OR($H1397="R",$I1397="N"),"N/A",OR(C1397="A",C1397="B",C1397="C",C1397="U"),3,TRUE,"FLAG")</f>
        <v>3</v>
      </c>
      <c r="K1397" s="10">
        <f t="shared" si="847"/>
        <v>3</v>
      </c>
      <c r="L1397" s="10">
        <f t="shared" si="847"/>
        <v>3</v>
      </c>
      <c r="M1397" s="10" t="str">
        <f t="shared" si="847"/>
        <v>FLAG</v>
      </c>
      <c r="N1397" s="10" t="str">
        <f t="shared" si="2"/>
        <v>2-1230(b) - Fertilizers; Handling/Storage/Disposal; use of defective/unsafe product container, piping, valve, hose, appurtenances or other equipment for handling/storage of commercial fertilizer and fertilizer materials</v>
      </c>
      <c r="O1397" s="10" t="str">
        <f t="shared" si="3"/>
        <v>Fertilizers</v>
      </c>
    </row>
    <row r="1398">
      <c r="A1398" s="7" t="s">
        <v>2547</v>
      </c>
      <c r="B1398" s="8" t="s">
        <v>2548</v>
      </c>
      <c r="C1398" s="8" t="s">
        <v>18</v>
      </c>
      <c r="D1398" s="8" t="s">
        <v>18</v>
      </c>
      <c r="E1398" s="8" t="s">
        <v>19</v>
      </c>
      <c r="F1398" s="8" t="s">
        <v>20</v>
      </c>
      <c r="G1398" s="8" t="s">
        <v>21</v>
      </c>
      <c r="H1398" s="9"/>
      <c r="I1398" s="9"/>
      <c r="J1398" s="10">
        <f t="shared" ref="J1398:M1398" si="848">ifs(OR($H1398="R",$I1398="N"),"N/A",OR(C1398="A",C1398="B",C1398="C",C1398="U"),3,TRUE,"FLAG")</f>
        <v>3</v>
      </c>
      <c r="K1398" s="10">
        <f t="shared" si="848"/>
        <v>3</v>
      </c>
      <c r="L1398" s="10">
        <f t="shared" si="848"/>
        <v>3</v>
      </c>
      <c r="M1398" s="10" t="str">
        <f t="shared" si="848"/>
        <v>FLAG</v>
      </c>
      <c r="N1398" s="10" t="str">
        <f t="shared" si="2"/>
        <v>2-1218(d) - Fertilizers; Impede, obstruct or hinder, or to otherwise prevent or to attempt to prevent, authorized personnel/employee in performance of duties in connection with administration of this act</v>
      </c>
      <c r="O1398" s="10" t="str">
        <f t="shared" si="3"/>
        <v>Fertilizers</v>
      </c>
    </row>
    <row r="1399">
      <c r="A1399" s="7" t="s">
        <v>2549</v>
      </c>
      <c r="B1399" s="8" t="s">
        <v>2550</v>
      </c>
      <c r="C1399" s="8" t="s">
        <v>18</v>
      </c>
      <c r="D1399" s="8" t="s">
        <v>18</v>
      </c>
      <c r="E1399" s="8" t="s">
        <v>19</v>
      </c>
      <c r="F1399" s="8" t="s">
        <v>20</v>
      </c>
      <c r="G1399" s="8" t="s">
        <v>21</v>
      </c>
      <c r="H1399" s="9"/>
      <c r="I1399" s="9"/>
      <c r="J1399" s="10">
        <f t="shared" ref="J1399:M1399" si="849">ifs(OR($H1399="R",$I1399="N"),"N/A",OR(C1399="A",C1399="B",C1399="C",C1399="U"),3,TRUE,"FLAG")</f>
        <v>3</v>
      </c>
      <c r="K1399" s="10">
        <f t="shared" si="849"/>
        <v>3</v>
      </c>
      <c r="L1399" s="10">
        <f t="shared" si="849"/>
        <v>3</v>
      </c>
      <c r="M1399" s="10" t="str">
        <f t="shared" si="849"/>
        <v>FLAG</v>
      </c>
      <c r="N1399" s="10" t="str">
        <f t="shared" si="2"/>
        <v>2-1208(2)(c) - Fertilizers; Impede, obstruct, hinder or otherwise prevent or attempt to prevent the secretary/authorized agent in performance of their duty in connection with administration of provisions of this act</v>
      </c>
      <c r="O1399" s="10" t="str">
        <f t="shared" si="3"/>
        <v>Fertilizers</v>
      </c>
    </row>
    <row r="1400">
      <c r="A1400" s="7" t="s">
        <v>2551</v>
      </c>
      <c r="B1400" s="8" t="s">
        <v>2552</v>
      </c>
      <c r="C1400" s="8" t="s">
        <v>18</v>
      </c>
      <c r="D1400" s="8" t="s">
        <v>18</v>
      </c>
      <c r="E1400" s="8" t="s">
        <v>19</v>
      </c>
      <c r="F1400" s="8" t="s">
        <v>20</v>
      </c>
      <c r="G1400" s="8" t="s">
        <v>21</v>
      </c>
      <c r="H1400" s="9"/>
      <c r="I1400" s="9"/>
      <c r="J1400" s="10">
        <f t="shared" ref="J1400:M1400" si="850">ifs(OR($H1400="R",$I1400="N"),"N/A",OR(C1400="A",C1400="B",C1400="C",C1400="U"),3,TRUE,"FLAG")</f>
        <v>3</v>
      </c>
      <c r="K1400" s="10">
        <f t="shared" si="850"/>
        <v>3</v>
      </c>
      <c r="L1400" s="10">
        <f t="shared" si="850"/>
        <v>3</v>
      </c>
      <c r="M1400" s="10" t="str">
        <f t="shared" si="850"/>
        <v>FLAG</v>
      </c>
      <c r="N1400" s="10" t="str">
        <f t="shared" si="2"/>
        <v>2-1208(2)(a) - Fertilizers; Mutilate, destroy, obliterate or remove the label or any part thereof; or do any act which may result in the misbranding or false labeling of any commercial fertilizer</v>
      </c>
      <c r="O1400" s="10" t="str">
        <f t="shared" si="3"/>
        <v>Fertilizers</v>
      </c>
    </row>
    <row r="1401">
      <c r="A1401" s="7" t="s">
        <v>2553</v>
      </c>
      <c r="B1401" s="8" t="s">
        <v>2554</v>
      </c>
      <c r="C1401" s="8" t="s">
        <v>18</v>
      </c>
      <c r="D1401" s="8" t="s">
        <v>18</v>
      </c>
      <c r="E1401" s="8" t="s">
        <v>19</v>
      </c>
      <c r="F1401" s="8" t="s">
        <v>20</v>
      </c>
      <c r="G1401" s="8" t="s">
        <v>21</v>
      </c>
      <c r="H1401" s="9"/>
      <c r="I1401" s="9"/>
      <c r="J1401" s="10">
        <f t="shared" ref="J1401:M1401" si="851">ifs(OR($H1401="R",$I1401="N"),"N/A",OR(C1401="A",C1401="B",C1401="C",C1401="U"),3,TRUE,"FLAG")</f>
        <v>3</v>
      </c>
      <c r="K1401" s="10">
        <f t="shared" si="851"/>
        <v>3</v>
      </c>
      <c r="L1401" s="10">
        <f t="shared" si="851"/>
        <v>3</v>
      </c>
      <c r="M1401" s="10" t="str">
        <f t="shared" si="851"/>
        <v>FLAG</v>
      </c>
      <c r="N1401" s="10" t="str">
        <f t="shared" si="2"/>
        <v>2-1201b(a)(2) - Fertilizers; Unauthorized failure to comply with the requirements of K.S.A. 2-1201a</v>
      </c>
      <c r="O1401" s="10" t="str">
        <f t="shared" si="3"/>
        <v>Fertilizers</v>
      </c>
    </row>
    <row r="1402">
      <c r="A1402" s="7" t="s">
        <v>2555</v>
      </c>
      <c r="B1402" s="8" t="s">
        <v>2556</v>
      </c>
      <c r="C1402" s="8" t="s">
        <v>18</v>
      </c>
      <c r="D1402" s="8" t="s">
        <v>18</v>
      </c>
      <c r="E1402" s="8" t="s">
        <v>19</v>
      </c>
      <c r="F1402" s="8" t="s">
        <v>20</v>
      </c>
      <c r="G1402" s="8" t="s">
        <v>21</v>
      </c>
      <c r="H1402" s="9"/>
      <c r="I1402" s="9"/>
      <c r="J1402" s="10">
        <f t="shared" ref="J1402:M1402" si="852">ifs(OR($H1402="R",$I1402="N"),"N/A",OR(C1402="A",C1402="B",C1402="C",C1402="U"),3,TRUE,"FLAG")</f>
        <v>3</v>
      </c>
      <c r="K1402" s="10">
        <f t="shared" si="852"/>
        <v>3</v>
      </c>
      <c r="L1402" s="10">
        <f t="shared" si="852"/>
        <v>3</v>
      </c>
      <c r="M1402" s="10" t="str">
        <f t="shared" si="852"/>
        <v>FLAG</v>
      </c>
      <c r="N1402" s="10" t="str">
        <f t="shared" si="2"/>
        <v>2-1218(a) - Fertilizers; Unlawful operation of any anhydrous ammonia facility, any transportation equipment, or unlawful sale/offer to sell any anhydrous ammonia</v>
      </c>
      <c r="O1402" s="10" t="str">
        <f t="shared" si="3"/>
        <v>Fertilizers</v>
      </c>
    </row>
    <row r="1403">
      <c r="A1403" s="7" t="s">
        <v>2557</v>
      </c>
      <c r="B1403" s="8" t="s">
        <v>2558</v>
      </c>
      <c r="C1403" s="8" t="s">
        <v>18</v>
      </c>
      <c r="D1403" s="8" t="s">
        <v>18</v>
      </c>
      <c r="E1403" s="8" t="s">
        <v>19</v>
      </c>
      <c r="F1403" s="8" t="s">
        <v>20</v>
      </c>
      <c r="G1403" s="8" t="s">
        <v>21</v>
      </c>
      <c r="H1403" s="9"/>
      <c r="I1403" s="9"/>
      <c r="J1403" s="10">
        <f t="shared" ref="J1403:M1403" si="853">ifs(OR($H1403="R",$I1403="N"),"N/A",OR(C1403="A",C1403="B",C1403="C",C1403="U"),3,TRUE,"FLAG")</f>
        <v>3</v>
      </c>
      <c r="K1403" s="10">
        <f t="shared" si="853"/>
        <v>3</v>
      </c>
      <c r="L1403" s="10">
        <f t="shared" si="853"/>
        <v>3</v>
      </c>
      <c r="M1403" s="10" t="str">
        <f t="shared" si="853"/>
        <v>FLAG</v>
      </c>
      <c r="N1403" s="10" t="str">
        <f t="shared" si="2"/>
        <v>2-1201b(a)(1) - Fertilizers; Unlicensed sale or distribution of any custom blended fertilizer</v>
      </c>
      <c r="O1403" s="10" t="str">
        <f t="shared" si="3"/>
        <v>Fertilizers</v>
      </c>
    </row>
    <row r="1404">
      <c r="A1404" s="7" t="s">
        <v>2559</v>
      </c>
      <c r="B1404" s="8" t="s">
        <v>2560</v>
      </c>
      <c r="C1404" s="8" t="s">
        <v>18</v>
      </c>
      <c r="D1404" s="8" t="s">
        <v>18</v>
      </c>
      <c r="E1404" s="8" t="s">
        <v>19</v>
      </c>
      <c r="F1404" s="8" t="s">
        <v>20</v>
      </c>
      <c r="G1404" s="8" t="s">
        <v>21</v>
      </c>
      <c r="H1404" s="9"/>
      <c r="I1404" s="9"/>
      <c r="J1404" s="10">
        <f t="shared" ref="J1404:M1404" si="854">ifs(OR($H1404="R",$I1404="N"),"N/A",OR(C1404="A",C1404="B",C1404="C",C1404="U"),3,TRUE,"FLAG")</f>
        <v>3</v>
      </c>
      <c r="K1404" s="10">
        <f t="shared" si="854"/>
        <v>3</v>
      </c>
      <c r="L1404" s="10">
        <f t="shared" si="854"/>
        <v>3</v>
      </c>
      <c r="M1404" s="10" t="str">
        <f t="shared" si="854"/>
        <v>FLAG</v>
      </c>
      <c r="N1404" s="10" t="str">
        <f t="shared" si="2"/>
        <v>2-1218(b) - Fertilizers; Use of any product container, piping, valve, hose, appurtenances or other equipment for handling anhydrous ammonia which is defective or which is otherwise unsafe</v>
      </c>
      <c r="O1404" s="10" t="str">
        <f t="shared" si="3"/>
        <v>Fertilizers</v>
      </c>
    </row>
    <row r="1405">
      <c r="A1405" s="7" t="s">
        <v>2561</v>
      </c>
      <c r="B1405" s="8" t="s">
        <v>2562</v>
      </c>
      <c r="C1405" s="8" t="s">
        <v>27</v>
      </c>
      <c r="D1405" s="8" t="s">
        <v>28</v>
      </c>
      <c r="E1405" s="8" t="s">
        <v>19</v>
      </c>
      <c r="F1405" s="8" t="s">
        <v>20</v>
      </c>
      <c r="G1405" s="8" t="s">
        <v>21</v>
      </c>
      <c r="H1405" s="9"/>
      <c r="I1405" s="9"/>
      <c r="J1405" s="10">
        <f t="shared" ref="J1405:M1405" si="855">ifs(OR($H1405="R",$I1405="N"),"N/A",OR(C1405="A",C1405="B",C1405="C",C1405="U"),3,TRUE,"FLAG")</f>
        <v>3</v>
      </c>
      <c r="K1405" s="10">
        <f t="shared" si="855"/>
        <v>3</v>
      </c>
      <c r="L1405" s="10">
        <f t="shared" si="855"/>
        <v>3</v>
      </c>
      <c r="M1405" s="10" t="str">
        <f t="shared" si="855"/>
        <v>FLAG</v>
      </c>
      <c r="N1405" s="10" t="str">
        <f t="shared" si="2"/>
        <v>65-67a05(a) - Fetal Organs &amp; Tissue; Annual written report to the secretary of the department of health and environment required for any transfer of fetal tissue to another person; contents</v>
      </c>
      <c r="O1405" s="10" t="str">
        <f t="shared" si="3"/>
        <v>Fetal Organs &amp; Tissue</v>
      </c>
    </row>
    <row r="1406">
      <c r="A1406" s="7" t="s">
        <v>2563</v>
      </c>
      <c r="B1406" s="8" t="s">
        <v>2564</v>
      </c>
      <c r="C1406" s="8" t="s">
        <v>27</v>
      </c>
      <c r="D1406" s="8" t="s">
        <v>28</v>
      </c>
      <c r="E1406" s="8" t="s">
        <v>19</v>
      </c>
      <c r="F1406" s="8" t="s">
        <v>20</v>
      </c>
      <c r="G1406" s="8" t="s">
        <v>21</v>
      </c>
      <c r="H1406" s="9"/>
      <c r="I1406" s="9"/>
      <c r="J1406" s="10">
        <f t="shared" ref="J1406:M1406" si="856">ifs(OR($H1406="R",$I1406="N"),"N/A",OR(C1406="A",C1406="B",C1406="C",C1406="U"),3,TRUE,"FLAG")</f>
        <v>3</v>
      </c>
      <c r="K1406" s="10">
        <f t="shared" si="856"/>
        <v>3</v>
      </c>
      <c r="L1406" s="10">
        <f t="shared" si="856"/>
        <v>3</v>
      </c>
      <c r="M1406" s="10" t="str">
        <f t="shared" si="856"/>
        <v>FLAG</v>
      </c>
      <c r="N1406" s="10" t="str">
        <f t="shared" si="2"/>
        <v>65-67a05(d) - Fetal Organs &amp; Tissue; Breach in Confidentiality of information obtained under this section</v>
      </c>
      <c r="O1406" s="10" t="str">
        <f t="shared" si="3"/>
        <v>Fetal Organs &amp; Tissue</v>
      </c>
    </row>
    <row r="1407">
      <c r="A1407" s="7" t="s">
        <v>2565</v>
      </c>
      <c r="B1407" s="8" t="s">
        <v>2566</v>
      </c>
      <c r="C1407" s="8" t="s">
        <v>27</v>
      </c>
      <c r="D1407" s="8" t="s">
        <v>28</v>
      </c>
      <c r="E1407" s="8" t="s">
        <v>19</v>
      </c>
      <c r="F1407" s="8" t="s">
        <v>20</v>
      </c>
      <c r="G1407" s="8" t="s">
        <v>21</v>
      </c>
      <c r="H1407" s="9"/>
      <c r="I1407" s="9"/>
      <c r="J1407" s="10">
        <f t="shared" ref="J1407:M1407" si="857">ifs(OR($H1407="R",$I1407="N"),"N/A",OR(C1407="A",C1407="B",C1407="C",C1407="U"),3,TRUE,"FLAG")</f>
        <v>3</v>
      </c>
      <c r="K1407" s="10">
        <f t="shared" si="857"/>
        <v>3</v>
      </c>
      <c r="L1407" s="10">
        <f t="shared" si="857"/>
        <v>3</v>
      </c>
      <c r="M1407" s="10" t="str">
        <f t="shared" si="857"/>
        <v>FLAG</v>
      </c>
      <c r="N1407" s="10" t="str">
        <f t="shared" si="2"/>
        <v>65-67a05(b) - Fetal Organs &amp; Tissue; Breach in confidentiality of the donating woman's identity</v>
      </c>
      <c r="O1407" s="10" t="str">
        <f t="shared" si="3"/>
        <v>Fetal Organs &amp; Tissue</v>
      </c>
    </row>
    <row r="1408">
      <c r="A1408" s="7" t="s">
        <v>2567</v>
      </c>
      <c r="B1408" s="8" t="s">
        <v>2568</v>
      </c>
      <c r="C1408" s="8">
        <v>2.0</v>
      </c>
      <c r="D1408" s="8">
        <v>4.0</v>
      </c>
      <c r="E1408" s="8">
        <v>4.0</v>
      </c>
      <c r="F1408" s="8">
        <v>5.0</v>
      </c>
      <c r="G1408" s="8" t="s">
        <v>21</v>
      </c>
      <c r="H1408" s="9"/>
      <c r="I1408" s="9"/>
      <c r="N1408" s="10" t="str">
        <f t="shared" si="2"/>
        <v>65-67a07(a) - Fetal Organs &amp; Tissue; Intentional, knowing or reckless use of fetal organs or tissue for medical, scientific, experimental or therapeutic use with out voluntary and informed consent of the woman donating such tissue</v>
      </c>
      <c r="O1408" s="10" t="str">
        <f t="shared" si="3"/>
        <v>Fetal Organs &amp; Tissue</v>
      </c>
    </row>
    <row r="1409">
      <c r="A1409" s="7" t="s">
        <v>2569</v>
      </c>
      <c r="B1409" s="8" t="s">
        <v>2570</v>
      </c>
      <c r="C1409" s="8">
        <v>2.0</v>
      </c>
      <c r="D1409" s="8">
        <v>4.0</v>
      </c>
      <c r="E1409" s="8">
        <v>4.0</v>
      </c>
      <c r="F1409" s="8">
        <v>5.0</v>
      </c>
      <c r="G1409" s="8" t="s">
        <v>21</v>
      </c>
      <c r="H1409" s="9"/>
      <c r="I1409" s="9"/>
      <c r="N1409" s="10" t="str">
        <f t="shared" si="2"/>
        <v>65-67a06(a) - Fetal Organs &amp; Tissue; Offer any monetary or other inducement to person for the purpose of procuring an abortion for the medical, scientific, experimental or therapeutic use of fetal organs or tissue</v>
      </c>
      <c r="O1409" s="10" t="str">
        <f t="shared" si="3"/>
        <v>Fetal Organs &amp; Tissue</v>
      </c>
    </row>
    <row r="1410">
      <c r="A1410" s="7" t="s">
        <v>2571</v>
      </c>
      <c r="B1410" s="8" t="s">
        <v>2572</v>
      </c>
      <c r="C1410" s="8">
        <v>2.0</v>
      </c>
      <c r="D1410" s="8">
        <v>4.0</v>
      </c>
      <c r="E1410" s="8">
        <v>4.0</v>
      </c>
      <c r="F1410" s="8">
        <v>5.0</v>
      </c>
      <c r="G1410" s="8" t="s">
        <v>21</v>
      </c>
      <c r="H1410" s="9"/>
      <c r="I1410" s="9"/>
      <c r="N1410" s="10" t="str">
        <f t="shared" si="2"/>
        <v>65-67a06(b) - Fetal Organs &amp; Tissue; Offer or accept any valuable consideration for the fetal organs or tissue resulting from an abortion</v>
      </c>
      <c r="O1410" s="10" t="str">
        <f t="shared" si="3"/>
        <v>Fetal Organs &amp; Tissue</v>
      </c>
    </row>
    <row r="1411">
      <c r="A1411" s="7" t="s">
        <v>2573</v>
      </c>
      <c r="B1411" s="8" t="s">
        <v>2574</v>
      </c>
      <c r="C1411" s="8" t="s">
        <v>27</v>
      </c>
      <c r="D1411" s="8" t="s">
        <v>28</v>
      </c>
      <c r="E1411" s="8" t="s">
        <v>19</v>
      </c>
      <c r="F1411" s="8" t="s">
        <v>20</v>
      </c>
      <c r="G1411" s="8" t="s">
        <v>21</v>
      </c>
      <c r="H1411" s="9"/>
      <c r="I1411" s="9"/>
      <c r="J1411" s="10">
        <f t="shared" ref="J1411:M1411" si="858">ifs(OR($H1411="R",$I1411="N"),"N/A",OR(C1411="A",C1411="B",C1411="C",C1411="U"),3,TRUE,"FLAG")</f>
        <v>3</v>
      </c>
      <c r="K1411" s="10">
        <f t="shared" si="858"/>
        <v>3</v>
      </c>
      <c r="L1411" s="10">
        <f t="shared" si="858"/>
        <v>3</v>
      </c>
      <c r="M1411" s="10" t="str">
        <f t="shared" si="858"/>
        <v>FLAG</v>
      </c>
      <c r="N1411" s="10" t="str">
        <f t="shared" si="2"/>
        <v>65-67a05(e) - Fetal Organs &amp; Tissue; Reports required by this section shall identify the name and address of the person submitting such report only by confidential code number</v>
      </c>
      <c r="O1411" s="10" t="str">
        <f t="shared" si="3"/>
        <v>Fetal Organs &amp; Tissue</v>
      </c>
    </row>
    <row r="1412">
      <c r="A1412" s="7" t="s">
        <v>2575</v>
      </c>
      <c r="B1412" s="8" t="s">
        <v>2576</v>
      </c>
      <c r="C1412" s="8" t="s">
        <v>27</v>
      </c>
      <c r="D1412" s="8" t="s">
        <v>28</v>
      </c>
      <c r="E1412" s="8" t="s">
        <v>19</v>
      </c>
      <c r="F1412" s="8" t="s">
        <v>20</v>
      </c>
      <c r="G1412" s="8" t="s">
        <v>21</v>
      </c>
      <c r="H1412" s="9"/>
      <c r="I1412" s="9"/>
      <c r="J1412" s="10">
        <f t="shared" ref="J1412:M1412" si="859">ifs(OR($H1412="R",$I1412="N"),"N/A",OR(C1412="A",C1412="B",C1412="C",C1412="U"),3,TRUE,"FLAG")</f>
        <v>3</v>
      </c>
      <c r="K1412" s="10">
        <f t="shared" si="859"/>
        <v>3</v>
      </c>
      <c r="L1412" s="10">
        <f t="shared" si="859"/>
        <v>3</v>
      </c>
      <c r="M1412" s="10" t="str">
        <f t="shared" si="859"/>
        <v>FLAG</v>
      </c>
      <c r="N1412" s="10" t="str">
        <f t="shared" si="2"/>
        <v>65-67a05(c) - Fetal Organs &amp; Tissue; Ship fetal tissue without disclosing to the delivery service that human tissue is contained in such shipment</v>
      </c>
      <c r="O1412" s="10" t="str">
        <f t="shared" si="3"/>
        <v>Fetal Organs &amp; Tissue</v>
      </c>
    </row>
    <row r="1413">
      <c r="A1413" s="7" t="s">
        <v>2577</v>
      </c>
      <c r="B1413" s="8" t="s">
        <v>2578</v>
      </c>
      <c r="C1413" s="8">
        <v>2.0</v>
      </c>
      <c r="D1413" s="8">
        <v>4.0</v>
      </c>
      <c r="E1413" s="8">
        <v>4.0</v>
      </c>
      <c r="F1413" s="8">
        <v>5.0</v>
      </c>
      <c r="G1413" s="8" t="s">
        <v>21</v>
      </c>
      <c r="H1413" s="9"/>
      <c r="I1413" s="9"/>
      <c r="N1413" s="10" t="str">
        <f t="shared" si="2"/>
        <v>65-67a04(a) - Fetal Organs &amp; Tissue; Solicit, offer, knowingly acquire or accept or transfer any fetal tissue for consideration</v>
      </c>
      <c r="O1413" s="10" t="str">
        <f t="shared" si="3"/>
        <v>Fetal Organs &amp; Tissue</v>
      </c>
    </row>
    <row r="1414">
      <c r="A1414" s="7" t="s">
        <v>2579</v>
      </c>
      <c r="B1414" s="8" t="s">
        <v>2580</v>
      </c>
      <c r="C1414" s="8">
        <v>2.0</v>
      </c>
      <c r="D1414" s="8">
        <v>4.0</v>
      </c>
      <c r="E1414" s="8">
        <v>4.0</v>
      </c>
      <c r="F1414" s="8">
        <v>5.0</v>
      </c>
      <c r="G1414" s="8" t="s">
        <v>21</v>
      </c>
      <c r="H1414" s="9"/>
      <c r="I1414" s="9"/>
      <c r="N1414" s="10" t="str">
        <f t="shared" si="2"/>
        <v>65-67a04(b) - Fetal Organs &amp; Tissue; Solicit, offer, knowingly acquire or accept or transfer any fetal tissue for the purpose of transplanting such into another where tissue was obtained from abortion with promise that the donated tissue will be transplanted into a recipient specified by the donating individual</v>
      </c>
      <c r="O1414" s="10" t="str">
        <f t="shared" si="3"/>
        <v>Fetal Organs &amp; Tissue</v>
      </c>
    </row>
    <row r="1415">
      <c r="A1415" s="7" t="s">
        <v>2581</v>
      </c>
      <c r="B1415" s="8" t="s">
        <v>2582</v>
      </c>
      <c r="C1415" s="8" t="s">
        <v>28</v>
      </c>
      <c r="D1415" s="8" t="s">
        <v>19</v>
      </c>
      <c r="E1415" s="8" t="s">
        <v>19</v>
      </c>
      <c r="F1415" s="8" t="s">
        <v>20</v>
      </c>
      <c r="G1415" s="8" t="s">
        <v>21</v>
      </c>
      <c r="H1415" s="9"/>
      <c r="I1415" s="9"/>
      <c r="J1415" s="10">
        <f t="shared" ref="J1415:M1415" si="860">ifs(OR($H1415="R",$I1415="N"),"N/A",OR(C1415="A",C1415="B",C1415="C",C1415="U"),3,TRUE,"FLAG")</f>
        <v>3</v>
      </c>
      <c r="K1415" s="10">
        <f t="shared" si="860"/>
        <v>3</v>
      </c>
      <c r="L1415" s="10">
        <f t="shared" si="860"/>
        <v>3</v>
      </c>
      <c r="M1415" s="10" t="str">
        <f t="shared" si="860"/>
        <v>FLAG</v>
      </c>
      <c r="N1415" s="10" t="str">
        <f t="shared" si="2"/>
        <v>31-158(a) - Fire Safety &amp; Prevention; Sale to or purchase by fire department of clothing or equipment which does not meet standards set by national fire protection association</v>
      </c>
      <c r="O1415" s="10" t="str">
        <f t="shared" si="3"/>
        <v>Fire Safety &amp; Prevention</v>
      </c>
    </row>
    <row r="1416">
      <c r="A1416" s="7" t="s">
        <v>2583</v>
      </c>
      <c r="B1416" s="8" t="s">
        <v>2584</v>
      </c>
      <c r="C1416" s="8" t="s">
        <v>28</v>
      </c>
      <c r="D1416" s="8" t="s">
        <v>19</v>
      </c>
      <c r="E1416" s="8" t="s">
        <v>19</v>
      </c>
      <c r="F1416" s="8" t="s">
        <v>20</v>
      </c>
      <c r="G1416" s="8" t="s">
        <v>21</v>
      </c>
      <c r="H1416" s="9"/>
      <c r="I1416" s="9"/>
      <c r="J1416" s="10">
        <f t="shared" ref="J1416:M1416" si="861">ifs(OR($H1416="R",$I1416="N"),"N/A",OR(C1416="A",C1416="B",C1416="C",C1416="U"),3,TRUE,"FLAG")</f>
        <v>3</v>
      </c>
      <c r="K1416" s="10">
        <f t="shared" si="861"/>
        <v>3</v>
      </c>
      <c r="L1416" s="10">
        <f t="shared" si="861"/>
        <v>3</v>
      </c>
      <c r="M1416" s="10" t="str">
        <f t="shared" si="861"/>
        <v>FLAG</v>
      </c>
      <c r="N1416" s="10" t="str">
        <f t="shared" si="2"/>
        <v>31-150a(a) - Fire Safety &amp; Prevention; Violations of fire prevention code</v>
      </c>
      <c r="O1416" s="10" t="str">
        <f t="shared" si="3"/>
        <v>Fire Safety &amp; Prevention</v>
      </c>
    </row>
    <row r="1417">
      <c r="A1417" s="7" t="s">
        <v>2585</v>
      </c>
      <c r="B1417" s="8" t="s">
        <v>2586</v>
      </c>
      <c r="C1417" s="8" t="s">
        <v>18</v>
      </c>
      <c r="D1417" s="8" t="s">
        <v>18</v>
      </c>
      <c r="E1417" s="8" t="s">
        <v>19</v>
      </c>
      <c r="F1417" s="8" t="s">
        <v>20</v>
      </c>
      <c r="G1417" s="8" t="s">
        <v>21</v>
      </c>
      <c r="H1417" s="9"/>
      <c r="I1417" s="9"/>
      <c r="J1417" s="10">
        <f t="shared" ref="J1417:M1417" si="862">ifs(OR($H1417="R",$I1417="N"),"N/A",OR(C1417="A",C1417="B",C1417="C",C1417="U"),3,TRUE,"FLAG")</f>
        <v>3</v>
      </c>
      <c r="K1417" s="10">
        <f t="shared" si="862"/>
        <v>3</v>
      </c>
      <c r="L1417" s="10">
        <f t="shared" si="862"/>
        <v>3</v>
      </c>
      <c r="M1417" s="10" t="str">
        <f t="shared" si="862"/>
        <v>FLAG</v>
      </c>
      <c r="N1417" s="10" t="str">
        <f t="shared" si="2"/>
        <v>31-507(a)(1) - Fire Safety and Prevention; Bottle rockets; Unlawful selling, offering or possession with intent to sell or offer for sale</v>
      </c>
      <c r="O1417" s="10" t="str">
        <f t="shared" si="3"/>
        <v>Fire Safety and Prevention</v>
      </c>
    </row>
    <row r="1418">
      <c r="A1418" s="7" t="s">
        <v>2587</v>
      </c>
      <c r="B1418" s="8" t="s">
        <v>2588</v>
      </c>
      <c r="C1418" s="8" t="s">
        <v>18</v>
      </c>
      <c r="D1418" s="8" t="s">
        <v>18</v>
      </c>
      <c r="E1418" s="8" t="s">
        <v>19</v>
      </c>
      <c r="F1418" s="8" t="s">
        <v>20</v>
      </c>
      <c r="G1418" s="8" t="s">
        <v>21</v>
      </c>
      <c r="H1418" s="9"/>
      <c r="I1418" s="9"/>
      <c r="J1418" s="10">
        <f t="shared" ref="J1418:M1418" si="863">ifs(OR($H1418="R",$I1418="N"),"N/A",OR(C1418="A",C1418="B",C1418="C",C1418="U"),3,TRUE,"FLAG")</f>
        <v>3</v>
      </c>
      <c r="K1418" s="10">
        <f t="shared" si="863"/>
        <v>3</v>
      </c>
      <c r="L1418" s="10">
        <f t="shared" si="863"/>
        <v>3</v>
      </c>
      <c r="M1418" s="10" t="str">
        <f t="shared" si="863"/>
        <v>FLAG</v>
      </c>
      <c r="N1418" s="10" t="str">
        <f t="shared" si="2"/>
        <v>31-507(a)(2) - Fire Safety and Prevention; Bottle rockets; Unlawful use, firing, setting off or ignition</v>
      </c>
      <c r="O1418" s="10" t="str">
        <f t="shared" si="3"/>
        <v>Fire Safety and Prevention</v>
      </c>
    </row>
    <row r="1419">
      <c r="A1419" s="7" t="s">
        <v>2589</v>
      </c>
      <c r="B1419" s="8" t="s">
        <v>2590</v>
      </c>
      <c r="C1419" s="8" t="s">
        <v>27</v>
      </c>
      <c r="D1419" s="8" t="s">
        <v>28</v>
      </c>
      <c r="E1419" s="8" t="s">
        <v>19</v>
      </c>
      <c r="F1419" s="8" t="s">
        <v>20</v>
      </c>
      <c r="G1419" s="8" t="s">
        <v>21</v>
      </c>
      <c r="H1419" s="9"/>
      <c r="I1419" s="9"/>
      <c r="J1419" s="10">
        <f t="shared" ref="J1419:M1419" si="864">ifs(OR($H1419="R",$I1419="N"),"N/A",OR(C1419="A",C1419="B",C1419="C",C1419="U"),3,TRUE,"FLAG")</f>
        <v>3</v>
      </c>
      <c r="K1419" s="10">
        <f t="shared" si="864"/>
        <v>3</v>
      </c>
      <c r="L1419" s="10">
        <f t="shared" si="864"/>
        <v>3</v>
      </c>
      <c r="M1419" s="10" t="str">
        <f t="shared" si="864"/>
        <v>FLAG</v>
      </c>
      <c r="N1419" s="10" t="str">
        <f t="shared" si="2"/>
        <v>21-6332(a) - Firearms; Possession of a firearm under the influence; knowingly possess or carry a firearm under the influence of alcohol or drugs to such a degree as to render such person incapable of safely operating</v>
      </c>
      <c r="O1419" s="10" t="str">
        <f t="shared" si="3"/>
        <v>Firearms</v>
      </c>
    </row>
    <row r="1420">
      <c r="A1420" s="7" t="s">
        <v>2591</v>
      </c>
      <c r="B1420" s="8" t="s">
        <v>2592</v>
      </c>
      <c r="C1420" s="8" t="s">
        <v>28</v>
      </c>
      <c r="D1420" s="8" t="s">
        <v>19</v>
      </c>
      <c r="E1420" s="8" t="s">
        <v>19</v>
      </c>
      <c r="F1420" s="8" t="s">
        <v>20</v>
      </c>
      <c r="G1420" s="8" t="s">
        <v>21</v>
      </c>
      <c r="H1420" s="9"/>
      <c r="I1420" s="9"/>
      <c r="J1420" s="10">
        <f t="shared" ref="J1420:M1420" si="865">ifs(OR($H1420="R",$I1420="N"),"N/A",OR(C1420="A",C1420="B",C1420="C",C1420="U"),3,TRUE,"FLAG")</f>
        <v>3</v>
      </c>
      <c r="K1420" s="10">
        <f t="shared" si="865"/>
        <v>3</v>
      </c>
      <c r="L1420" s="10">
        <f t="shared" si="865"/>
        <v>3</v>
      </c>
      <c r="M1420" s="10" t="str">
        <f t="shared" si="865"/>
        <v>FLAG</v>
      </c>
      <c r="N1420" s="10" t="str">
        <f t="shared" si="2"/>
        <v>8-1568(a) - Fleeing or Attempting to Elude a Law Enforcement Officer - 1st conviction</v>
      </c>
      <c r="O1420" s="10" t="str">
        <f t="shared" si="3"/>
        <v>Fleeing or Attempting to Elude a Law Enforcement Officer - 1st conviction</v>
      </c>
    </row>
    <row r="1421">
      <c r="A1421" s="7" t="s">
        <v>2593</v>
      </c>
      <c r="B1421" s="8" t="s">
        <v>2592</v>
      </c>
      <c r="C1421" s="8" t="s">
        <v>27</v>
      </c>
      <c r="D1421" s="8" t="s">
        <v>28</v>
      </c>
      <c r="E1421" s="8" t="s">
        <v>19</v>
      </c>
      <c r="F1421" s="8" t="s">
        <v>20</v>
      </c>
      <c r="G1421" s="8" t="s">
        <v>21</v>
      </c>
      <c r="H1421" s="9"/>
      <c r="I1421" s="9"/>
      <c r="J1421" s="10">
        <f t="shared" ref="J1421:M1421" si="866">ifs(OR($H1421="R",$I1421="N"),"N/A",OR(C1421="A",C1421="B",C1421="C",C1421="U"),3,TRUE,"FLAG")</f>
        <v>3</v>
      </c>
      <c r="K1421" s="10">
        <f t="shared" si="866"/>
        <v>3</v>
      </c>
      <c r="L1421" s="10">
        <f t="shared" si="866"/>
        <v>3</v>
      </c>
      <c r="M1421" s="10" t="str">
        <f t="shared" si="866"/>
        <v>FLAG</v>
      </c>
      <c r="N1421" s="10" t="str">
        <f t="shared" si="2"/>
        <v>8-1568(a) - Fleeing or Attempting to Elude a Law Enforcement Officer - 2nd conviction</v>
      </c>
      <c r="O1421" s="10" t="str">
        <f t="shared" si="3"/>
        <v>Fleeing or Attempting to Elude a Law Enforcement Officer - 2nd conviction</v>
      </c>
    </row>
    <row r="1422">
      <c r="A1422" s="7" t="s">
        <v>2594</v>
      </c>
      <c r="B1422" s="8" t="s">
        <v>2592</v>
      </c>
      <c r="C1422" s="8">
        <v>9.0</v>
      </c>
      <c r="D1422" s="8">
        <v>10.0</v>
      </c>
      <c r="E1422" s="8">
        <v>10.0</v>
      </c>
      <c r="F1422" s="8">
        <v>10.0</v>
      </c>
      <c r="G1422" s="8" t="s">
        <v>24</v>
      </c>
      <c r="H1422" s="9"/>
      <c r="I1422" s="9"/>
      <c r="N1422" s="10" t="str">
        <f t="shared" si="2"/>
        <v>8-1568(a) - Fleeing or Attempting to Elude a LEO; 3rd or subs. conviction</v>
      </c>
      <c r="O1422" s="10" t="str">
        <f t="shared" si="3"/>
        <v>Fleeing or Attempting to Elude a LEO</v>
      </c>
    </row>
    <row r="1423">
      <c r="A1423" s="7" t="s">
        <v>2595</v>
      </c>
      <c r="B1423" s="8" t="s">
        <v>2596</v>
      </c>
      <c r="C1423" s="8">
        <v>9.0</v>
      </c>
      <c r="D1423" s="8">
        <v>10.0</v>
      </c>
      <c r="E1423" s="8">
        <v>10.0</v>
      </c>
      <c r="F1423" s="8">
        <v>10.0</v>
      </c>
      <c r="G1423" s="8" t="s">
        <v>24</v>
      </c>
      <c r="H1423" s="9"/>
      <c r="I1423" s="9"/>
      <c r="N1423" s="10" t="str">
        <f t="shared" si="2"/>
        <v>8-1568(b) - Fleeing or Attempting to Elude a LEO; Evade road block, drive reckless, involved in accident, commit 5 moving violations, attempt to elude from felony capture</v>
      </c>
      <c r="O1423" s="10" t="str">
        <f t="shared" si="3"/>
        <v>Fleeing or Attempting to Elude a LEO</v>
      </c>
    </row>
    <row r="1424">
      <c r="A1424" s="7" t="s">
        <v>2597</v>
      </c>
      <c r="B1424" s="8" t="s">
        <v>2598</v>
      </c>
      <c r="C1424" s="8" t="s">
        <v>28</v>
      </c>
      <c r="D1424" s="8" t="s">
        <v>19</v>
      </c>
      <c r="E1424" s="8" t="s">
        <v>19</v>
      </c>
      <c r="F1424" s="8" t="s">
        <v>20</v>
      </c>
      <c r="G1424" s="8" t="s">
        <v>21</v>
      </c>
      <c r="H1424" s="9"/>
      <c r="I1424" s="9"/>
      <c r="J1424" s="10">
        <f t="shared" ref="J1424:M1424" si="867">ifs(OR($H1424="R",$I1424="N"),"N/A",OR(C1424="A",C1424="B",C1424="C",C1424="U"),3,TRUE,"FLAG")</f>
        <v>3</v>
      </c>
      <c r="K1424" s="10">
        <f t="shared" si="867"/>
        <v>3</v>
      </c>
      <c r="L1424" s="10">
        <f t="shared" si="867"/>
        <v>3</v>
      </c>
      <c r="M1424" s="10" t="str">
        <f t="shared" si="867"/>
        <v>FLAG</v>
      </c>
      <c r="N1424" s="10" t="str">
        <f t="shared" si="2"/>
        <v>19-3310 - Flood Control; Failure to obtain excavation permit</v>
      </c>
      <c r="O1424" s="10" t="str">
        <f t="shared" si="3"/>
        <v>Flood Control</v>
      </c>
    </row>
    <row r="1425">
      <c r="A1425" s="7" t="s">
        <v>2599</v>
      </c>
      <c r="B1425" s="8" t="s">
        <v>2600</v>
      </c>
      <c r="C1425" s="8" t="s">
        <v>19</v>
      </c>
      <c r="D1425" s="8" t="s">
        <v>19</v>
      </c>
      <c r="E1425" s="8" t="s">
        <v>19</v>
      </c>
      <c r="F1425" s="8" t="s">
        <v>20</v>
      </c>
      <c r="G1425" s="8" t="s">
        <v>21</v>
      </c>
      <c r="H1425" s="9"/>
      <c r="I1425" s="9"/>
      <c r="J1425" s="10">
        <f t="shared" ref="J1425:M1425" si="868">ifs(OR($H1425="R",$I1425="N"),"N/A",OR(C1425="A",C1425="B",C1425="C",C1425="U"),3,TRUE,"FLAG")</f>
        <v>3</v>
      </c>
      <c r="K1425" s="10">
        <f t="shared" si="868"/>
        <v>3</v>
      </c>
      <c r="L1425" s="10">
        <f t="shared" si="868"/>
        <v>3</v>
      </c>
      <c r="M1425" s="10" t="str">
        <f t="shared" si="868"/>
        <v>FLAG</v>
      </c>
      <c r="N1425" s="10" t="str">
        <f t="shared" si="2"/>
        <v>50-904(a) - Food Advertising &amp; Sales Practices; Any violation of act; 1st offense</v>
      </c>
      <c r="O1425" s="10" t="str">
        <f t="shared" si="3"/>
        <v>Food Advertising &amp; Sales Practices</v>
      </c>
    </row>
    <row r="1426">
      <c r="A1426" s="7" t="s">
        <v>2601</v>
      </c>
      <c r="B1426" s="8" t="s">
        <v>2600</v>
      </c>
      <c r="C1426" s="8" t="s">
        <v>28</v>
      </c>
      <c r="D1426" s="8" t="s">
        <v>19</v>
      </c>
      <c r="E1426" s="8" t="s">
        <v>19</v>
      </c>
      <c r="F1426" s="8" t="s">
        <v>20</v>
      </c>
      <c r="G1426" s="8" t="s">
        <v>21</v>
      </c>
      <c r="H1426" s="9"/>
      <c r="I1426" s="9"/>
      <c r="J1426" s="10">
        <f t="shared" ref="J1426:M1426" si="869">ifs(OR($H1426="R",$I1426="N"),"N/A",OR(C1426="A",C1426="B",C1426="C",C1426="U"),3,TRUE,"FLAG")</f>
        <v>3</v>
      </c>
      <c r="K1426" s="10">
        <f t="shared" si="869"/>
        <v>3</v>
      </c>
      <c r="L1426" s="10">
        <f t="shared" si="869"/>
        <v>3</v>
      </c>
      <c r="M1426" s="10" t="str">
        <f t="shared" si="869"/>
        <v>FLAG</v>
      </c>
      <c r="N1426" s="10" t="str">
        <f t="shared" si="2"/>
        <v>50-904(a) - Food Advertising &amp; Sales Practices; Any violation of act; 2nd offense</v>
      </c>
      <c r="O1426" s="10" t="str">
        <f t="shared" si="3"/>
        <v>Food Advertising &amp; Sales Practices</v>
      </c>
    </row>
    <row r="1427">
      <c r="A1427" s="7" t="s">
        <v>2602</v>
      </c>
      <c r="B1427" s="8" t="s">
        <v>2600</v>
      </c>
      <c r="C1427" s="8" t="s">
        <v>27</v>
      </c>
      <c r="D1427" s="8" t="s">
        <v>28</v>
      </c>
      <c r="E1427" s="8" t="s">
        <v>19</v>
      </c>
      <c r="F1427" s="8" t="s">
        <v>20</v>
      </c>
      <c r="G1427" s="8" t="s">
        <v>21</v>
      </c>
      <c r="H1427" s="9"/>
      <c r="I1427" s="9"/>
      <c r="J1427" s="10">
        <f t="shared" ref="J1427:M1427" si="870">ifs(OR($H1427="R",$I1427="N"),"N/A",OR(C1427="A",C1427="B",C1427="C",C1427="U"),3,TRUE,"FLAG")</f>
        <v>3</v>
      </c>
      <c r="K1427" s="10">
        <f t="shared" si="870"/>
        <v>3</v>
      </c>
      <c r="L1427" s="10">
        <f t="shared" si="870"/>
        <v>3</v>
      </c>
      <c r="M1427" s="10" t="str">
        <f t="shared" si="870"/>
        <v>FLAG</v>
      </c>
      <c r="N1427" s="10" t="str">
        <f t="shared" si="2"/>
        <v>50-904(a) - Food Advertising &amp; Sales Practices; Any violation of act; 3rd or subs.</v>
      </c>
      <c r="O1427" s="10" t="str">
        <f t="shared" si="3"/>
        <v>Food Advertising &amp; Sales Practices</v>
      </c>
    </row>
    <row r="1428">
      <c r="A1428" s="7" t="s">
        <v>2603</v>
      </c>
      <c r="B1428" s="8" t="s">
        <v>2604</v>
      </c>
      <c r="C1428" s="8" t="s">
        <v>18</v>
      </c>
      <c r="D1428" s="8" t="s">
        <v>18</v>
      </c>
      <c r="E1428" s="8" t="s">
        <v>19</v>
      </c>
      <c r="F1428" s="8" t="s">
        <v>20</v>
      </c>
      <c r="G1428" s="8" t="s">
        <v>21</v>
      </c>
      <c r="H1428" s="9"/>
      <c r="I1428" s="9"/>
      <c r="J1428" s="10">
        <f t="shared" ref="J1428:M1428" si="871">ifs(OR($H1428="R",$I1428="N"),"N/A",OR(C1428="A",C1428="B",C1428="C",C1428="U"),3,TRUE,"FLAG")</f>
        <v>3</v>
      </c>
      <c r="K1428" s="10">
        <f t="shared" si="871"/>
        <v>3</v>
      </c>
      <c r="L1428" s="10">
        <f t="shared" si="871"/>
        <v>3</v>
      </c>
      <c r="M1428" s="10" t="str">
        <f t="shared" si="871"/>
        <v>FLAG</v>
      </c>
      <c r="N1428" s="10" t="str">
        <f t="shared" si="2"/>
        <v>65-657(b) - Food, Drugs &amp; Cosmetics Act; Adulterate or misbranded any food, drug, device, or cosmetic</v>
      </c>
      <c r="O1428" s="10" t="str">
        <f t="shared" si="3"/>
        <v>Food, Drugs &amp; Cosmetics Act</v>
      </c>
    </row>
    <row r="1429">
      <c r="A1429" s="7" t="s">
        <v>2605</v>
      </c>
      <c r="B1429" s="8" t="s">
        <v>2606</v>
      </c>
      <c r="C1429" s="8" t="s">
        <v>18</v>
      </c>
      <c r="D1429" s="8" t="s">
        <v>18</v>
      </c>
      <c r="E1429" s="8" t="s">
        <v>19</v>
      </c>
      <c r="F1429" s="8" t="s">
        <v>20</v>
      </c>
      <c r="G1429" s="8" t="s">
        <v>21</v>
      </c>
      <c r="H1429" s="9"/>
      <c r="I1429" s="9"/>
      <c r="J1429" s="10">
        <f t="shared" ref="J1429:M1429" si="872">ifs(OR($H1429="R",$I1429="N"),"N/A",OR(C1429="A",C1429="B",C1429="C",C1429="U"),3,TRUE,"FLAG")</f>
        <v>3</v>
      </c>
      <c r="K1429" s="10">
        <f t="shared" si="872"/>
        <v>3</v>
      </c>
      <c r="L1429" s="10">
        <f t="shared" si="872"/>
        <v>3</v>
      </c>
      <c r="M1429" s="10" t="str">
        <f t="shared" si="872"/>
        <v>FLAG</v>
      </c>
      <c r="N1429" s="10" t="str">
        <f t="shared" si="2"/>
        <v>65-657(h) - Food, Drugs &amp; Cosmetics Act; Alteration, mutilation, destruction, obliteration or removal of the whole or any part of the labeling of, or the doing of any other act with respect to a food, drug, device or cosmetic, if such act is done while such article is held for sale and results in such article being misbranded</v>
      </c>
      <c r="O1429" s="10" t="str">
        <f t="shared" si="3"/>
        <v>Food, Drugs &amp; Cosmetics Act</v>
      </c>
    </row>
    <row r="1430">
      <c r="A1430" s="7" t="s">
        <v>2607</v>
      </c>
      <c r="B1430" s="8" t="s">
        <v>2608</v>
      </c>
      <c r="C1430" s="8" t="s">
        <v>18</v>
      </c>
      <c r="D1430" s="8" t="s">
        <v>18</v>
      </c>
      <c r="E1430" s="8" t="s">
        <v>19</v>
      </c>
      <c r="F1430" s="8" t="s">
        <v>20</v>
      </c>
      <c r="G1430" s="8" t="s">
        <v>21</v>
      </c>
      <c r="H1430" s="9"/>
      <c r="I1430" s="9"/>
      <c r="J1430" s="10">
        <f t="shared" ref="J1430:M1430" si="873">ifs(OR($H1430="R",$I1430="N"),"N/A",OR(C1430="A",C1430="B",C1430="C",C1430="U"),3,TRUE,"FLAG")</f>
        <v>3</v>
      </c>
      <c r="K1430" s="10">
        <f t="shared" si="873"/>
        <v>3</v>
      </c>
      <c r="L1430" s="10">
        <f t="shared" si="873"/>
        <v>3</v>
      </c>
      <c r="M1430" s="10" t="str">
        <f t="shared" si="873"/>
        <v>FLAG</v>
      </c>
      <c r="N1430" s="10" t="str">
        <f t="shared" si="2"/>
        <v>65-657(n) - Food, Drugs &amp; Cosmetics Act; Dispense a different drug or brand of drug in place of the one ordered or prescribed without express permission in each case of the person ordering or prescribing</v>
      </c>
      <c r="O1430" s="10" t="str">
        <f t="shared" si="3"/>
        <v>Food, Drugs &amp; Cosmetics Act</v>
      </c>
    </row>
    <row r="1431">
      <c r="A1431" s="7" t="s">
        <v>2609</v>
      </c>
      <c r="B1431" s="8" t="s">
        <v>2610</v>
      </c>
      <c r="C1431" s="8" t="s">
        <v>18</v>
      </c>
      <c r="D1431" s="8" t="s">
        <v>18</v>
      </c>
      <c r="E1431" s="8" t="s">
        <v>19</v>
      </c>
      <c r="F1431" s="8" t="s">
        <v>20</v>
      </c>
      <c r="G1431" s="8" t="s">
        <v>21</v>
      </c>
      <c r="H1431" s="9"/>
      <c r="I1431" s="9"/>
      <c r="J1431" s="10">
        <f t="shared" ref="J1431:M1431" si="874">ifs(OR($H1431="R",$I1431="N"),"N/A",OR(C1431="A",C1431="B",C1431="C",C1431="U"),3,TRUE,"FLAG")</f>
        <v>3</v>
      </c>
      <c r="K1431" s="10">
        <f t="shared" si="874"/>
        <v>3</v>
      </c>
      <c r="L1431" s="10">
        <f t="shared" si="874"/>
        <v>3</v>
      </c>
      <c r="M1431" s="10" t="str">
        <f t="shared" si="874"/>
        <v>FLAG</v>
      </c>
      <c r="N1431" s="10" t="str">
        <f t="shared" si="2"/>
        <v>65-657(d) - Food, Drugs &amp; Cosmetics Act; Dissemination of any false advertisement</v>
      </c>
      <c r="O1431" s="10" t="str">
        <f t="shared" si="3"/>
        <v>Food, Drugs &amp; Cosmetics Act</v>
      </c>
    </row>
    <row r="1432">
      <c r="A1432" s="7" t="s">
        <v>2611</v>
      </c>
      <c r="B1432" s="8" t="s">
        <v>2612</v>
      </c>
      <c r="C1432" s="8" t="s">
        <v>18</v>
      </c>
      <c r="D1432" s="8" t="s">
        <v>18</v>
      </c>
      <c r="E1432" s="8" t="s">
        <v>19</v>
      </c>
      <c r="F1432" s="8" t="s">
        <v>20</v>
      </c>
      <c r="G1432" s="8" t="s">
        <v>21</v>
      </c>
      <c r="H1432" s="9"/>
      <c r="I1432" s="9"/>
      <c r="J1432" s="10">
        <f t="shared" ref="J1432:M1432" si="875">ifs(OR($H1432="R",$I1432="N"),"N/A",OR(C1432="A",C1432="B",C1432="C",C1432="U"),3,TRUE,"FLAG")</f>
        <v>3</v>
      </c>
      <c r="K1432" s="10">
        <f t="shared" si="875"/>
        <v>3</v>
      </c>
      <c r="L1432" s="10">
        <f t="shared" si="875"/>
        <v>3</v>
      </c>
      <c r="M1432" s="10" t="str">
        <f t="shared" si="875"/>
        <v>FLAG</v>
      </c>
      <c r="N1432" s="10" t="str">
        <f t="shared" si="2"/>
        <v>65-657(i) - Food, Drugs &amp; Cosmetics Act; Forging, counterfeiting, simulating or falsely representing, or without proper authority using any mark, stamp, tag, label or other identification method authorized, or required by rules and regulations promulgated under the provisions of this act</v>
      </c>
      <c r="O1432" s="10" t="str">
        <f t="shared" si="3"/>
        <v>Food, Drugs &amp; Cosmetics Act</v>
      </c>
    </row>
    <row r="1433">
      <c r="A1433" s="7" t="s">
        <v>2613</v>
      </c>
      <c r="B1433" s="8" t="s">
        <v>2614</v>
      </c>
      <c r="C1433" s="8" t="s">
        <v>18</v>
      </c>
      <c r="D1433" s="8" t="s">
        <v>18</v>
      </c>
      <c r="E1433" s="8" t="s">
        <v>19</v>
      </c>
      <c r="F1433" s="8" t="s">
        <v>20</v>
      </c>
      <c r="G1433" s="8" t="s">
        <v>21</v>
      </c>
      <c r="H1433" s="9"/>
      <c r="I1433" s="9"/>
      <c r="J1433" s="10">
        <f t="shared" ref="J1433:M1433" si="876">ifs(OR($H1433="R",$I1433="N"),"N/A",OR(C1433="A",C1433="B",C1433="C",C1433="U"),3,TRUE,"FLAG")</f>
        <v>3</v>
      </c>
      <c r="K1433" s="10">
        <f t="shared" si="876"/>
        <v>3</v>
      </c>
      <c r="L1433" s="10">
        <f t="shared" si="876"/>
        <v>3</v>
      </c>
      <c r="M1433" s="10" t="str">
        <f t="shared" si="876"/>
        <v>FLAG</v>
      </c>
      <c r="N1433" s="10" t="str">
        <f t="shared" si="2"/>
        <v>65-657(f) - Food, Drugs &amp; Cosmetics Act; Giving of a guaranty or undertaking which is false</v>
      </c>
      <c r="O1433" s="10" t="str">
        <f t="shared" si="3"/>
        <v>Food, Drugs &amp; Cosmetics Act</v>
      </c>
    </row>
    <row r="1434">
      <c r="A1434" s="7" t="s">
        <v>2615</v>
      </c>
      <c r="B1434" s="8" t="s">
        <v>2616</v>
      </c>
      <c r="C1434" s="8" t="s">
        <v>18</v>
      </c>
      <c r="D1434" s="8" t="s">
        <v>18</v>
      </c>
      <c r="E1434" s="8" t="s">
        <v>19</v>
      </c>
      <c r="F1434" s="8" t="s">
        <v>20</v>
      </c>
      <c r="G1434" s="8" t="s">
        <v>21</v>
      </c>
      <c r="H1434" s="9"/>
      <c r="I1434" s="9"/>
      <c r="J1434" s="10">
        <f t="shared" ref="J1434:M1434" si="877">ifs(OR($H1434="R",$I1434="N"),"N/A",OR(C1434="A",C1434="B",C1434="C",C1434="U"),3,TRUE,"FLAG")</f>
        <v>3</v>
      </c>
      <c r="K1434" s="10">
        <f t="shared" si="877"/>
        <v>3</v>
      </c>
      <c r="L1434" s="10">
        <f t="shared" si="877"/>
        <v>3</v>
      </c>
      <c r="M1434" s="10" t="str">
        <f t="shared" si="877"/>
        <v>FLAG</v>
      </c>
      <c r="N1434" s="10" t="str">
        <f t="shared" si="2"/>
        <v>65-657(o) - Food, Drugs &amp; Cosmetics Act; Knowingly kill, sell, trade, exchange or offer to sell trade or exchange any diseased animal for human consumption</v>
      </c>
      <c r="O1434" s="10" t="str">
        <f t="shared" si="3"/>
        <v>Food, Drugs &amp; Cosmetics Act</v>
      </c>
    </row>
    <row r="1435">
      <c r="A1435" s="7" t="s">
        <v>2617</v>
      </c>
      <c r="B1435" s="8" t="s">
        <v>2618</v>
      </c>
      <c r="C1435" s="8" t="s">
        <v>18</v>
      </c>
      <c r="D1435" s="8" t="s">
        <v>18</v>
      </c>
      <c r="E1435" s="8" t="s">
        <v>19</v>
      </c>
      <c r="F1435" s="8" t="s">
        <v>20</v>
      </c>
      <c r="G1435" s="8" t="s">
        <v>21</v>
      </c>
      <c r="H1435" s="9"/>
      <c r="I1435" s="9"/>
      <c r="J1435" s="10">
        <f t="shared" ref="J1435:M1435" si="878">ifs(OR($H1435="R",$I1435="N"),"N/A",OR(C1435="A",C1435="B",C1435="C",C1435="U"),3,TRUE,"FLAG")</f>
        <v>3</v>
      </c>
      <c r="K1435" s="10">
        <f t="shared" si="878"/>
        <v>3</v>
      </c>
      <c r="L1435" s="10">
        <f t="shared" si="878"/>
        <v>3</v>
      </c>
      <c r="M1435" s="10" t="str">
        <f t="shared" si="878"/>
        <v>FLAG</v>
      </c>
      <c r="N1435" s="10" t="str">
        <f t="shared" si="2"/>
        <v>65-657(p) - Food, Drugs &amp; Cosmetics Act; Knowingly purchase or otherwise obtain possession of any diseased animal for the purpose and intent of disposing the same for food</v>
      </c>
      <c r="O1435" s="10" t="str">
        <f t="shared" si="3"/>
        <v>Food, Drugs &amp; Cosmetics Act</v>
      </c>
    </row>
    <row r="1436">
      <c r="A1436" s="7" t="s">
        <v>2619</v>
      </c>
      <c r="B1436" s="8" t="s">
        <v>2620</v>
      </c>
      <c r="C1436" s="8" t="s">
        <v>18</v>
      </c>
      <c r="D1436" s="8" t="s">
        <v>18</v>
      </c>
      <c r="E1436" s="8" t="s">
        <v>19</v>
      </c>
      <c r="F1436" s="8" t="s">
        <v>20</v>
      </c>
      <c r="G1436" s="8" t="s">
        <v>21</v>
      </c>
      <c r="H1436" s="9"/>
      <c r="I1436" s="9"/>
      <c r="J1436" s="10">
        <f t="shared" ref="J1436:M1436" si="879">ifs(OR($H1436="R",$I1436="N"),"N/A",OR(C1436="A",C1436="B",C1436="C",C1436="U"),3,TRUE,"FLAG")</f>
        <v>3</v>
      </c>
      <c r="K1436" s="10">
        <f t="shared" si="879"/>
        <v>3</v>
      </c>
      <c r="L1436" s="10">
        <f t="shared" si="879"/>
        <v>3</v>
      </c>
      <c r="M1436" s="10" t="str">
        <f t="shared" si="879"/>
        <v>FLAG</v>
      </c>
      <c r="N1436" s="10" t="str">
        <f t="shared" si="2"/>
        <v>65-657(m)(3) - Food, Drugs &amp; Cosmetics Act; Make, sell, dispose of or cause such, or possess with intent to defraud, any item designed to print, imprint or reproduce a trade name or other identifying mark or imprint of another or any likeness of any of the foregoing upon any drug, device or container thereof</v>
      </c>
      <c r="O1436" s="10" t="str">
        <f t="shared" si="3"/>
        <v>Food, Drugs &amp; Cosmetics Act</v>
      </c>
    </row>
    <row r="1437">
      <c r="A1437" s="7" t="s">
        <v>2621</v>
      </c>
      <c r="B1437" s="8" t="s">
        <v>2622</v>
      </c>
      <c r="C1437" s="8" t="s">
        <v>18</v>
      </c>
      <c r="D1437" s="8" t="s">
        <v>18</v>
      </c>
      <c r="E1437" s="8" t="s">
        <v>19</v>
      </c>
      <c r="F1437" s="8" t="s">
        <v>20</v>
      </c>
      <c r="G1437" s="8" t="s">
        <v>21</v>
      </c>
      <c r="H1437" s="9"/>
      <c r="I1437" s="9"/>
      <c r="J1437" s="10">
        <f t="shared" ref="J1437:M1437" si="880">ifs(OR($H1437="R",$I1437="N"),"N/A",OR(C1437="A",C1437="B",C1437="C",C1437="U"),3,TRUE,"FLAG")</f>
        <v>3</v>
      </c>
      <c r="K1437" s="10">
        <f t="shared" si="880"/>
        <v>3</v>
      </c>
      <c r="L1437" s="10">
        <f t="shared" si="880"/>
        <v>3</v>
      </c>
      <c r="M1437" s="10" t="str">
        <f t="shared" si="880"/>
        <v>FLAG</v>
      </c>
      <c r="N1437" s="10" t="str">
        <f t="shared" si="2"/>
        <v>65-657(l) - Food, Drugs &amp; Cosmetics Act; Manufacturer, packer or distributor of a prescription drug; fail to maintain for transmittal, or fail to transmit, copies of printed matter required to be included in drug packaging, or other federally approved printed matter, to any practitioner licensed to administer such drug, upon request</v>
      </c>
      <c r="O1437" s="10" t="str">
        <f t="shared" si="3"/>
        <v>Food, Drugs &amp; Cosmetics Act</v>
      </c>
    </row>
    <row r="1438">
      <c r="A1438" s="7" t="s">
        <v>2623</v>
      </c>
      <c r="B1438" s="8" t="s">
        <v>2624</v>
      </c>
      <c r="C1438" s="8" t="s">
        <v>18</v>
      </c>
      <c r="D1438" s="8" t="s">
        <v>18</v>
      </c>
      <c r="E1438" s="8" t="s">
        <v>19</v>
      </c>
      <c r="F1438" s="8" t="s">
        <v>20</v>
      </c>
      <c r="G1438" s="8" t="s">
        <v>21</v>
      </c>
      <c r="H1438" s="9"/>
      <c r="I1438" s="9"/>
      <c r="J1438" s="10">
        <f t="shared" ref="J1438:M1438" si="881">ifs(OR($H1438="R",$I1438="N"),"N/A",OR(C1438="A",C1438="B",C1438="C",C1438="U"),3,TRUE,"FLAG")</f>
        <v>3</v>
      </c>
      <c r="K1438" s="10">
        <f t="shared" si="881"/>
        <v>3</v>
      </c>
      <c r="L1438" s="10">
        <f t="shared" si="881"/>
        <v>3</v>
      </c>
      <c r="M1438" s="10" t="str">
        <f t="shared" si="881"/>
        <v>FLAG</v>
      </c>
      <c r="N1438" s="10" t="str">
        <f t="shared" si="2"/>
        <v>65-657(q) - Food, Drugs &amp; Cosmetics Act; Offer or expose for sale at retail, for human consumption, any slaughtered wild or domestic fowl, rabbit, squirrel or other small animal unless entrails, crops and other offensive parts are drawn and removed and carcass cooled until delivery to end consumer</v>
      </c>
      <c r="O1438" s="10" t="str">
        <f t="shared" si="3"/>
        <v>Food, Drugs &amp; Cosmetics Act</v>
      </c>
    </row>
    <row r="1439">
      <c r="A1439" s="7" t="s">
        <v>2625</v>
      </c>
      <c r="B1439" s="8" t="s">
        <v>2626</v>
      </c>
      <c r="C1439" s="8" t="s">
        <v>18</v>
      </c>
      <c r="D1439" s="8" t="s">
        <v>18</v>
      </c>
      <c r="E1439" s="8" t="s">
        <v>19</v>
      </c>
      <c r="F1439" s="8" t="s">
        <v>20</v>
      </c>
      <c r="G1439" s="8" t="s">
        <v>21</v>
      </c>
      <c r="H1439" s="9"/>
      <c r="I1439" s="9"/>
      <c r="J1439" s="10">
        <f t="shared" ref="J1439:M1439" si="882">ifs(OR($H1439="R",$I1439="N"),"N/A",OR(C1439="A",C1439="B",C1439="C",C1439="U"),3,TRUE,"FLAG")</f>
        <v>3</v>
      </c>
      <c r="K1439" s="10">
        <f t="shared" si="882"/>
        <v>3</v>
      </c>
      <c r="L1439" s="10">
        <f t="shared" si="882"/>
        <v>3</v>
      </c>
      <c r="M1439" s="10" t="str">
        <f t="shared" si="882"/>
        <v>FLAG</v>
      </c>
      <c r="N1439" s="10" t="str">
        <f t="shared" si="2"/>
        <v>65-657(m)(1) - Food, Drugs &amp; Cosmetics Act; Place, or cause to be placed, upon any drug or device or container thereof, with intent to defraud, the trade name or other identifying mark, or imprint of another or any likeness of any of the foregoing</v>
      </c>
      <c r="O1439" s="10" t="str">
        <f t="shared" si="3"/>
        <v>Food, Drugs &amp; Cosmetics Act</v>
      </c>
    </row>
    <row r="1440">
      <c r="A1440" s="7" t="s">
        <v>2627</v>
      </c>
      <c r="B1440" s="8" t="s">
        <v>2628</v>
      </c>
      <c r="C1440" s="8" t="s">
        <v>18</v>
      </c>
      <c r="D1440" s="8" t="s">
        <v>18</v>
      </c>
      <c r="E1440" s="8" t="s">
        <v>19</v>
      </c>
      <c r="F1440" s="8" t="s">
        <v>20</v>
      </c>
      <c r="G1440" s="8" t="s">
        <v>21</v>
      </c>
      <c r="H1440" s="9"/>
      <c r="I1440" s="9"/>
      <c r="J1440" s="10">
        <f t="shared" ref="J1440:M1440" si="883">ifs(OR($H1440="R",$I1440="N"),"N/A",OR(C1440="A",C1440="B",C1440="C",C1440="U"),3,TRUE,"FLAG")</f>
        <v>3</v>
      </c>
      <c r="K1440" s="10">
        <f t="shared" si="883"/>
        <v>3</v>
      </c>
      <c r="L1440" s="10">
        <f t="shared" si="883"/>
        <v>3</v>
      </c>
      <c r="M1440" s="10" t="str">
        <f t="shared" si="883"/>
        <v>FLAG</v>
      </c>
      <c r="N1440" s="10" t="str">
        <f t="shared" si="2"/>
        <v>65-657(c) - Food, Drugs &amp; Cosmetics Act; Receipt in commerce of any food, drug, device or cosmetic knowing it to be adulterated or misbranded, and the delivery or proffered delivery thereof for pay or otherwise</v>
      </c>
      <c r="O1440" s="10" t="str">
        <f t="shared" si="3"/>
        <v>Food, Drugs &amp; Cosmetics Act</v>
      </c>
    </row>
    <row r="1441">
      <c r="A1441" s="7" t="s">
        <v>2629</v>
      </c>
      <c r="B1441" s="8" t="s">
        <v>2630</v>
      </c>
      <c r="C1441" s="8" t="s">
        <v>27</v>
      </c>
      <c r="D1441" s="8" t="s">
        <v>28</v>
      </c>
      <c r="E1441" s="8" t="s">
        <v>19</v>
      </c>
      <c r="F1441" s="8" t="s">
        <v>20</v>
      </c>
      <c r="G1441" s="8" t="s">
        <v>21</v>
      </c>
      <c r="H1441" s="9"/>
      <c r="I1441" s="9"/>
      <c r="J1441" s="10">
        <f t="shared" ref="J1441:M1441" si="884">ifs(OR($H1441="R",$I1441="N"),"N/A",OR(C1441="A",C1441="B",C1441="C",C1441="U"),3,TRUE,"FLAG")</f>
        <v>3</v>
      </c>
      <c r="K1441" s="10">
        <f t="shared" si="884"/>
        <v>3</v>
      </c>
      <c r="L1441" s="10">
        <f t="shared" si="884"/>
        <v>3</v>
      </c>
      <c r="M1441" s="10" t="str">
        <f t="shared" si="884"/>
        <v>FLAG</v>
      </c>
      <c r="N1441" s="10" t="str">
        <f t="shared" si="2"/>
        <v>65-682(d) - Food, Drugs &amp; Cosmetics Act; Recklessly or intentionally violate the provisions of the food, drug and cosmetic act, or its rules and regulations</v>
      </c>
      <c r="O1441" s="10" t="str">
        <f t="shared" si="3"/>
        <v>Food, Drugs &amp; Cosmetics Act</v>
      </c>
    </row>
    <row r="1442">
      <c r="A1442" s="7" t="s">
        <v>2631</v>
      </c>
      <c r="B1442" s="8" t="s">
        <v>2632</v>
      </c>
      <c r="C1442" s="8" t="s">
        <v>18</v>
      </c>
      <c r="D1442" s="8" t="s">
        <v>18</v>
      </c>
      <c r="E1442" s="8" t="s">
        <v>19</v>
      </c>
      <c r="F1442" s="8" t="s">
        <v>20</v>
      </c>
      <c r="G1442" s="8" t="s">
        <v>21</v>
      </c>
      <c r="H1442" s="9"/>
      <c r="I1442" s="9"/>
      <c r="J1442" s="10">
        <f t="shared" ref="J1442:M1442" si="885">ifs(OR($H1442="R",$I1442="N"),"N/A",OR(C1442="A",C1442="B",C1442="C",C1442="U"),3,TRUE,"FLAG")</f>
        <v>3</v>
      </c>
      <c r="K1442" s="10">
        <f t="shared" si="885"/>
        <v>3</v>
      </c>
      <c r="L1442" s="10">
        <f t="shared" si="885"/>
        <v>3</v>
      </c>
      <c r="M1442" s="10" t="str">
        <f t="shared" si="885"/>
        <v>FLAG</v>
      </c>
      <c r="N1442" s="10" t="str">
        <f t="shared" si="2"/>
        <v>65-657(e) - Food, Drugs &amp; Cosmetics Act; Refuse to permit entry, inspection, or taking of a sample, as authorized by K.S.A. 65-674</v>
      </c>
      <c r="O1442" s="10" t="str">
        <f t="shared" si="3"/>
        <v>Food, Drugs &amp; Cosmetics Act</v>
      </c>
    </row>
    <row r="1443">
      <c r="A1443" s="7" t="s">
        <v>2633</v>
      </c>
      <c r="B1443" s="8" t="s">
        <v>2634</v>
      </c>
      <c r="C1443" s="8" t="s">
        <v>18</v>
      </c>
      <c r="D1443" s="8" t="s">
        <v>18</v>
      </c>
      <c r="E1443" s="8" t="s">
        <v>19</v>
      </c>
      <c r="F1443" s="8" t="s">
        <v>20</v>
      </c>
      <c r="G1443" s="8" t="s">
        <v>21</v>
      </c>
      <c r="H1443" s="9"/>
      <c r="I1443" s="9"/>
      <c r="J1443" s="10">
        <f t="shared" ref="J1443:M1443" si="886">ifs(OR($H1443="R",$I1443="N"),"N/A",OR(C1443="A",C1443="B",C1443="C",C1443="U"),3,TRUE,"FLAG")</f>
        <v>3</v>
      </c>
      <c r="K1443" s="10">
        <f t="shared" si="886"/>
        <v>3</v>
      </c>
      <c r="L1443" s="10">
        <f t="shared" si="886"/>
        <v>3</v>
      </c>
      <c r="M1443" s="10" t="str">
        <f t="shared" si="886"/>
        <v>FLAG</v>
      </c>
      <c r="N1443" s="10" t="str">
        <f t="shared" si="2"/>
        <v>65-657(g) - Food, Drugs &amp; Cosmetics Act; Remove or dispose of a detained or embargoed article in violation of K.S.A. 65-660 and amendments thereto</v>
      </c>
      <c r="O1443" s="10" t="str">
        <f t="shared" si="3"/>
        <v>Food, Drugs &amp; Cosmetics Act</v>
      </c>
    </row>
    <row r="1444">
      <c r="A1444" s="7" t="s">
        <v>2635</v>
      </c>
      <c r="B1444" s="8" t="s">
        <v>2636</v>
      </c>
      <c r="C1444" s="8" t="s">
        <v>18</v>
      </c>
      <c r="D1444" s="8" t="s">
        <v>18</v>
      </c>
      <c r="E1444" s="8" t="s">
        <v>19</v>
      </c>
      <c r="F1444" s="8" t="s">
        <v>20</v>
      </c>
      <c r="G1444" s="8" t="s">
        <v>21</v>
      </c>
      <c r="H1444" s="9"/>
      <c r="I1444" s="9"/>
      <c r="J1444" s="10">
        <f t="shared" ref="J1444:M1444" si="887">ifs(OR($H1444="R",$I1444="N"),"N/A",OR(C1444="A",C1444="B",C1444="C",C1444="U"),3,TRUE,"FLAG")</f>
        <v>3</v>
      </c>
      <c r="K1444" s="10">
        <f t="shared" si="887"/>
        <v>3</v>
      </c>
      <c r="L1444" s="10">
        <f t="shared" si="887"/>
        <v>3</v>
      </c>
      <c r="M1444" s="10" t="str">
        <f t="shared" si="887"/>
        <v>FLAG</v>
      </c>
      <c r="N1444" s="10" t="str">
        <f t="shared" si="2"/>
        <v>65-657(m)(2) - Food, Drugs &amp; Cosmetics Act; Sell, dispense, dispose of or conceal or possess with intent to sell, any drug, device or any container thereof, knowing that the trade name or other identifying mark or imprint of another or any likeness of any of the foregoing has been placed thereon with intent 65-657(m)(1)</v>
      </c>
      <c r="O1444" s="10" t="str">
        <f t="shared" si="3"/>
        <v>Food, Drugs &amp; Cosmetics Act</v>
      </c>
    </row>
    <row r="1445">
      <c r="A1445" s="7" t="s">
        <v>2637</v>
      </c>
      <c r="B1445" s="8" t="s">
        <v>2638</v>
      </c>
      <c r="C1445" s="8" t="s">
        <v>18</v>
      </c>
      <c r="D1445" s="8" t="s">
        <v>18</v>
      </c>
      <c r="E1445" s="8" t="s">
        <v>19</v>
      </c>
      <c r="F1445" s="8" t="s">
        <v>20</v>
      </c>
      <c r="G1445" s="8" t="s">
        <v>21</v>
      </c>
      <c r="H1445" s="9"/>
      <c r="I1445" s="9"/>
      <c r="J1445" s="10">
        <f t="shared" ref="J1445:M1445" si="888">ifs(OR($H1445="R",$I1445="N"),"N/A",OR(C1445="A",C1445="B",C1445="C",C1445="U"),3,TRUE,"FLAG")</f>
        <v>3</v>
      </c>
      <c r="K1445" s="10">
        <f t="shared" si="888"/>
        <v>3</v>
      </c>
      <c r="L1445" s="10">
        <f t="shared" si="888"/>
        <v>3</v>
      </c>
      <c r="M1445" s="10" t="str">
        <f t="shared" si="888"/>
        <v>FLAG</v>
      </c>
      <c r="N1445" s="10" t="str">
        <f t="shared" si="2"/>
        <v>65-657(a) - Food, Drugs &amp; Cosmetics Act; The processing, storage or distribution of any food, drug, device, or cosmetic that is adulterated or misbranded</v>
      </c>
      <c r="O1445" s="10" t="str">
        <f t="shared" si="3"/>
        <v>Food, Drugs &amp; Cosmetics Act</v>
      </c>
    </row>
    <row r="1446">
      <c r="A1446" s="7" t="s">
        <v>2639</v>
      </c>
      <c r="B1446" s="8" t="s">
        <v>2640</v>
      </c>
      <c r="C1446" s="8" t="s">
        <v>18</v>
      </c>
      <c r="D1446" s="8" t="s">
        <v>18</v>
      </c>
      <c r="E1446" s="8" t="s">
        <v>19</v>
      </c>
      <c r="F1446" s="8" t="s">
        <v>20</v>
      </c>
      <c r="G1446" s="8" t="s">
        <v>21</v>
      </c>
      <c r="H1446" s="9"/>
      <c r="I1446" s="9"/>
      <c r="J1446" s="10">
        <f t="shared" ref="J1446:M1446" si="889">ifs(OR($H1446="R",$I1446="N"),"N/A",OR(C1446="A",C1446="B",C1446="C",C1446="U"),3,TRUE,"FLAG")</f>
        <v>3</v>
      </c>
      <c r="K1446" s="10">
        <f t="shared" si="889"/>
        <v>3</v>
      </c>
      <c r="L1446" s="10">
        <f t="shared" si="889"/>
        <v>3</v>
      </c>
      <c r="M1446" s="10" t="str">
        <f t="shared" si="889"/>
        <v>FLAG</v>
      </c>
      <c r="N1446" s="10" t="str">
        <f t="shared" si="2"/>
        <v>65-657(j) - Food, Drugs &amp; Cosmetics Act; Using of any person to such person's own advantage, or revealing, any information acquired under authority of this act concerning a trade secret under the uniform trade secrets act, K.S.A. 60-3320 et seq. and amendments thereto, which is entitled to protection</v>
      </c>
      <c r="O1446" s="10" t="str">
        <f t="shared" si="3"/>
        <v>Food, Drugs &amp; Cosmetics Act</v>
      </c>
    </row>
    <row r="1447">
      <c r="A1447" s="7" t="s">
        <v>2641</v>
      </c>
      <c r="B1447" s="8" t="s">
        <v>2642</v>
      </c>
      <c r="C1447" s="8" t="s">
        <v>18</v>
      </c>
      <c r="D1447" s="8" t="s">
        <v>18</v>
      </c>
      <c r="E1447" s="8" t="s">
        <v>19</v>
      </c>
      <c r="F1447" s="8" t="s">
        <v>20</v>
      </c>
      <c r="G1447" s="8" t="s">
        <v>21</v>
      </c>
      <c r="H1447" s="9"/>
      <c r="I1447" s="9"/>
      <c r="J1447" s="10">
        <f t="shared" ref="J1447:M1447" si="890">ifs(OR($H1447="R",$I1447="N"),"N/A",OR(C1447="A",C1447="B",C1447="C",C1447="U"),3,TRUE,"FLAG")</f>
        <v>3</v>
      </c>
      <c r="K1447" s="10">
        <f t="shared" si="890"/>
        <v>3</v>
      </c>
      <c r="L1447" s="10">
        <f t="shared" si="890"/>
        <v>3</v>
      </c>
      <c r="M1447" s="10" t="str">
        <f t="shared" si="890"/>
        <v>FLAG</v>
      </c>
      <c r="N1447" s="10" t="str">
        <f t="shared" si="2"/>
        <v>65-657(k) - Food, Drugs &amp; Cosmetics Act; Using, on the labeling of any drug or in any advertisement relating to such drug, any representation or suggestion that an application with respect to such drug is effective under K.S.A. 65-669a, and amendments thereto, or that such drug complies with the provisions of such section</v>
      </c>
      <c r="O1447" s="10" t="str">
        <f t="shared" si="3"/>
        <v>Food, Drugs &amp; Cosmetics Act</v>
      </c>
    </row>
    <row r="1448">
      <c r="A1448" s="7" t="s">
        <v>2643</v>
      </c>
      <c r="B1448" s="8" t="s">
        <v>2644</v>
      </c>
      <c r="C1448" s="8" t="s">
        <v>18</v>
      </c>
      <c r="D1448" s="8" t="s">
        <v>18</v>
      </c>
      <c r="E1448" s="8" t="s">
        <v>19</v>
      </c>
      <c r="F1448" s="8" t="s">
        <v>20</v>
      </c>
      <c r="G1448" s="8" t="s">
        <v>21</v>
      </c>
      <c r="H1448" s="9"/>
      <c r="I1448" s="9"/>
      <c r="J1448" s="10">
        <f t="shared" ref="J1448:M1448" si="891">ifs(OR($H1448="R",$I1448="N"),"N/A",OR(C1448="A",C1448="B",C1448="C",C1448="U"),3,TRUE,"FLAG")</f>
        <v>3</v>
      </c>
      <c r="K1448" s="10">
        <f t="shared" si="891"/>
        <v>3</v>
      </c>
      <c r="L1448" s="10">
        <f t="shared" si="891"/>
        <v>3</v>
      </c>
      <c r="M1448" s="10" t="str">
        <f t="shared" si="891"/>
        <v>FLAG</v>
      </c>
      <c r="N1448" s="10" t="str">
        <f t="shared" si="2"/>
        <v>65-657(r) - Food, Drugs &amp; Cosmetics Act; Wholesale, retail food establishments, processing plants and peddlers; Failing to protect slaughtered fresh meats, fish, fowl or game for human consumption from dust, flies and other vermin or other substances that that may injuriously affect it</v>
      </c>
      <c r="O1448" s="10" t="str">
        <f t="shared" si="3"/>
        <v>Food, Drugs &amp; Cosmetics Act</v>
      </c>
    </row>
    <row r="1449">
      <c r="A1449" s="7" t="s">
        <v>2645</v>
      </c>
      <c r="B1449" s="8" t="s">
        <v>2646</v>
      </c>
      <c r="C1449" s="8" t="s">
        <v>19</v>
      </c>
      <c r="D1449" s="8" t="s">
        <v>19</v>
      </c>
      <c r="E1449" s="8" t="s">
        <v>19</v>
      </c>
      <c r="F1449" s="8" t="s">
        <v>20</v>
      </c>
      <c r="G1449" s="8" t="s">
        <v>21</v>
      </c>
      <c r="H1449" s="9"/>
      <c r="I1449" s="9"/>
      <c r="J1449" s="10">
        <f t="shared" ref="J1449:M1449" si="892">ifs(OR($H1449="R",$I1449="N"),"N/A",OR(C1449="A",C1449="B",C1449="C",C1449="U"),3,TRUE,"FLAG")</f>
        <v>3</v>
      </c>
      <c r="K1449" s="10">
        <f t="shared" si="892"/>
        <v>3</v>
      </c>
      <c r="L1449" s="10">
        <f t="shared" si="892"/>
        <v>3</v>
      </c>
      <c r="M1449" s="10" t="str">
        <f t="shared" si="892"/>
        <v>FLAG</v>
      </c>
      <c r="N1449" s="10" t="str">
        <f t="shared" si="2"/>
        <v>65-650(a) - Food, Drugs &amp; Cosmetics; Sell prescription medicine, prescription-only drug, drug which contains ephedrine alkaloids, drug intended for human use by hypodermic injection or poison via vending machine</v>
      </c>
      <c r="O1449" s="10" t="str">
        <f t="shared" si="3"/>
        <v>Food, Drugs &amp; Cosmetics</v>
      </c>
    </row>
    <row r="1450">
      <c r="A1450" s="7" t="s">
        <v>2647</v>
      </c>
      <c r="B1450" s="8" t="s">
        <v>2648</v>
      </c>
      <c r="C1450" s="8" t="s">
        <v>19</v>
      </c>
      <c r="D1450" s="8" t="s">
        <v>19</v>
      </c>
      <c r="E1450" s="8" t="s">
        <v>19</v>
      </c>
      <c r="F1450" s="8" t="s">
        <v>20</v>
      </c>
      <c r="G1450" s="8" t="s">
        <v>21</v>
      </c>
      <c r="H1450" s="9"/>
      <c r="I1450" s="9"/>
      <c r="J1450" s="10">
        <f t="shared" ref="J1450:M1450" si="893">ifs(OR($H1450="R",$I1450="N"),"N/A",OR(C1450="A",C1450="B",C1450="C",C1450="U"),3,TRUE,"FLAG")</f>
        <v>3</v>
      </c>
      <c r="K1450" s="10">
        <f t="shared" si="893"/>
        <v>3</v>
      </c>
      <c r="L1450" s="10">
        <f t="shared" si="893"/>
        <v>3</v>
      </c>
      <c r="M1450" s="10" t="str">
        <f t="shared" si="893"/>
        <v>FLAG</v>
      </c>
      <c r="N1450" s="10" t="str">
        <f t="shared" si="2"/>
        <v>65-650(b) - Food, Drugs &amp; Cosmetics; Violate requirements for sale of nonprescription drugs via vending machine</v>
      </c>
      <c r="O1450" s="10" t="str">
        <f t="shared" si="3"/>
        <v>Food, Drugs &amp; Cosmetics</v>
      </c>
    </row>
    <row r="1451">
      <c r="A1451" s="7" t="s">
        <v>2649</v>
      </c>
      <c r="B1451" s="8" t="s">
        <v>2650</v>
      </c>
      <c r="C1451" s="8">
        <v>8.0</v>
      </c>
      <c r="D1451" s="8">
        <v>10.0</v>
      </c>
      <c r="E1451" s="8">
        <v>10.0</v>
      </c>
      <c r="F1451" s="8">
        <v>10.0</v>
      </c>
      <c r="G1451" s="8" t="s">
        <v>21</v>
      </c>
      <c r="H1451" s="9"/>
      <c r="I1451" s="9"/>
      <c r="N1451" s="10" t="str">
        <f t="shared" si="2"/>
        <v>21-5823(a)(2) - Forgery; With intent to defraud; Issuing or delivering a forged instrument knowing it is forged</v>
      </c>
      <c r="O1451" s="10" t="str">
        <f t="shared" si="3"/>
        <v>Forgery</v>
      </c>
    </row>
    <row r="1452">
      <c r="A1452" s="7" t="s">
        <v>2651</v>
      </c>
      <c r="B1452" s="8" t="s">
        <v>2652</v>
      </c>
      <c r="C1452" s="8">
        <v>8.0</v>
      </c>
      <c r="D1452" s="8">
        <v>10.0</v>
      </c>
      <c r="E1452" s="8">
        <v>10.0</v>
      </c>
      <c r="F1452" s="8">
        <v>10.0</v>
      </c>
      <c r="G1452" s="8" t="s">
        <v>21</v>
      </c>
      <c r="H1452" s="9"/>
      <c r="I1452" s="9"/>
      <c r="N1452" s="10" t="str">
        <f t="shared" si="2"/>
        <v>21-5823(a)(3) - Forgery; With intent to defraud; Possess, with intent to issue or deliver, any forged instrument knowing it is forged</v>
      </c>
      <c r="O1452" s="10" t="str">
        <f t="shared" si="3"/>
        <v>Forgery</v>
      </c>
    </row>
    <row r="1453">
      <c r="A1453" s="7" t="s">
        <v>2653</v>
      </c>
      <c r="B1453" s="8" t="s">
        <v>2654</v>
      </c>
      <c r="C1453" s="8">
        <v>8.0</v>
      </c>
      <c r="D1453" s="8">
        <v>10.0</v>
      </c>
      <c r="E1453" s="8">
        <v>10.0</v>
      </c>
      <c r="F1453" s="8">
        <v>10.0</v>
      </c>
      <c r="G1453" s="8" t="s">
        <v>21</v>
      </c>
      <c r="H1453" s="9"/>
      <c r="I1453" s="9"/>
      <c r="N1453" s="10" t="str">
        <f t="shared" si="2"/>
        <v>21-5823(a)(1) - Forgery; With intent to defraud; Without authorization; make, alter or endorse any written instrument so it appears to have been made, altered or endorsed by another; alter a written instrument so it appears to have been made at another time or with different provisions; make, alter or endorse any written instrument so it appears to have been made, altered or endorsed with authority</v>
      </c>
      <c r="O1453" s="10" t="str">
        <f t="shared" si="3"/>
        <v>Forgery</v>
      </c>
    </row>
    <row r="1454">
      <c r="A1454" s="7" t="s">
        <v>2655</v>
      </c>
      <c r="B1454" s="12">
        <v>40878.0</v>
      </c>
      <c r="C1454" s="8" t="s">
        <v>19</v>
      </c>
      <c r="D1454" s="8" t="s">
        <v>19</v>
      </c>
      <c r="E1454" s="8" t="s">
        <v>19</v>
      </c>
      <c r="F1454" s="8" t="s">
        <v>20</v>
      </c>
      <c r="G1454" s="8" t="s">
        <v>21</v>
      </c>
      <c r="H1454" s="9"/>
      <c r="I1454" s="9"/>
      <c r="J1454" s="10">
        <f t="shared" ref="J1454:M1454" si="894">ifs(OR($H1454="R",$I1454="N"),"N/A",OR(C1454="A",C1454="B",C1454="C",C1454="U"),3,TRUE,"FLAG")</f>
        <v>3</v>
      </c>
      <c r="K1454" s="10">
        <f t="shared" si="894"/>
        <v>3</v>
      </c>
      <c r="L1454" s="10">
        <f t="shared" si="894"/>
        <v>3</v>
      </c>
      <c r="M1454" s="10" t="str">
        <f t="shared" si="894"/>
        <v>FLAG</v>
      </c>
      <c r="N1454" s="10" t="str">
        <f t="shared" si="2"/>
        <v>40878 - Franchise; Franchise required for construction, installation, operation or maintenance of a cable television service within the corporate limits of any city</v>
      </c>
      <c r="O1454" s="10" t="str">
        <f t="shared" si="3"/>
        <v>Franchise</v>
      </c>
    </row>
    <row r="1455">
      <c r="A1455" s="7" t="s">
        <v>2656</v>
      </c>
      <c r="B1455" s="8" t="s">
        <v>2657</v>
      </c>
      <c r="C1455" s="8">
        <v>8.0</v>
      </c>
      <c r="D1455" s="8">
        <v>10.0</v>
      </c>
      <c r="E1455" s="8">
        <v>10.0</v>
      </c>
      <c r="F1455" s="8">
        <v>10.0</v>
      </c>
      <c r="G1455" s="8" t="s">
        <v>21</v>
      </c>
      <c r="H1455" s="9"/>
      <c r="I1455" s="9"/>
      <c r="N1455" s="10" t="str">
        <f t="shared" si="2"/>
        <v>21-5937(a)(1) - Fraudulent Acts; Aircraft Identification Numbers; Buy, distribute, receive, dispose of, conceal, operate or have in possession any aircraft or part thereof on which the assigned identification numbers do not meet the requirements of the federal aviation regulations</v>
      </c>
      <c r="O1455" s="10" t="str">
        <f t="shared" si="3"/>
        <v>Fraudulent Acts</v>
      </c>
    </row>
    <row r="1456">
      <c r="A1456" s="7" t="s">
        <v>2658</v>
      </c>
      <c r="B1456" s="8" t="s">
        <v>2659</v>
      </c>
      <c r="C1456" s="8">
        <v>8.0</v>
      </c>
      <c r="D1456" s="8">
        <v>10.0</v>
      </c>
      <c r="E1456" s="8">
        <v>10.0</v>
      </c>
      <c r="F1456" s="8">
        <v>10.0</v>
      </c>
      <c r="G1456" s="8" t="s">
        <v>21</v>
      </c>
      <c r="H1456" s="9"/>
      <c r="I1456" s="9"/>
      <c r="N1456" s="10" t="str">
        <f t="shared" si="2"/>
        <v>21-5937(a)(2) - Fraudulent Acts; Aircraft Identification Numbers; Possess, manufacture, distribute or exchange or give away any counterfeit manufacturer's aircraft identification number plate or decal used for the purpose of identification of any aircraft</v>
      </c>
      <c r="O1456" s="10" t="str">
        <f t="shared" si="3"/>
        <v>Fraudulent Acts</v>
      </c>
    </row>
    <row r="1457">
      <c r="A1457" s="7" t="s">
        <v>2660</v>
      </c>
      <c r="B1457" s="8" t="s">
        <v>2661</v>
      </c>
      <c r="C1457" s="8">
        <v>8.0</v>
      </c>
      <c r="D1457" s="8">
        <v>10.0</v>
      </c>
      <c r="E1457" s="8">
        <v>10.0</v>
      </c>
      <c r="F1457" s="8">
        <v>10.0</v>
      </c>
      <c r="G1457" s="8" t="s">
        <v>21</v>
      </c>
      <c r="H1457" s="9"/>
      <c r="I1457" s="9"/>
      <c r="N1457" s="10" t="str">
        <f t="shared" si="2"/>
        <v>21-5936(a)(3) - Fraudulent Aircraft Registration; Knowingly supply false information in regard to ownership of an aircraft in or operated in this state if it is determined that the firm, business or corporation is not, or has never been, a legal entity in this state or any other state or has lapsed as an entity</v>
      </c>
      <c r="O1457" s="10" t="str">
        <f t="shared" si="3"/>
        <v>Fraudulent Aircraft Registration</v>
      </c>
    </row>
    <row r="1458">
      <c r="A1458" s="7" t="s">
        <v>2662</v>
      </c>
      <c r="B1458" s="8" t="s">
        <v>2663</v>
      </c>
      <c r="C1458" s="8">
        <v>8.0</v>
      </c>
      <c r="D1458" s="8">
        <v>10.0</v>
      </c>
      <c r="E1458" s="8">
        <v>10.0</v>
      </c>
      <c r="F1458" s="8">
        <v>10.0</v>
      </c>
      <c r="G1458" s="8" t="s">
        <v>21</v>
      </c>
      <c r="H1458" s="9"/>
      <c r="I1458" s="9"/>
      <c r="N1458" s="10" t="str">
        <f t="shared" si="2"/>
        <v>21-5936(a)(2) - Fraudulent Aircraft Registration; Knowingly supply false information in regard to the name, address, business name or business address of the owner of an aircraft in or operated in the state</v>
      </c>
      <c r="O1458" s="10" t="str">
        <f t="shared" si="3"/>
        <v>Fraudulent Aircraft Registration</v>
      </c>
    </row>
    <row r="1459">
      <c r="A1459" s="7" t="s">
        <v>2664</v>
      </c>
      <c r="B1459" s="8" t="s">
        <v>2665</v>
      </c>
      <c r="C1459" s="8">
        <v>8.0</v>
      </c>
      <c r="D1459" s="8">
        <v>10.0</v>
      </c>
      <c r="E1459" s="8">
        <v>10.0</v>
      </c>
      <c r="F1459" s="8">
        <v>10.0</v>
      </c>
      <c r="G1459" s="8" t="s">
        <v>21</v>
      </c>
      <c r="H1459" s="9"/>
      <c r="I1459" s="9"/>
      <c r="N1459" s="10" t="str">
        <f t="shared" si="2"/>
        <v>21-5936(a)(1) - Fraudulent Aircraft Registration; Own, possess or operate any aircraft knowing it is registered to a nonexistent person, firm, business or corporation or to a firm, business or corporation which is no longer a legal entity</v>
      </c>
      <c r="O1459" s="10" t="str">
        <f t="shared" si="3"/>
        <v>Fraudulent Aircraft Registration</v>
      </c>
    </row>
    <row r="1460">
      <c r="A1460" s="7" t="s">
        <v>2666</v>
      </c>
      <c r="B1460" s="8" t="s">
        <v>2667</v>
      </c>
      <c r="C1460" s="8" t="s">
        <v>27</v>
      </c>
      <c r="D1460" s="8" t="s">
        <v>28</v>
      </c>
      <c r="E1460" s="8" t="s">
        <v>19</v>
      </c>
      <c r="F1460" s="8" t="s">
        <v>20</v>
      </c>
      <c r="G1460" s="8" t="s">
        <v>21</v>
      </c>
      <c r="H1460" s="9"/>
      <c r="I1460" s="9"/>
      <c r="J1460" s="10">
        <f t="shared" ref="J1460:M1460" si="895">ifs(OR($H1460="R",$I1460="N"),"N/A",OR(C1460="A",C1460="B",C1460="C",C1460="U"),3,TRUE,"FLAG")</f>
        <v>3</v>
      </c>
      <c r="K1460" s="10">
        <f t="shared" si="895"/>
        <v>3</v>
      </c>
      <c r="L1460" s="10">
        <f t="shared" si="895"/>
        <v>3</v>
      </c>
      <c r="M1460" s="10" t="str">
        <f t="shared" si="895"/>
        <v>FLAG</v>
      </c>
      <c r="N1460" s="10" t="str">
        <f t="shared" si="2"/>
        <v>16-305(b)(3) - Funeral &amp; Cemetery Merchandise Agreements; Misappropriation of funds &lt; $1000</v>
      </c>
      <c r="O1460" s="10" t="str">
        <f t="shared" si="3"/>
        <v>Funeral &amp; Cemetery Merchandise Agreements</v>
      </c>
    </row>
    <row r="1461">
      <c r="A1461" s="7" t="s">
        <v>2668</v>
      </c>
      <c r="B1461" s="8" t="s">
        <v>2669</v>
      </c>
      <c r="C1461" s="8">
        <v>7.0</v>
      </c>
      <c r="D1461" s="8">
        <v>9.0</v>
      </c>
      <c r="E1461" s="8">
        <v>9.0</v>
      </c>
      <c r="F1461" s="8">
        <v>10.0</v>
      </c>
      <c r="G1461" s="8" t="s">
        <v>21</v>
      </c>
      <c r="H1461" s="9"/>
      <c r="I1461" s="9"/>
      <c r="N1461" s="10" t="str">
        <f t="shared" si="2"/>
        <v>16-305(b) - Funeral &amp; Cemetery Merchandise Agreements; Misappropriation of funds; amount $25,000 or more</v>
      </c>
      <c r="O1461" s="10" t="str">
        <f t="shared" si="3"/>
        <v>Funeral &amp; Cemetery Merchandise Agreements</v>
      </c>
    </row>
    <row r="1462">
      <c r="A1462" s="7" t="s">
        <v>2670</v>
      </c>
      <c r="B1462" s="8" t="s">
        <v>2669</v>
      </c>
      <c r="C1462" s="8">
        <v>9.0</v>
      </c>
      <c r="D1462" s="8">
        <v>10.0</v>
      </c>
      <c r="E1462" s="8">
        <v>10.0</v>
      </c>
      <c r="F1462" s="8">
        <v>10.0</v>
      </c>
      <c r="G1462" s="8" t="s">
        <v>21</v>
      </c>
      <c r="H1462" s="9"/>
      <c r="I1462" s="9"/>
      <c r="N1462" s="10" t="str">
        <f t="shared" si="2"/>
        <v>16-305(b) - Funeral &amp; Cemetery Merchandise Agreements; Misappropriation of funds; amount at least $1000 but less than $25,000</v>
      </c>
      <c r="O1462" s="10" t="str">
        <f t="shared" si="3"/>
        <v>Funeral &amp; Cemetery Merchandise Agreements</v>
      </c>
    </row>
    <row r="1463">
      <c r="A1463" s="7" t="s">
        <v>2671</v>
      </c>
      <c r="B1463" s="8" t="s">
        <v>2672</v>
      </c>
      <c r="C1463" s="8" t="s">
        <v>18</v>
      </c>
      <c r="D1463" s="8" t="s">
        <v>18</v>
      </c>
      <c r="E1463" s="8" t="s">
        <v>19</v>
      </c>
      <c r="F1463" s="8" t="s">
        <v>20</v>
      </c>
      <c r="G1463" s="8" t="s">
        <v>21</v>
      </c>
      <c r="H1463" s="9"/>
      <c r="I1463" s="9"/>
      <c r="J1463" s="10">
        <f t="shared" ref="J1463:M1463" si="896">ifs(OR($H1463="R",$I1463="N"),"N/A",OR(C1463="A",C1463="B",C1463="C",C1463="U"),3,TRUE,"FLAG")</f>
        <v>3</v>
      </c>
      <c r="K1463" s="10">
        <f t="shared" si="896"/>
        <v>3</v>
      </c>
      <c r="L1463" s="10">
        <f t="shared" si="896"/>
        <v>3</v>
      </c>
      <c r="M1463" s="10" t="str">
        <f t="shared" si="896"/>
        <v>FLAG</v>
      </c>
      <c r="N1463" s="10" t="str">
        <f t="shared" si="2"/>
        <v>16-305(a) - Funeral &amp; Cemetery Merchandise Agreements; Violation other than misappropriation</v>
      </c>
      <c r="O1463" s="10" t="str">
        <f t="shared" si="3"/>
        <v>Funeral &amp; Cemetery Merchandise Agreements</v>
      </c>
    </row>
    <row r="1464">
      <c r="A1464" s="7" t="s">
        <v>2673</v>
      </c>
      <c r="B1464" s="8" t="s">
        <v>2674</v>
      </c>
      <c r="C1464" s="8">
        <v>9.0</v>
      </c>
      <c r="D1464" s="8">
        <v>10.0</v>
      </c>
      <c r="E1464" s="8">
        <v>10.0</v>
      </c>
      <c r="F1464" s="8">
        <v>10.0</v>
      </c>
      <c r="G1464" s="8" t="s">
        <v>24</v>
      </c>
      <c r="H1464" s="9"/>
      <c r="I1464" s="9"/>
      <c r="N1464" s="10" t="str">
        <f t="shared" si="2"/>
        <v>21-5607(b) - Furnishing Alcoholic Beverages to Minor; For illicit purposes; child less than 18</v>
      </c>
      <c r="O1464" s="10" t="str">
        <f t="shared" si="3"/>
        <v>Furnishing Alcoholic Beverages to Minor</v>
      </c>
    </row>
    <row r="1465">
      <c r="A1465" s="7" t="s">
        <v>2675</v>
      </c>
      <c r="B1465" s="8" t="s">
        <v>2676</v>
      </c>
      <c r="C1465" s="8" t="s">
        <v>28</v>
      </c>
      <c r="D1465" s="8" t="s">
        <v>19</v>
      </c>
      <c r="E1465" s="8" t="s">
        <v>19</v>
      </c>
      <c r="F1465" s="8" t="s">
        <v>20</v>
      </c>
      <c r="G1465" s="8" t="s">
        <v>24</v>
      </c>
      <c r="H1465" s="9"/>
      <c r="I1465" s="9"/>
      <c r="J1465" s="10">
        <f t="shared" ref="J1465:M1465" si="897">ifs(OR($H1465="R",$I1465="N"),"N/A",OR(C1465="A",C1465="B",C1465="C",C1465="U"),3,TRUE,"FLAG")</f>
        <v>3</v>
      </c>
      <c r="K1465" s="10">
        <f t="shared" si="897"/>
        <v>3</v>
      </c>
      <c r="L1465" s="10">
        <f t="shared" si="897"/>
        <v>3</v>
      </c>
      <c r="M1465" s="10" t="str">
        <f t="shared" si="897"/>
        <v>FLAG</v>
      </c>
      <c r="N1465" s="10" t="str">
        <f t="shared" si="2"/>
        <v>21-5607(a) - Furnishing Alcoholic Liquor or Cereal Malt Beverage to a Minor; Recklessly buy for or distribute to minor</v>
      </c>
      <c r="O1465" s="10" t="str">
        <f t="shared" si="3"/>
        <v>Furnishing Alcoholic Liquor or Cereal Malt Beverage to a Minor</v>
      </c>
    </row>
    <row r="1466">
      <c r="A1466" s="7" t="s">
        <v>2677</v>
      </c>
      <c r="B1466" s="8" t="s">
        <v>2678</v>
      </c>
      <c r="C1466" s="8">
        <v>1.0</v>
      </c>
      <c r="D1466" s="8">
        <v>3.0</v>
      </c>
      <c r="E1466" s="8">
        <v>3.0</v>
      </c>
      <c r="F1466" s="8">
        <v>4.0</v>
      </c>
      <c r="G1466" s="8" t="s">
        <v>24</v>
      </c>
      <c r="H1466" s="9"/>
      <c r="I1466" s="9"/>
      <c r="N1466" s="10" t="str">
        <f t="shared" si="2"/>
        <v>21-5423(d) - Furthering Terrorism/Illegal Use of Weapons of Mass Destruction; Conduct financial transaction involving property to commit or further the commission of terrorism or illegal use of weapons of mass destruction when the transaction is disguised to conceal</v>
      </c>
      <c r="O1466" s="10" t="str">
        <f t="shared" si="3"/>
        <v>Furthering Terrorism/Illegal Use of Weapons of Mass Destruction</v>
      </c>
    </row>
    <row r="1467">
      <c r="A1467" s="7" t="s">
        <v>2679</v>
      </c>
      <c r="B1467" s="8" t="s">
        <v>2680</v>
      </c>
      <c r="C1467" s="8">
        <v>1.0</v>
      </c>
      <c r="D1467" s="8">
        <v>3.0</v>
      </c>
      <c r="E1467" s="8">
        <v>3.0</v>
      </c>
      <c r="F1467" s="8">
        <v>4.0</v>
      </c>
      <c r="G1467" s="8" t="s">
        <v>24</v>
      </c>
      <c r="H1467" s="9"/>
      <c r="I1467" s="9"/>
      <c r="N1467" s="10" t="str">
        <f t="shared" si="2"/>
        <v>21-5423(c) - Furthering Terrorism/Illegal Use of Weapons of Mass Destruction; Intentionally direct/plan/organize/initiate/finance/manage/supervise or facilitate transportation or distribution of property used to commit or further the commission of terrorism or illegal use of weapons of mass destruction</v>
      </c>
      <c r="O1467" s="10" t="str">
        <f t="shared" si="3"/>
        <v>Furthering Terrorism/Illegal Use of Weapons of Mass Destruction</v>
      </c>
    </row>
    <row r="1468">
      <c r="A1468" s="7" t="s">
        <v>2681</v>
      </c>
      <c r="B1468" s="8" t="s">
        <v>2682</v>
      </c>
      <c r="C1468" s="8">
        <v>1.0</v>
      </c>
      <c r="D1468" s="8">
        <v>3.0</v>
      </c>
      <c r="E1468" s="8">
        <v>3.0</v>
      </c>
      <c r="F1468" s="8">
        <v>4.0</v>
      </c>
      <c r="G1468" s="8" t="s">
        <v>24</v>
      </c>
      <c r="H1468" s="9"/>
      <c r="I1468" s="9"/>
      <c r="N1468" s="10" t="str">
        <f t="shared" si="2"/>
        <v>21-5423(b) - Furthering Terrorism/Illegal Use of Weapons of Mass Destruction; Intentionally invest/conceal/distribute/transport or maintain an interest in or otherwise make available property intended to be used to commit or further the commission of terrorism or illegal use of weapons of mass destruction</v>
      </c>
      <c r="O1468" s="10" t="str">
        <f t="shared" si="3"/>
        <v>Furthering Terrorism/Illegal Use of Weapons of Mass Destruction</v>
      </c>
    </row>
    <row r="1469">
      <c r="A1469" s="7" t="s">
        <v>2683</v>
      </c>
      <c r="B1469" s="8" t="s">
        <v>2684</v>
      </c>
      <c r="C1469" s="8">
        <v>1.0</v>
      </c>
      <c r="D1469" s="8">
        <v>3.0</v>
      </c>
      <c r="E1469" s="8">
        <v>3.0</v>
      </c>
      <c r="F1469" s="8">
        <v>4.0</v>
      </c>
      <c r="G1469" s="8" t="s">
        <v>24</v>
      </c>
      <c r="H1469" s="9"/>
      <c r="I1469" s="9"/>
      <c r="N1469" s="10" t="str">
        <f t="shared" si="2"/>
        <v>21-5423(e) - Furthering Terrorism/Illegal Use of Weapons of Mass Destruction; Raise, solicit, collect or provide material support for planning, preparing, carrying out terrorism or illegal use of weapons of mass destruction or hindering prosecution or concealment or escape thereof</v>
      </c>
      <c r="O1469" s="10" t="str">
        <f t="shared" si="3"/>
        <v>Furthering Terrorism/Illegal Use of Weapons of Mass Destruction</v>
      </c>
    </row>
    <row r="1470">
      <c r="A1470" s="7" t="s">
        <v>2685</v>
      </c>
      <c r="B1470" s="8" t="s">
        <v>2686</v>
      </c>
      <c r="C1470" s="8">
        <v>1.0</v>
      </c>
      <c r="D1470" s="8">
        <v>3.0</v>
      </c>
      <c r="E1470" s="8">
        <v>3.0</v>
      </c>
      <c r="F1470" s="8">
        <v>4.0</v>
      </c>
      <c r="G1470" s="8" t="s">
        <v>24</v>
      </c>
      <c r="H1470" s="9"/>
      <c r="I1470" s="9"/>
      <c r="N1470" s="10" t="str">
        <f t="shared" si="2"/>
        <v>21-5423(a) - Furthering Terrorism/Illegal Use of Weapons of Mass Destruction; Receiving or acquiring property/engaging in transactions to commit or further the commission of terrorism or illegal use of weapons of mass destruction</v>
      </c>
      <c r="O1470" s="10" t="str">
        <f t="shared" si="3"/>
        <v>Furthering Terrorism/Illegal Use of Weapons of Mass Destruction</v>
      </c>
    </row>
    <row r="1471">
      <c r="A1471" s="7" t="s">
        <v>2687</v>
      </c>
      <c r="B1471" s="8" t="s">
        <v>2688</v>
      </c>
      <c r="C1471" s="8" t="s">
        <v>28</v>
      </c>
      <c r="D1471" s="8" t="s">
        <v>19</v>
      </c>
      <c r="E1471" s="8" t="s">
        <v>19</v>
      </c>
      <c r="F1471" s="8" t="s">
        <v>20</v>
      </c>
      <c r="G1471" s="8" t="s">
        <v>21</v>
      </c>
      <c r="H1471" s="9"/>
      <c r="I1471" s="9"/>
      <c r="J1471" s="10">
        <f t="shared" ref="J1471:M1471" si="898">ifs(OR($H1471="R",$I1471="N"),"N/A",OR(C1471="A",C1471="B",C1471="C",C1471="U"),3,TRUE,"FLAG")</f>
        <v>3</v>
      </c>
      <c r="K1471" s="10">
        <f t="shared" si="898"/>
        <v>3</v>
      </c>
      <c r="L1471" s="10">
        <f t="shared" si="898"/>
        <v>3</v>
      </c>
      <c r="M1471" s="10" t="str">
        <f t="shared" si="898"/>
        <v>FLAG</v>
      </c>
      <c r="N1471" s="10" t="str">
        <f t="shared" si="2"/>
        <v>21-6404(a)(2) - Gambling; Entering or remaining in a gambling place with intent to make a bet, to participate in a lottery, or to play a gambling device</v>
      </c>
      <c r="O1471" s="10" t="str">
        <f t="shared" si="3"/>
        <v>Gambling</v>
      </c>
    </row>
    <row r="1472">
      <c r="A1472" s="7" t="s">
        <v>2689</v>
      </c>
      <c r="B1472" s="8" t="s">
        <v>2690</v>
      </c>
      <c r="C1472" s="8" t="s">
        <v>28</v>
      </c>
      <c r="D1472" s="8" t="s">
        <v>19</v>
      </c>
      <c r="E1472" s="8" t="s">
        <v>19</v>
      </c>
      <c r="F1472" s="8" t="s">
        <v>20</v>
      </c>
      <c r="G1472" s="8" t="s">
        <v>21</v>
      </c>
      <c r="H1472" s="9"/>
      <c r="I1472" s="9"/>
      <c r="J1472" s="10">
        <f t="shared" ref="J1472:M1472" si="899">ifs(OR($H1472="R",$I1472="N"),"N/A",OR(C1472="A",C1472="B",C1472="C",C1472="U"),3,TRUE,"FLAG")</f>
        <v>3</v>
      </c>
      <c r="K1472" s="10">
        <f t="shared" si="899"/>
        <v>3</v>
      </c>
      <c r="L1472" s="10">
        <f t="shared" si="899"/>
        <v>3</v>
      </c>
      <c r="M1472" s="10" t="str">
        <f t="shared" si="899"/>
        <v>FLAG</v>
      </c>
      <c r="N1472" s="10" t="str">
        <f t="shared" si="2"/>
        <v>21-6404(a)(1) - Gambling; Making a bet</v>
      </c>
      <c r="O1472" s="10" t="str">
        <f t="shared" si="3"/>
        <v>Gambling</v>
      </c>
    </row>
    <row r="1473">
      <c r="A1473" s="7" t="s">
        <v>2691</v>
      </c>
      <c r="B1473" s="8" t="s">
        <v>2692</v>
      </c>
      <c r="C1473" s="8">
        <v>7.0</v>
      </c>
      <c r="D1473" s="8">
        <v>9.0</v>
      </c>
      <c r="E1473" s="8">
        <v>9.0</v>
      </c>
      <c r="F1473" s="8">
        <v>10.0</v>
      </c>
      <c r="G1473" s="8" t="s">
        <v>21</v>
      </c>
      <c r="H1473" s="9"/>
      <c r="I1473" s="9"/>
      <c r="N1473" s="10" t="str">
        <f t="shared" si="2"/>
        <v>21-5821(a) - Giving a Worthless Check; $25,000 or more</v>
      </c>
      <c r="O1473" s="10" t="str">
        <f t="shared" si="3"/>
        <v>Giving a Worthless Check</v>
      </c>
    </row>
    <row r="1474">
      <c r="A1474" s="7" t="s">
        <v>2693</v>
      </c>
      <c r="B1474" s="8" t="s">
        <v>2692</v>
      </c>
      <c r="C1474" s="8">
        <v>9.0</v>
      </c>
      <c r="D1474" s="8">
        <v>10.0</v>
      </c>
      <c r="E1474" s="8">
        <v>10.0</v>
      </c>
      <c r="F1474" s="8">
        <v>10.0</v>
      </c>
      <c r="G1474" s="8" t="s">
        <v>21</v>
      </c>
      <c r="H1474" s="9"/>
      <c r="I1474" s="9"/>
      <c r="N1474" s="10" t="str">
        <f t="shared" si="2"/>
        <v>21-5821(a) - Giving a Worthless Check; At least $1,000 but less than $25,000</v>
      </c>
      <c r="O1474" s="10" t="str">
        <f t="shared" si="3"/>
        <v>Giving a Worthless Check</v>
      </c>
    </row>
    <row r="1475">
      <c r="A1475" s="7" t="s">
        <v>2694</v>
      </c>
      <c r="B1475" s="8" t="s">
        <v>2692</v>
      </c>
      <c r="C1475" s="8" t="s">
        <v>27</v>
      </c>
      <c r="D1475" s="8" t="s">
        <v>28</v>
      </c>
      <c r="E1475" s="8" t="s">
        <v>19</v>
      </c>
      <c r="F1475" s="8" t="s">
        <v>20</v>
      </c>
      <c r="G1475" s="8" t="s">
        <v>21</v>
      </c>
      <c r="H1475" s="9"/>
      <c r="I1475" s="9"/>
      <c r="J1475" s="10">
        <f t="shared" ref="J1475:M1475" si="900">ifs(OR($H1475="R",$I1475="N"),"N/A",OR(C1475="A",C1475="B",C1475="C",C1475="U"),3,TRUE,"FLAG")</f>
        <v>3</v>
      </c>
      <c r="K1475" s="10">
        <f t="shared" si="900"/>
        <v>3</v>
      </c>
      <c r="L1475" s="10">
        <f t="shared" si="900"/>
        <v>3</v>
      </c>
      <c r="M1475" s="10" t="str">
        <f t="shared" si="900"/>
        <v>FLAG</v>
      </c>
      <c r="N1475" s="10" t="str">
        <f t="shared" si="2"/>
        <v>21-5821(a) - Giving a Worthless Check; Check drawn less than $1,000</v>
      </c>
      <c r="O1475" s="10" t="str">
        <f t="shared" si="3"/>
        <v>Giving a Worthless Check</v>
      </c>
    </row>
    <row r="1476">
      <c r="A1476" s="7" t="s">
        <v>2695</v>
      </c>
      <c r="B1476" s="8" t="s">
        <v>2692</v>
      </c>
      <c r="C1476" s="8">
        <v>9.0</v>
      </c>
      <c r="D1476" s="8">
        <v>10.0</v>
      </c>
      <c r="E1476" s="8">
        <v>10.0</v>
      </c>
      <c r="F1476" s="8">
        <v>10.0</v>
      </c>
      <c r="G1476" s="8" t="s">
        <v>21</v>
      </c>
      <c r="H1476" s="9"/>
      <c r="I1476" s="9"/>
      <c r="N1476" s="10" t="str">
        <f t="shared" si="2"/>
        <v>21-5821(a) - Giving a Worthless Check; Less than $1,000 if person has been convicted of giving a worthless check 2 or more times within 5 yrs</v>
      </c>
      <c r="O1476" s="10" t="str">
        <f t="shared" si="3"/>
        <v>Giving a Worthless Check</v>
      </c>
    </row>
    <row r="1477">
      <c r="A1477" s="7" t="s">
        <v>2696</v>
      </c>
      <c r="B1477" s="8" t="s">
        <v>2692</v>
      </c>
      <c r="C1477" s="8">
        <v>7.0</v>
      </c>
      <c r="D1477" s="8">
        <v>9.0</v>
      </c>
      <c r="E1477" s="8">
        <v>9.0</v>
      </c>
      <c r="F1477" s="8">
        <v>10.0</v>
      </c>
      <c r="G1477" s="8" t="s">
        <v>21</v>
      </c>
      <c r="H1477" s="9"/>
      <c r="I1477" s="9"/>
      <c r="N1477" s="10" t="str">
        <f t="shared" si="2"/>
        <v>21-5821(a) - Giving a Worthless Check; More than once within a 7 day period if the combined total is $25,000 or more</v>
      </c>
      <c r="O1477" s="10" t="str">
        <f t="shared" si="3"/>
        <v>Giving a Worthless Check</v>
      </c>
    </row>
    <row r="1478">
      <c r="A1478" s="7" t="s">
        <v>2697</v>
      </c>
      <c r="B1478" s="8" t="s">
        <v>2692</v>
      </c>
      <c r="C1478" s="8">
        <v>9.0</v>
      </c>
      <c r="D1478" s="8">
        <v>10.0</v>
      </c>
      <c r="E1478" s="8">
        <v>10.0</v>
      </c>
      <c r="F1478" s="8">
        <v>10.0</v>
      </c>
      <c r="G1478" s="8" t="s">
        <v>21</v>
      </c>
      <c r="H1478" s="9"/>
      <c r="I1478" s="9"/>
      <c r="N1478" s="10" t="str">
        <f t="shared" si="2"/>
        <v>21-5821(a) - Giving a Worthless Check; More than once within a 7 day period if the combined total is at least $1,000 but less than $25,000</v>
      </c>
      <c r="O1478" s="10" t="str">
        <f t="shared" si="3"/>
        <v>Giving a Worthless Check</v>
      </c>
    </row>
    <row r="1479">
      <c r="A1479" s="7" t="s">
        <v>2698</v>
      </c>
      <c r="B1479" s="8" t="s">
        <v>2699</v>
      </c>
      <c r="C1479" s="8">
        <v>10.0</v>
      </c>
      <c r="D1479" s="8">
        <v>10.0</v>
      </c>
      <c r="E1479" s="8">
        <v>10.0</v>
      </c>
      <c r="F1479" s="8">
        <v>10.0</v>
      </c>
      <c r="G1479" s="8" t="s">
        <v>21</v>
      </c>
      <c r="H1479" s="9"/>
      <c r="I1479" s="9"/>
      <c r="N1479" s="10" t="str">
        <f t="shared" si="2"/>
        <v>34-295 - Grain &amp; Forage; Negotiation of receipt for encumbered grain with intent to defraud</v>
      </c>
      <c r="O1479" s="10" t="str">
        <f t="shared" si="3"/>
        <v>Grain &amp; Forage</v>
      </c>
    </row>
    <row r="1480">
      <c r="A1480" s="7" t="s">
        <v>2700</v>
      </c>
      <c r="B1480" s="8" t="s">
        <v>2701</v>
      </c>
      <c r="C1480" s="8" t="s">
        <v>19</v>
      </c>
      <c r="D1480" s="8" t="s">
        <v>19</v>
      </c>
      <c r="E1480" s="8" t="s">
        <v>19</v>
      </c>
      <c r="F1480" s="8" t="s">
        <v>20</v>
      </c>
      <c r="G1480" s="8" t="s">
        <v>21</v>
      </c>
      <c r="H1480" s="9"/>
      <c r="I1480" s="9"/>
      <c r="J1480" s="10">
        <f t="shared" ref="J1480:M1480" si="901">ifs(OR($H1480="R",$I1480="N"),"N/A",OR(C1480="A",C1480="B",C1480="C",C1480="U"),3,TRUE,"FLAG")</f>
        <v>3</v>
      </c>
      <c r="K1480" s="10">
        <f t="shared" si="901"/>
        <v>3</v>
      </c>
      <c r="L1480" s="10">
        <f t="shared" si="901"/>
        <v>3</v>
      </c>
      <c r="M1480" s="10" t="str">
        <f t="shared" si="901"/>
        <v>FLAG</v>
      </c>
      <c r="N1480" s="10" t="str">
        <f t="shared" si="2"/>
        <v>34-231(a) - Grain &amp; Forage; Penalty for failure to obtain license required herein</v>
      </c>
      <c r="O1480" s="10" t="str">
        <f t="shared" si="3"/>
        <v>Grain &amp; Forage</v>
      </c>
    </row>
    <row r="1481">
      <c r="A1481" s="7" t="s">
        <v>2702</v>
      </c>
      <c r="B1481" s="8" t="s">
        <v>2703</v>
      </c>
      <c r="C1481" s="8" t="s">
        <v>19</v>
      </c>
      <c r="D1481" s="8" t="s">
        <v>19</v>
      </c>
      <c r="E1481" s="8" t="s">
        <v>19</v>
      </c>
      <c r="F1481" s="8" t="s">
        <v>20</v>
      </c>
      <c r="G1481" s="8" t="s">
        <v>21</v>
      </c>
      <c r="H1481" s="9"/>
      <c r="I1481" s="9"/>
      <c r="J1481" s="10">
        <f t="shared" ref="J1481:M1481" si="902">ifs(OR($H1481="R",$I1481="N"),"N/A",OR(C1481="A",C1481="B",C1481="C",C1481="U"),3,TRUE,"FLAG")</f>
        <v>3</v>
      </c>
      <c r="K1481" s="10">
        <f t="shared" si="902"/>
        <v>3</v>
      </c>
      <c r="L1481" s="10">
        <f t="shared" si="902"/>
        <v>3</v>
      </c>
      <c r="M1481" s="10" t="str">
        <f t="shared" si="902"/>
        <v>FLAG</v>
      </c>
      <c r="N1481" s="10" t="str">
        <f t="shared" si="2"/>
        <v>34-229(i) - Grain &amp; Forage; Penalty for failure to post certificate of bond or letter of credit information</v>
      </c>
      <c r="O1481" s="10" t="str">
        <f t="shared" si="3"/>
        <v>Grain &amp; Forage</v>
      </c>
    </row>
    <row r="1482">
      <c r="A1482" s="7" t="s">
        <v>2704</v>
      </c>
      <c r="B1482" s="8" t="s">
        <v>2705</v>
      </c>
      <c r="C1482" s="8" t="s">
        <v>19</v>
      </c>
      <c r="D1482" s="8" t="s">
        <v>19</v>
      </c>
      <c r="E1482" s="8" t="s">
        <v>19</v>
      </c>
      <c r="F1482" s="8" t="s">
        <v>20</v>
      </c>
      <c r="G1482" s="8" t="s">
        <v>21</v>
      </c>
      <c r="H1482" s="9"/>
      <c r="I1482" s="9"/>
      <c r="J1482" s="10">
        <f t="shared" ref="J1482:M1482" si="903">ifs(OR($H1482="R",$I1482="N"),"N/A",OR(C1482="A",C1482="B",C1482="C",C1482="U"),3,TRUE,"FLAG")</f>
        <v>3</v>
      </c>
      <c r="K1482" s="10">
        <f t="shared" si="903"/>
        <v>3</v>
      </c>
      <c r="L1482" s="10">
        <f t="shared" si="903"/>
        <v>3</v>
      </c>
      <c r="M1482" s="10" t="str">
        <f t="shared" si="903"/>
        <v>FLAG</v>
      </c>
      <c r="N1482" s="10" t="str">
        <f t="shared" si="2"/>
        <v>34-234(c) - Grain &amp; Forage; Penalty for refusal to comply with provisions</v>
      </c>
      <c r="O1482" s="10" t="str">
        <f t="shared" si="3"/>
        <v>Grain &amp; Forage</v>
      </c>
    </row>
    <row r="1483">
      <c r="A1483" s="7" t="s">
        <v>2706</v>
      </c>
      <c r="B1483" s="8" t="s">
        <v>2707</v>
      </c>
      <c r="C1483" s="8" t="s">
        <v>27</v>
      </c>
      <c r="D1483" s="8" t="s">
        <v>28</v>
      </c>
      <c r="E1483" s="8" t="s">
        <v>19</v>
      </c>
      <c r="F1483" s="8" t="s">
        <v>20</v>
      </c>
      <c r="G1483" s="8" t="s">
        <v>21</v>
      </c>
      <c r="H1483" s="9"/>
      <c r="I1483" s="9"/>
      <c r="J1483" s="10">
        <f t="shared" ref="J1483:M1483" si="904">ifs(OR($H1483="R",$I1483="N"),"N/A",OR(C1483="A",C1483="B",C1483="C",C1483="U"),3,TRUE,"FLAG")</f>
        <v>3</v>
      </c>
      <c r="K1483" s="10">
        <f t="shared" si="904"/>
        <v>3</v>
      </c>
      <c r="L1483" s="10">
        <f t="shared" si="904"/>
        <v>3</v>
      </c>
      <c r="M1483" s="10" t="str">
        <f t="shared" si="904"/>
        <v>FLAG</v>
      </c>
      <c r="N1483" s="10" t="str">
        <f t="shared" si="2"/>
        <v>34-298 - Grain &amp; Forage; Penalty for violation of act</v>
      </c>
      <c r="O1483" s="10" t="str">
        <f t="shared" si="3"/>
        <v>Grain &amp; Forage</v>
      </c>
    </row>
    <row r="1484">
      <c r="A1484" s="7" t="s">
        <v>2708</v>
      </c>
      <c r="B1484" s="8" t="s">
        <v>2709</v>
      </c>
      <c r="C1484" s="8" t="s">
        <v>28</v>
      </c>
      <c r="D1484" s="8" t="s">
        <v>19</v>
      </c>
      <c r="E1484" s="8" t="s">
        <v>19</v>
      </c>
      <c r="F1484" s="8" t="s">
        <v>20</v>
      </c>
      <c r="G1484" s="8" t="s">
        <v>21</v>
      </c>
      <c r="H1484" s="9"/>
      <c r="I1484" s="9"/>
      <c r="J1484" s="10">
        <f t="shared" ref="J1484:M1484" si="905">ifs(OR($H1484="R",$I1484="N"),"N/A",OR(C1484="A",C1484="B",C1484="C",C1484="U"),3,TRUE,"FLAG")</f>
        <v>3</v>
      </c>
      <c r="K1484" s="10">
        <f t="shared" si="905"/>
        <v>3</v>
      </c>
      <c r="L1484" s="10">
        <f t="shared" si="905"/>
        <v>3</v>
      </c>
      <c r="M1484" s="10" t="str">
        <f t="shared" si="905"/>
        <v>FLAG</v>
      </c>
      <c r="N1484" s="10" t="str">
        <f t="shared" si="2"/>
        <v>34-102 - Grain &amp; Forage; Public Warehouses; penalty for violation of any provision of this section</v>
      </c>
      <c r="O1484" s="10" t="str">
        <f t="shared" si="3"/>
        <v>Grain &amp; Forage</v>
      </c>
    </row>
    <row r="1485">
      <c r="A1485" s="7" t="s">
        <v>2710</v>
      </c>
      <c r="B1485" s="8" t="s">
        <v>2711</v>
      </c>
      <c r="C1485" s="8" t="s">
        <v>18</v>
      </c>
      <c r="D1485" s="8" t="s">
        <v>18</v>
      </c>
      <c r="E1485" s="8" t="s">
        <v>19</v>
      </c>
      <c r="F1485" s="8" t="s">
        <v>20</v>
      </c>
      <c r="G1485" s="8" t="s">
        <v>21</v>
      </c>
      <c r="H1485" s="9"/>
      <c r="I1485" s="9"/>
      <c r="J1485" s="10">
        <f t="shared" ref="J1485:M1485" si="906">ifs(OR($H1485="R",$I1485="N"),"N/A",OR(C1485="A",C1485="B",C1485="C",C1485="U"),3,TRUE,"FLAG")</f>
        <v>3</v>
      </c>
      <c r="K1485" s="10">
        <f t="shared" si="906"/>
        <v>3</v>
      </c>
      <c r="L1485" s="10">
        <f t="shared" si="906"/>
        <v>3</v>
      </c>
      <c r="M1485" s="10" t="str">
        <f t="shared" si="906"/>
        <v>FLAG</v>
      </c>
      <c r="N1485" s="10" t="str">
        <f t="shared" si="2"/>
        <v>34-251(c) - Grain &amp; Forage; Unauthorized disclosure of certain confidential information</v>
      </c>
      <c r="O1485" s="10" t="str">
        <f t="shared" si="3"/>
        <v>Grain &amp; Forage</v>
      </c>
    </row>
    <row r="1486">
      <c r="A1486" s="7" t="s">
        <v>2712</v>
      </c>
      <c r="B1486" s="8" t="s">
        <v>2713</v>
      </c>
      <c r="C1486" s="8">
        <v>10.0</v>
      </c>
      <c r="D1486" s="8">
        <v>10.0</v>
      </c>
      <c r="E1486" s="8">
        <v>10.0</v>
      </c>
      <c r="F1486" s="8">
        <v>10.0</v>
      </c>
      <c r="G1486" s="8" t="s">
        <v>21</v>
      </c>
      <c r="H1486" s="9"/>
      <c r="I1486" s="9"/>
      <c r="N1486" s="10" t="str">
        <f t="shared" si="2"/>
        <v>34-293 - Grain &amp; Forage; Unlawful issuance of receipt for warehouse grain</v>
      </c>
      <c r="O1486" s="10" t="str">
        <f t="shared" si="3"/>
        <v>Grain &amp; Forage</v>
      </c>
    </row>
    <row r="1487">
      <c r="A1487" s="7" t="s">
        <v>2714</v>
      </c>
      <c r="B1487" s="12">
        <v>405452.0</v>
      </c>
      <c r="C1487" s="8" t="s">
        <v>18</v>
      </c>
      <c r="D1487" s="8" t="s">
        <v>18</v>
      </c>
      <c r="E1487" s="8" t="s">
        <v>19</v>
      </c>
      <c r="F1487" s="8" t="s">
        <v>20</v>
      </c>
      <c r="G1487" s="8" t="s">
        <v>21</v>
      </c>
      <c r="H1487" s="9"/>
      <c r="I1487" s="9"/>
      <c r="J1487" s="10">
        <f t="shared" ref="J1487:M1487" si="907">ifs(OR($H1487="R",$I1487="N"),"N/A",OR(C1487="A",C1487="B",C1487="C",C1487="U"),3,TRUE,"FLAG")</f>
        <v>3</v>
      </c>
      <c r="K1487" s="10">
        <f t="shared" si="907"/>
        <v>3</v>
      </c>
      <c r="L1487" s="10">
        <f t="shared" si="907"/>
        <v>3</v>
      </c>
      <c r="M1487" s="10" t="str">
        <f t="shared" si="907"/>
        <v>FLAG</v>
      </c>
      <c r="N1487" s="10" t="str">
        <f t="shared" si="2"/>
        <v>405452 - Grain Commodity Commissions; Penalty for violation of act</v>
      </c>
      <c r="O1487" s="10" t="str">
        <f t="shared" si="3"/>
        <v>Grain Commodity Commissions</v>
      </c>
    </row>
    <row r="1488">
      <c r="A1488" s="7" t="s">
        <v>2715</v>
      </c>
      <c r="B1488" s="8" t="s">
        <v>2716</v>
      </c>
      <c r="C1488" s="8" t="s">
        <v>19</v>
      </c>
      <c r="D1488" s="8" t="s">
        <v>19</v>
      </c>
      <c r="E1488" s="8" t="s">
        <v>19</v>
      </c>
      <c r="F1488" s="8" t="s">
        <v>20</v>
      </c>
      <c r="G1488" s="8" t="s">
        <v>21</v>
      </c>
      <c r="H1488" s="9"/>
      <c r="I1488" s="9"/>
      <c r="J1488" s="10">
        <f t="shared" ref="J1488:M1488" si="908">ifs(OR($H1488="R",$I1488="N"),"N/A",OR(C1488="A",C1488="B",C1488="C",C1488="U"),3,TRUE,"FLAG")</f>
        <v>3</v>
      </c>
      <c r="K1488" s="10">
        <f t="shared" si="908"/>
        <v>3</v>
      </c>
      <c r="L1488" s="10">
        <f t="shared" si="908"/>
        <v>3</v>
      </c>
      <c r="M1488" s="10" t="str">
        <f t="shared" si="908"/>
        <v>FLAG</v>
      </c>
      <c r="N1488" s="10" t="str">
        <f t="shared" si="2"/>
        <v>59-3093(a) - Guardians or Conservators; Willful violation of confidentiality of medical records and other reports</v>
      </c>
      <c r="O1488" s="10" t="str">
        <f t="shared" si="3"/>
        <v>Guardians or Conservators</v>
      </c>
    </row>
    <row r="1489">
      <c r="A1489" s="7" t="s">
        <v>2717</v>
      </c>
      <c r="B1489" s="8" t="s">
        <v>2718</v>
      </c>
      <c r="C1489" s="8" t="s">
        <v>27</v>
      </c>
      <c r="D1489" s="8" t="s">
        <v>28</v>
      </c>
      <c r="E1489" s="8" t="s">
        <v>19</v>
      </c>
      <c r="F1489" s="8" t="s">
        <v>20</v>
      </c>
      <c r="G1489" s="8" t="s">
        <v>21</v>
      </c>
      <c r="H1489" s="9"/>
      <c r="I1489" s="9"/>
      <c r="J1489" s="10">
        <f t="shared" ref="J1489:M1489" si="909">ifs(OR($H1489="R",$I1489="N"),"N/A",OR(C1489="A",C1489="B",C1489="C",C1489="U"),3,TRUE,"FLAG")</f>
        <v>3</v>
      </c>
      <c r="K1489" s="10">
        <f t="shared" si="909"/>
        <v>3</v>
      </c>
      <c r="L1489" s="10">
        <f t="shared" si="909"/>
        <v>3</v>
      </c>
      <c r="M1489" s="10" t="str">
        <f t="shared" si="909"/>
        <v>FLAG</v>
      </c>
      <c r="N1489" s="10" t="str">
        <f t="shared" si="2"/>
        <v>21-6206(a)(2) - Harassment by Telefacsimile Communication</v>
      </c>
      <c r="O1489" s="10" t="str">
        <f t="shared" si="3"/>
        <v>Harassment by Telefacsimile Communication</v>
      </c>
    </row>
    <row r="1490">
      <c r="A1490" s="7" t="s">
        <v>2719</v>
      </c>
      <c r="B1490" s="8" t="s">
        <v>2720</v>
      </c>
      <c r="C1490" s="8" t="s">
        <v>27</v>
      </c>
      <c r="D1490" s="8" t="s">
        <v>28</v>
      </c>
      <c r="E1490" s="8" t="s">
        <v>19</v>
      </c>
      <c r="F1490" s="8" t="s">
        <v>20</v>
      </c>
      <c r="G1490" s="8" t="s">
        <v>21</v>
      </c>
      <c r="H1490" s="9"/>
      <c r="I1490" s="9"/>
      <c r="J1490" s="10">
        <f t="shared" ref="J1490:M1490" si="910">ifs(OR($H1490="R",$I1490="N"),"N/A",OR(C1490="A",C1490="B",C1490="C",C1490="U"),3,TRUE,"FLAG")</f>
        <v>3</v>
      </c>
      <c r="K1490" s="10">
        <f t="shared" si="910"/>
        <v>3</v>
      </c>
      <c r="L1490" s="10">
        <f t="shared" si="910"/>
        <v>3</v>
      </c>
      <c r="M1490" s="10" t="str">
        <f t="shared" si="910"/>
        <v>FLAG</v>
      </c>
      <c r="N1490" s="10" t="str">
        <f t="shared" si="2"/>
        <v>21-6206(a)(1)(A) - Harassment by Telephone; Knowingly make or transmit any comment, request, suggestion or proposal, image or text which is obscene, lewd, lascivious or indecent</v>
      </c>
      <c r="O1490" s="10" t="str">
        <f t="shared" si="3"/>
        <v>Harassment by Telephone</v>
      </c>
    </row>
    <row r="1491">
      <c r="A1491" s="7" t="s">
        <v>2721</v>
      </c>
      <c r="B1491" s="8" t="s">
        <v>2722</v>
      </c>
      <c r="C1491" s="8" t="s">
        <v>27</v>
      </c>
      <c r="D1491" s="8" t="s">
        <v>28</v>
      </c>
      <c r="E1491" s="8" t="s">
        <v>19</v>
      </c>
      <c r="F1491" s="8" t="s">
        <v>20</v>
      </c>
      <c r="G1491" s="8" t="s">
        <v>21</v>
      </c>
      <c r="H1491" s="9"/>
      <c r="I1491" s="9"/>
      <c r="J1491" s="10">
        <f t="shared" ref="J1491:M1491" si="911">ifs(OR($H1491="R",$I1491="N"),"N/A",OR(C1491="A",C1491="B",C1491="C",C1491="U"),3,TRUE,"FLAG")</f>
        <v>3</v>
      </c>
      <c r="K1491" s="10">
        <f t="shared" si="911"/>
        <v>3</v>
      </c>
      <c r="L1491" s="10">
        <f t="shared" si="911"/>
        <v>3</v>
      </c>
      <c r="M1491" s="10" t="str">
        <f t="shared" si="911"/>
        <v>FLAG</v>
      </c>
      <c r="N1491" s="10" t="str">
        <f t="shared" si="2"/>
        <v>21-6206(a)(1)(F) - Harassment by Telephone; Knowingly permit any telecommunications device under one's control to be used for harassment</v>
      </c>
      <c r="O1491" s="10" t="str">
        <f t="shared" si="3"/>
        <v>Harassment by Telephone</v>
      </c>
    </row>
    <row r="1492">
      <c r="A1492" s="7" t="s">
        <v>2723</v>
      </c>
      <c r="B1492" s="8" t="s">
        <v>2724</v>
      </c>
      <c r="C1492" s="8" t="s">
        <v>27</v>
      </c>
      <c r="D1492" s="8" t="s">
        <v>28</v>
      </c>
      <c r="E1492" s="8" t="s">
        <v>19</v>
      </c>
      <c r="F1492" s="8" t="s">
        <v>20</v>
      </c>
      <c r="G1492" s="8" t="s">
        <v>21</v>
      </c>
      <c r="H1492" s="9"/>
      <c r="I1492" s="9"/>
      <c r="J1492" s="10">
        <f t="shared" ref="J1492:M1492" si="912">ifs(OR($H1492="R",$I1492="N"),"N/A",OR(C1492="A",C1492="B",C1492="C",C1492="U"),3,TRUE,"FLAG")</f>
        <v>3</v>
      </c>
      <c r="K1492" s="10">
        <f t="shared" si="912"/>
        <v>3</v>
      </c>
      <c r="L1492" s="10">
        <f t="shared" si="912"/>
        <v>3</v>
      </c>
      <c r="M1492" s="10" t="str">
        <f t="shared" si="912"/>
        <v>FLAG</v>
      </c>
      <c r="N1492" s="10" t="str">
        <f t="shared" si="2"/>
        <v>21-6206(a)(1)(E) - Harassment by Telephone; Knowingly playing any unauthorized recording on a telephone</v>
      </c>
      <c r="O1492" s="10" t="str">
        <f t="shared" si="3"/>
        <v>Harassment by Telephone</v>
      </c>
    </row>
    <row r="1493">
      <c r="A1493" s="7" t="s">
        <v>2725</v>
      </c>
      <c r="B1493" s="8" t="s">
        <v>2726</v>
      </c>
      <c r="C1493" s="8" t="s">
        <v>27</v>
      </c>
      <c r="D1493" s="8" t="s">
        <v>28</v>
      </c>
      <c r="E1493" s="8" t="s">
        <v>19</v>
      </c>
      <c r="F1493" s="8" t="s">
        <v>20</v>
      </c>
      <c r="G1493" s="8" t="s">
        <v>21</v>
      </c>
      <c r="H1493" s="9"/>
      <c r="I1493" s="9"/>
      <c r="J1493" s="10">
        <f t="shared" ref="J1493:M1493" si="913">ifs(OR($H1493="R",$I1493="N"),"N/A",OR(C1493="A",C1493="B",C1493="C",C1493="U"),3,TRUE,"FLAG")</f>
        <v>3</v>
      </c>
      <c r="K1493" s="10">
        <f t="shared" si="913"/>
        <v>3</v>
      </c>
      <c r="L1493" s="10">
        <f t="shared" si="913"/>
        <v>3</v>
      </c>
      <c r="M1493" s="10" t="str">
        <f t="shared" si="913"/>
        <v>FLAG</v>
      </c>
      <c r="N1493" s="10" t="str">
        <f t="shared" si="2"/>
        <v>21-6206(a)(1)(D) - Harassment by Telephone; Make or cause a telecommunications device to repeatedly ring or activate with intent to harass any person at the receiving end</v>
      </c>
      <c r="O1493" s="10" t="str">
        <f t="shared" si="3"/>
        <v>Harassment by Telephone</v>
      </c>
    </row>
    <row r="1494">
      <c r="A1494" s="7" t="s">
        <v>2727</v>
      </c>
      <c r="B1494" s="8" t="s">
        <v>2728</v>
      </c>
      <c r="C1494" s="8" t="s">
        <v>27</v>
      </c>
      <c r="D1494" s="8" t="s">
        <v>28</v>
      </c>
      <c r="E1494" s="8" t="s">
        <v>19</v>
      </c>
      <c r="F1494" s="8" t="s">
        <v>20</v>
      </c>
      <c r="G1494" s="8" t="s">
        <v>21</v>
      </c>
      <c r="H1494" s="9"/>
      <c r="I1494" s="9"/>
      <c r="J1494" s="10">
        <f t="shared" ref="J1494:M1494" si="914">ifs(OR($H1494="R",$I1494="N"),"N/A",OR(C1494="A",C1494="B",C1494="C",C1494="U"),3,TRUE,"FLAG")</f>
        <v>3</v>
      </c>
      <c r="K1494" s="10">
        <f t="shared" si="914"/>
        <v>3</v>
      </c>
      <c r="L1494" s="10">
        <f t="shared" si="914"/>
        <v>3</v>
      </c>
      <c r="M1494" s="10" t="str">
        <f t="shared" si="914"/>
        <v>FLAG</v>
      </c>
      <c r="N1494" s="10" t="str">
        <f t="shared" si="2"/>
        <v>21-6206(a)(1)(B) - Harassment by Telephone; Make or transmit a call, whether or not conversation ensues, with intent to abuse, threaten or harass any person at the receiving end</v>
      </c>
      <c r="O1494" s="10" t="str">
        <f t="shared" si="3"/>
        <v>Harassment by Telephone</v>
      </c>
    </row>
    <row r="1495">
      <c r="A1495" s="7" t="s">
        <v>2729</v>
      </c>
      <c r="B1495" s="8" t="s">
        <v>2730</v>
      </c>
      <c r="C1495" s="8" t="s">
        <v>27</v>
      </c>
      <c r="D1495" s="8" t="s">
        <v>28</v>
      </c>
      <c r="E1495" s="8" t="s">
        <v>19</v>
      </c>
      <c r="F1495" s="8" t="s">
        <v>20</v>
      </c>
      <c r="G1495" s="8" t="s">
        <v>21</v>
      </c>
      <c r="H1495" s="9"/>
      <c r="I1495" s="9"/>
      <c r="J1495" s="10">
        <f t="shared" ref="J1495:M1495" si="915">ifs(OR($H1495="R",$I1495="N"),"N/A",OR(C1495="A",C1495="B",C1495="C",C1495="U"),3,TRUE,"FLAG")</f>
        <v>3</v>
      </c>
      <c r="K1495" s="10">
        <f t="shared" si="915"/>
        <v>3</v>
      </c>
      <c r="L1495" s="10">
        <f t="shared" si="915"/>
        <v>3</v>
      </c>
      <c r="M1495" s="10" t="str">
        <f t="shared" si="915"/>
        <v>FLAG</v>
      </c>
      <c r="N1495" s="10" t="str">
        <f t="shared" si="2"/>
        <v>21-6206(a)(1)(C) - Harassment by Telephone; Make or transmit any comment, request, suggestion, proposal, image or text with intent to abuse, threaten or harass any person at the receiving end</v>
      </c>
      <c r="O1495" s="10" t="str">
        <f t="shared" si="3"/>
        <v>Harassment by Telephone</v>
      </c>
    </row>
    <row r="1496">
      <c r="A1496" s="7" t="s">
        <v>2731</v>
      </c>
      <c r="B1496" s="8" t="s">
        <v>2732</v>
      </c>
      <c r="C1496" s="8" t="s">
        <v>18</v>
      </c>
      <c r="D1496" s="8" t="s">
        <v>18</v>
      </c>
      <c r="E1496" s="8" t="s">
        <v>19</v>
      </c>
      <c r="F1496" s="8" t="s">
        <v>20</v>
      </c>
      <c r="G1496" s="8" t="s">
        <v>21</v>
      </c>
      <c r="H1496" s="9"/>
      <c r="I1496" s="9"/>
      <c r="J1496" s="10">
        <f t="shared" ref="J1496:M1496" si="916">ifs(OR($H1496="R",$I1496="N"),"N/A",OR(C1496="A",C1496="B",C1496="C",C1496="U"),3,TRUE,"FLAG")</f>
        <v>3</v>
      </c>
      <c r="K1496" s="10">
        <f t="shared" si="916"/>
        <v>3</v>
      </c>
      <c r="L1496" s="10">
        <f t="shared" si="916"/>
        <v>3</v>
      </c>
      <c r="M1496" s="10" t="str">
        <f t="shared" si="916"/>
        <v>FLAG</v>
      </c>
      <c r="N1496" s="10" t="str">
        <f t="shared" si="2"/>
        <v>65-2704 - Hazardous Household Articles; Hold for sale, offer for sale or sell any household article in violation of regulations</v>
      </c>
      <c r="O1496" s="10" t="str">
        <f t="shared" si="3"/>
        <v>Hazardous Household Articles</v>
      </c>
    </row>
    <row r="1497">
      <c r="A1497" s="7" t="s">
        <v>2733</v>
      </c>
      <c r="B1497" s="8" t="s">
        <v>2734</v>
      </c>
      <c r="C1497" s="8" t="s">
        <v>28</v>
      </c>
      <c r="D1497" s="8" t="s">
        <v>19</v>
      </c>
      <c r="E1497" s="8" t="s">
        <v>19</v>
      </c>
      <c r="F1497" s="8" t="s">
        <v>20</v>
      </c>
      <c r="G1497" s="8" t="s">
        <v>21</v>
      </c>
      <c r="H1497" s="9"/>
      <c r="I1497" s="9"/>
      <c r="J1497" s="10">
        <f t="shared" ref="J1497:M1497" si="917">ifs(OR($H1497="R",$I1497="N"),"N/A",OR(C1497="A",C1497="B",C1497="C",C1497="U"),3,TRUE,"FLAG")</f>
        <v>3</v>
      </c>
      <c r="K1497" s="10">
        <f t="shared" si="917"/>
        <v>3</v>
      </c>
      <c r="L1497" s="10">
        <f t="shared" si="917"/>
        <v>3</v>
      </c>
      <c r="M1497" s="10" t="str">
        <f t="shared" si="917"/>
        <v>FLAG</v>
      </c>
      <c r="N1497" s="10" t="str">
        <f t="shared" si="2"/>
        <v>21-5418(a) - Hazing; Recklessly coercing, demanding or encouraging hazing</v>
      </c>
      <c r="O1497" s="10" t="str">
        <f t="shared" si="3"/>
        <v>Hazing</v>
      </c>
    </row>
    <row r="1498">
      <c r="A1498" s="7" t="s">
        <v>2735</v>
      </c>
      <c r="B1498" s="8" t="s">
        <v>2736</v>
      </c>
      <c r="C1498" s="8" t="s">
        <v>19</v>
      </c>
      <c r="D1498" s="8" t="s">
        <v>19</v>
      </c>
      <c r="E1498" s="8" t="s">
        <v>19</v>
      </c>
      <c r="F1498" s="8" t="s">
        <v>20</v>
      </c>
      <c r="G1498" s="8" t="s">
        <v>21</v>
      </c>
      <c r="H1498" s="9"/>
      <c r="I1498" s="9"/>
      <c r="J1498" s="10">
        <f t="shared" ref="J1498:M1498" si="918">ifs(OR($H1498="R",$I1498="N"),"N/A",OR(C1498="A",C1498="B",C1498="C",C1498="U"),3,TRUE,"FLAG")</f>
        <v>3</v>
      </c>
      <c r="K1498" s="10">
        <f t="shared" si="918"/>
        <v>3</v>
      </c>
      <c r="L1498" s="10">
        <f t="shared" si="918"/>
        <v>3</v>
      </c>
      <c r="M1498" s="10" t="str">
        <f t="shared" si="918"/>
        <v>FLAG</v>
      </c>
      <c r="N1498" s="10" t="str">
        <f t="shared" si="2"/>
        <v>65-6804(d) - Health Care Data; Unauthorized disclosure of data and other information collected pursuant to this act by the Kansas Department of Health and Environment; making public, information which would identify individuals</v>
      </c>
      <c r="O1498" s="10" t="str">
        <f t="shared" si="3"/>
        <v>Health Care Data</v>
      </c>
    </row>
    <row r="1499">
      <c r="A1499" s="7" t="s">
        <v>2737</v>
      </c>
      <c r="B1499" s="8" t="s">
        <v>2738</v>
      </c>
      <c r="C1499" s="8" t="s">
        <v>19</v>
      </c>
      <c r="D1499" s="8" t="s">
        <v>19</v>
      </c>
      <c r="E1499" s="8" t="s">
        <v>19</v>
      </c>
      <c r="F1499" s="8" t="s">
        <v>20</v>
      </c>
      <c r="G1499" s="8" t="s">
        <v>21</v>
      </c>
      <c r="H1499" s="9"/>
      <c r="I1499" s="9"/>
      <c r="J1499" s="10">
        <f t="shared" ref="J1499:M1499" si="919">ifs(OR($H1499="R",$I1499="N"),"N/A",OR(C1499="A",C1499="B",C1499="C",C1499="U"),3,TRUE,"FLAG")</f>
        <v>3</v>
      </c>
      <c r="K1499" s="10">
        <f t="shared" si="919"/>
        <v>3</v>
      </c>
      <c r="L1499" s="10">
        <f t="shared" si="919"/>
        <v>3</v>
      </c>
      <c r="M1499" s="10" t="str">
        <f t="shared" si="919"/>
        <v>FLAG</v>
      </c>
      <c r="N1499" s="10" t="str">
        <f t="shared" si="2"/>
        <v>65-4927(c) - Health Care Providers; Willful and knowing failure to make a report required by K.S.A. 65-4923 or 65-4924</v>
      </c>
      <c r="O1499" s="10" t="str">
        <f t="shared" si="3"/>
        <v>Health Care Providers</v>
      </c>
    </row>
    <row r="1500">
      <c r="A1500" s="7" t="s">
        <v>2739</v>
      </c>
      <c r="B1500" s="8" t="s">
        <v>2740</v>
      </c>
      <c r="C1500" s="8" t="s">
        <v>19</v>
      </c>
      <c r="D1500" s="8" t="s">
        <v>19</v>
      </c>
      <c r="E1500" s="8" t="s">
        <v>19</v>
      </c>
      <c r="F1500" s="8" t="s">
        <v>20</v>
      </c>
      <c r="G1500" s="8" t="s">
        <v>21</v>
      </c>
      <c r="H1500" s="9"/>
      <c r="I1500" s="9"/>
      <c r="J1500" s="10">
        <f t="shared" ref="J1500:M1500" si="920">ifs(OR($H1500="R",$I1500="N"),"N/A",OR(C1500="A",C1500="B",C1500="C",C1500="U"),3,TRUE,"FLAG")</f>
        <v>3</v>
      </c>
      <c r="K1500" s="10">
        <f t="shared" si="920"/>
        <v>3</v>
      </c>
      <c r="L1500" s="10">
        <f t="shared" si="920"/>
        <v>3</v>
      </c>
      <c r="M1500" s="10" t="str">
        <f t="shared" si="920"/>
        <v>FLAG</v>
      </c>
      <c r="N1500" s="10" t="str">
        <f t="shared" si="2"/>
        <v>40-3216 - Health Maintenance Organization Act; Penalty for violation of provisions of act</v>
      </c>
      <c r="O1500" s="10" t="str">
        <f t="shared" si="3"/>
        <v>Health Maintenance Organization Act</v>
      </c>
    </row>
    <row r="1501">
      <c r="A1501" s="7" t="s">
        <v>2741</v>
      </c>
      <c r="B1501" s="8" t="s">
        <v>2742</v>
      </c>
      <c r="C1501" s="8" t="s">
        <v>18</v>
      </c>
      <c r="D1501" s="8" t="s">
        <v>18</v>
      </c>
      <c r="E1501" s="8" t="s">
        <v>19</v>
      </c>
      <c r="F1501" s="8" t="s">
        <v>20</v>
      </c>
      <c r="G1501" s="8" t="s">
        <v>21</v>
      </c>
      <c r="H1501" s="9"/>
      <c r="I1501" s="9"/>
      <c r="J1501" s="10">
        <f t="shared" ref="J1501:M1501" si="921">ifs(OR($H1501="R",$I1501="N"),"N/A",OR(C1501="A",C1501="B",C1501="C",C1501="U"),3,TRUE,"FLAG")</f>
        <v>3</v>
      </c>
      <c r="K1501" s="10">
        <f t="shared" si="921"/>
        <v>3</v>
      </c>
      <c r="L1501" s="10">
        <f t="shared" si="921"/>
        <v>3</v>
      </c>
      <c r="M1501" s="10" t="str">
        <f t="shared" si="921"/>
        <v>FLAG</v>
      </c>
      <c r="N1501" s="10" t="str">
        <f t="shared" si="2"/>
        <v>74-3215 - Higher Education Coordination; State Board of Regents; Penalty for violation of any of the provisions of this act or any rule or policy made thereunder</v>
      </c>
      <c r="O1501" s="10" t="str">
        <f t="shared" si="3"/>
        <v>Higher Education Coordination</v>
      </c>
    </row>
    <row r="1502">
      <c r="A1502" s="7" t="s">
        <v>2743</v>
      </c>
      <c r="B1502" s="8" t="s">
        <v>2744</v>
      </c>
      <c r="C1502" s="8" t="s">
        <v>18</v>
      </c>
      <c r="D1502" s="8" t="s">
        <v>18</v>
      </c>
      <c r="E1502" s="8" t="s">
        <v>19</v>
      </c>
      <c r="F1502" s="8" t="s">
        <v>20</v>
      </c>
      <c r="G1502" s="8" t="s">
        <v>21</v>
      </c>
      <c r="H1502" s="9"/>
      <c r="I1502" s="9"/>
      <c r="J1502" s="10">
        <f t="shared" ref="J1502:M1502" si="922">ifs(OR($H1502="R",$I1502="N"),"N/A",OR(C1502="A",C1502="B",C1502="C",C1502="U"),3,TRUE,"FLAG")</f>
        <v>3</v>
      </c>
      <c r="K1502" s="10">
        <f t="shared" si="922"/>
        <v>3</v>
      </c>
      <c r="L1502" s="10">
        <f t="shared" si="922"/>
        <v>3</v>
      </c>
      <c r="M1502" s="10" t="str">
        <f t="shared" si="922"/>
        <v>FLAG</v>
      </c>
      <c r="N1502" s="10" t="str">
        <f t="shared" si="2"/>
        <v>76-2029 - Historical Property; Penalty for violation of act</v>
      </c>
      <c r="O1502" s="10" t="str">
        <f t="shared" si="3"/>
        <v>Historical Property</v>
      </c>
    </row>
    <row r="1503">
      <c r="A1503" s="7" t="s">
        <v>2745</v>
      </c>
      <c r="B1503" s="8" t="s">
        <v>2746</v>
      </c>
      <c r="C1503" s="8" t="s">
        <v>18</v>
      </c>
      <c r="D1503" s="8" t="s">
        <v>18</v>
      </c>
      <c r="E1503" s="8" t="s">
        <v>19</v>
      </c>
      <c r="F1503" s="8" t="s">
        <v>20</v>
      </c>
      <c r="G1503" s="8" t="s">
        <v>21</v>
      </c>
      <c r="H1503" s="9"/>
      <c r="I1503" s="9"/>
      <c r="J1503" s="10">
        <f t="shared" ref="J1503:M1503" si="923">ifs(OR($H1503="R",$I1503="N"),"N/A",OR(C1503="A",C1503="B",C1503="C",C1503="U"),3,TRUE,"FLAG")</f>
        <v>3</v>
      </c>
      <c r="K1503" s="10">
        <f t="shared" si="923"/>
        <v>3</v>
      </c>
      <c r="L1503" s="10">
        <f t="shared" si="923"/>
        <v>3</v>
      </c>
      <c r="M1503" s="10" t="str">
        <f t="shared" si="923"/>
        <v>FLAG</v>
      </c>
      <c r="N1503" s="10" t="str">
        <f t="shared" si="2"/>
        <v>65-5117(f)(5) - Home Health Agencies; Disclosure of confidential information</v>
      </c>
      <c r="O1503" s="10" t="str">
        <f t="shared" si="3"/>
        <v>Home Health Agencies</v>
      </c>
    </row>
    <row r="1504">
      <c r="A1504" s="7" t="s">
        <v>2747</v>
      </c>
      <c r="B1504" s="8" t="s">
        <v>2748</v>
      </c>
      <c r="C1504" s="8" t="s">
        <v>28</v>
      </c>
      <c r="D1504" s="8" t="s">
        <v>19</v>
      </c>
      <c r="E1504" s="8" t="s">
        <v>19</v>
      </c>
      <c r="F1504" s="8" t="s">
        <v>20</v>
      </c>
      <c r="G1504" s="8" t="s">
        <v>21</v>
      </c>
      <c r="H1504" s="9"/>
      <c r="I1504" s="9"/>
      <c r="J1504" s="10">
        <f t="shared" ref="J1504:M1504" si="924">ifs(OR($H1504="R",$I1504="N"),"N/A",OR(C1504="A",C1504="B",C1504="C",C1504="U"),3,TRUE,"FLAG")</f>
        <v>3</v>
      </c>
      <c r="K1504" s="10">
        <f t="shared" si="924"/>
        <v>3</v>
      </c>
      <c r="L1504" s="10">
        <f t="shared" si="924"/>
        <v>3</v>
      </c>
      <c r="M1504" s="10" t="str">
        <f t="shared" si="924"/>
        <v>FLAG</v>
      </c>
      <c r="N1504" s="10" t="str">
        <f t="shared" si="2"/>
        <v>65-5102 - Home Health Agencies; Home health agencies required to be licensed</v>
      </c>
      <c r="O1504" s="10" t="str">
        <f t="shared" si="3"/>
        <v>Home Health Agencies</v>
      </c>
    </row>
    <row r="1505">
      <c r="A1505" s="7" t="s">
        <v>2749</v>
      </c>
      <c r="B1505" s="8" t="s">
        <v>2750</v>
      </c>
      <c r="C1505" s="8" t="s">
        <v>19</v>
      </c>
      <c r="D1505" s="8" t="s">
        <v>19</v>
      </c>
      <c r="E1505" s="8" t="s">
        <v>19</v>
      </c>
      <c r="F1505" s="8" t="s">
        <v>20</v>
      </c>
      <c r="G1505" s="8" t="s">
        <v>21</v>
      </c>
      <c r="H1505" s="9"/>
      <c r="I1505" s="9"/>
      <c r="J1505" s="10">
        <f t="shared" ref="J1505:M1505" si="925">ifs(OR($H1505="R",$I1505="N"),"N/A",OR(C1505="A",C1505="B",C1505="C",C1505="U"),3,TRUE,"FLAG")</f>
        <v>3</v>
      </c>
      <c r="K1505" s="10">
        <f t="shared" si="925"/>
        <v>3</v>
      </c>
      <c r="L1505" s="10">
        <f t="shared" si="925"/>
        <v>3</v>
      </c>
      <c r="M1505" s="10" t="str">
        <f t="shared" si="925"/>
        <v>FLAG</v>
      </c>
      <c r="N1505" s="10" t="str">
        <f t="shared" si="2"/>
        <v>65-5116(b) - Home Health Agencies; Unlicensed employees prohibited from prefilling insulin syringes</v>
      </c>
      <c r="O1505" s="10" t="str">
        <f t="shared" si="3"/>
        <v>Home Health Agencies</v>
      </c>
    </row>
    <row r="1506">
      <c r="A1506" s="7" t="s">
        <v>2751</v>
      </c>
      <c r="B1506" s="8" t="s">
        <v>2752</v>
      </c>
      <c r="C1506" s="8" t="s">
        <v>28</v>
      </c>
      <c r="D1506" s="8" t="s">
        <v>19</v>
      </c>
      <c r="E1506" s="8" t="s">
        <v>19</v>
      </c>
      <c r="F1506" s="8" t="s">
        <v>20</v>
      </c>
      <c r="G1506" s="8" t="s">
        <v>21</v>
      </c>
      <c r="H1506" s="9"/>
      <c r="I1506" s="9"/>
      <c r="J1506" s="10">
        <f t="shared" ref="J1506:M1506" si="926">ifs(OR($H1506="R",$I1506="N"),"N/A",OR(C1506="A",C1506="B",C1506="C",C1506="U"),3,TRUE,"FLAG")</f>
        <v>3</v>
      </c>
      <c r="K1506" s="10">
        <f t="shared" si="926"/>
        <v>3</v>
      </c>
      <c r="L1506" s="10">
        <f t="shared" si="926"/>
        <v>3</v>
      </c>
      <c r="M1506" s="10" t="str">
        <f t="shared" si="926"/>
        <v>FLAG</v>
      </c>
      <c r="N1506" s="10" t="str">
        <f t="shared" si="2"/>
        <v>79-4513 - Homestead Property Tax Refunds; Fraudulently filing excessive homestead property tax claim</v>
      </c>
      <c r="O1506" s="10" t="str">
        <f t="shared" si="3"/>
        <v>Homestead Property Tax Refunds</v>
      </c>
    </row>
    <row r="1507">
      <c r="A1507" s="7" t="s">
        <v>2753</v>
      </c>
      <c r="B1507" s="8" t="s">
        <v>2754</v>
      </c>
      <c r="C1507" s="8" t="s">
        <v>18</v>
      </c>
      <c r="D1507" s="8" t="s">
        <v>18</v>
      </c>
      <c r="E1507" s="8" t="s">
        <v>19</v>
      </c>
      <c r="F1507" s="8" t="s">
        <v>20</v>
      </c>
      <c r="G1507" s="8" t="s">
        <v>21</v>
      </c>
      <c r="H1507" s="9"/>
      <c r="I1507" s="9"/>
      <c r="J1507" s="10">
        <f t="shared" ref="J1507:M1507" si="927">ifs(OR($H1507="R",$I1507="N"),"N/A",OR(C1507="A",C1507="B",C1507="C",C1507="U"),3,TRUE,"FLAG")</f>
        <v>3</v>
      </c>
      <c r="K1507" s="10">
        <f t="shared" si="927"/>
        <v>3</v>
      </c>
      <c r="L1507" s="10">
        <f t="shared" si="927"/>
        <v>3</v>
      </c>
      <c r="M1507" s="10" t="str">
        <f t="shared" si="927"/>
        <v>FLAG</v>
      </c>
      <c r="N1507" s="10" t="str">
        <f t="shared" si="2"/>
        <v>65-439 - Hospitals &amp; Other Facilities; Establish, conduct, manage, or operate any medical care facility without a license</v>
      </c>
      <c r="O1507" s="10" t="str">
        <f t="shared" si="3"/>
        <v>Hospitals &amp; Other Facilities</v>
      </c>
    </row>
    <row r="1508">
      <c r="A1508" s="7" t="s">
        <v>2755</v>
      </c>
      <c r="B1508" s="8" t="s">
        <v>2756</v>
      </c>
      <c r="C1508" s="8" t="s">
        <v>18</v>
      </c>
      <c r="D1508" s="8" t="s">
        <v>18</v>
      </c>
      <c r="E1508" s="8" t="s">
        <v>19</v>
      </c>
      <c r="F1508" s="8" t="s">
        <v>20</v>
      </c>
      <c r="G1508" s="8" t="s">
        <v>21</v>
      </c>
      <c r="H1508" s="9"/>
      <c r="I1508" s="9"/>
      <c r="J1508" s="10">
        <f t="shared" ref="J1508:M1508" si="928">ifs(OR($H1508="R",$I1508="N"),"N/A",OR(C1508="A",C1508="B",C1508="C",C1508="U"),3,TRUE,"FLAG")</f>
        <v>3</v>
      </c>
      <c r="K1508" s="10">
        <f t="shared" si="928"/>
        <v>3</v>
      </c>
      <c r="L1508" s="10">
        <f t="shared" si="928"/>
        <v>3</v>
      </c>
      <c r="M1508" s="10" t="str">
        <f t="shared" si="928"/>
        <v>FLAG</v>
      </c>
      <c r="N1508" s="10" t="str">
        <f t="shared" si="2"/>
        <v>65-427 - Hospitals &amp; Other Facilities; License required to establish, conduct or maintain a medical care facility</v>
      </c>
      <c r="O1508" s="10" t="str">
        <f t="shared" si="3"/>
        <v>Hospitals &amp; Other Facilities</v>
      </c>
    </row>
    <row r="1509">
      <c r="A1509" s="7" t="s">
        <v>2757</v>
      </c>
      <c r="B1509" s="8" t="s">
        <v>2758</v>
      </c>
      <c r="C1509" s="8" t="s">
        <v>27</v>
      </c>
      <c r="D1509" s="8" t="s">
        <v>28</v>
      </c>
      <c r="E1509" s="8" t="s">
        <v>19</v>
      </c>
      <c r="F1509" s="8" t="s">
        <v>20</v>
      </c>
      <c r="G1509" s="8" t="s">
        <v>21</v>
      </c>
      <c r="H1509" s="9"/>
      <c r="I1509" s="9"/>
      <c r="J1509" s="10">
        <f t="shared" ref="J1509:M1509" si="929">ifs(OR($H1509="R",$I1509="N"),"N/A",OR(C1509="A",C1509="B",C1509="C",C1509="U"),3,TRUE,"FLAG")</f>
        <v>3</v>
      </c>
      <c r="K1509" s="10">
        <f t="shared" si="929"/>
        <v>3</v>
      </c>
      <c r="L1509" s="10">
        <f t="shared" si="929"/>
        <v>3</v>
      </c>
      <c r="M1509" s="10" t="str">
        <f t="shared" si="929"/>
        <v>FLAG</v>
      </c>
      <c r="N1509" s="10" t="str">
        <f t="shared" si="2"/>
        <v>65-445(c) - Hospitals &amp; Other Facilities; Violation of confidentiality provisions</v>
      </c>
      <c r="O1509" s="10" t="str">
        <f t="shared" si="3"/>
        <v>Hospitals &amp; Other Facilities</v>
      </c>
    </row>
    <row r="1510">
      <c r="A1510" s="7" t="s">
        <v>2759</v>
      </c>
      <c r="B1510" s="8" t="s">
        <v>2760</v>
      </c>
      <c r="C1510" s="8" t="s">
        <v>19</v>
      </c>
      <c r="D1510" s="8" t="s">
        <v>19</v>
      </c>
      <c r="E1510" s="8" t="s">
        <v>19</v>
      </c>
      <c r="F1510" s="8" t="s">
        <v>20</v>
      </c>
      <c r="G1510" s="8" t="s">
        <v>21</v>
      </c>
      <c r="H1510" s="9"/>
      <c r="I1510" s="9"/>
      <c r="J1510" s="10">
        <f t="shared" ref="J1510:M1510" si="930">ifs(OR($H1510="R",$I1510="N"),"N/A",OR(C1510="A",C1510="B",C1510="C",C1510="U"),3,TRUE,"FLAG")</f>
        <v>3</v>
      </c>
      <c r="K1510" s="10">
        <f t="shared" si="930"/>
        <v>3</v>
      </c>
      <c r="L1510" s="10">
        <f t="shared" si="930"/>
        <v>3</v>
      </c>
      <c r="M1510" s="10" t="str">
        <f t="shared" si="930"/>
        <v>FLAG</v>
      </c>
      <c r="N1510" s="10" t="str">
        <f t="shared" si="2"/>
        <v>36-134 - Hotels/Lodging Houses/Restaurants; Use of flexible metal gas connector in connection with natural gas-fired movable cooking equipment which does not meet the design and construction requirements approved by the state fire marshal pursuant to K.S.A. 36-133</v>
      </c>
      <c r="O1510" s="10" t="str">
        <f t="shared" si="3"/>
        <v>Hotels/Lodging Houses/Restaurants</v>
      </c>
    </row>
    <row r="1511">
      <c r="A1511" s="7" t="s">
        <v>2761</v>
      </c>
      <c r="B1511" s="8" t="s">
        <v>2762</v>
      </c>
      <c r="C1511" s="8">
        <v>2.0</v>
      </c>
      <c r="D1511" s="8">
        <v>4.0</v>
      </c>
      <c r="E1511" s="8">
        <v>4.0</v>
      </c>
      <c r="F1511" s="8">
        <v>5.0</v>
      </c>
      <c r="G1511" s="8" t="s">
        <v>24</v>
      </c>
      <c r="H1511" s="9"/>
      <c r="I1511" s="9"/>
      <c r="N1511" s="10" t="str">
        <f t="shared" si="2"/>
        <v>21-5426(a)(2) - Human Trafficking; Intentionally benefitting financially or receiving anything of value for participation in human trafficking</v>
      </c>
      <c r="O1511" s="10" t="str">
        <f t="shared" si="3"/>
        <v>Human Trafficking</v>
      </c>
    </row>
    <row r="1512">
      <c r="A1512" s="7" t="s">
        <v>2763</v>
      </c>
      <c r="B1512" s="8" t="s">
        <v>2764</v>
      </c>
      <c r="C1512" s="8">
        <v>2.0</v>
      </c>
      <c r="D1512" s="8">
        <v>4.0</v>
      </c>
      <c r="E1512" s="8">
        <v>4.0</v>
      </c>
      <c r="F1512" s="8">
        <v>5.0</v>
      </c>
      <c r="G1512" s="8" t="s">
        <v>24</v>
      </c>
      <c r="H1512" s="9"/>
      <c r="I1512" s="9"/>
      <c r="N1512" s="10" t="str">
        <f t="shared" si="2"/>
        <v>21-5426(a)(1) - Human Trafficking; Intentionally, recruiting, harboring, transporting, providing or obtaining a person for labor or services, through use of force, fraud or coercion for purpose of subjecting person to involuntary servitude or forced labor</v>
      </c>
      <c r="O1512" s="10" t="str">
        <f t="shared" si="3"/>
        <v>Human Trafficking</v>
      </c>
    </row>
    <row r="1513">
      <c r="A1513" s="7" t="s">
        <v>2765</v>
      </c>
      <c r="B1513" s="8" t="s">
        <v>2766</v>
      </c>
      <c r="C1513" s="8">
        <v>2.0</v>
      </c>
      <c r="D1513" s="8">
        <v>4.0</v>
      </c>
      <c r="E1513" s="8">
        <v>4.0</v>
      </c>
      <c r="F1513" s="8">
        <v>5.0</v>
      </c>
      <c r="G1513" s="8" t="s">
        <v>24</v>
      </c>
      <c r="H1513" s="9"/>
      <c r="I1513" s="9"/>
      <c r="N1513" s="10" t="str">
        <f t="shared" si="2"/>
        <v>21-5426(a)(3)(C) - Human Trafficking; Knowingly coercing employment by obtaining or maintaining labor or services that are performed or provided by another through abusing or threatening to abuse the law or legal process</v>
      </c>
      <c r="O1513" s="10" t="str">
        <f t="shared" si="3"/>
        <v>Human Trafficking</v>
      </c>
    </row>
    <row r="1514">
      <c r="A1514" s="7" t="s">
        <v>2767</v>
      </c>
      <c r="B1514" s="8" t="s">
        <v>2768</v>
      </c>
      <c r="C1514" s="8">
        <v>2.0</v>
      </c>
      <c r="D1514" s="8">
        <v>4.0</v>
      </c>
      <c r="E1514" s="8">
        <v>4.0</v>
      </c>
      <c r="F1514" s="8">
        <v>5.0</v>
      </c>
      <c r="G1514" s="8" t="s">
        <v>24</v>
      </c>
      <c r="H1514" s="9"/>
      <c r="I1514" s="9"/>
      <c r="N1514" s="10" t="str">
        <f t="shared" si="2"/>
        <v>21-5426(a)(3)(A) - Human Trafficking; Knowingly coercing employment by obtaining or maintaining labor or services that are performed or provided by another through causing or threatening to cause physical injury to any person</v>
      </c>
      <c r="O1514" s="10" t="str">
        <f t="shared" si="3"/>
        <v>Human Trafficking</v>
      </c>
    </row>
    <row r="1515">
      <c r="A1515" s="7" t="s">
        <v>2769</v>
      </c>
      <c r="B1515" s="8" t="s">
        <v>2770</v>
      </c>
      <c r="C1515" s="8">
        <v>2.0</v>
      </c>
      <c r="D1515" s="8">
        <v>4.0</v>
      </c>
      <c r="E1515" s="8">
        <v>4.0</v>
      </c>
      <c r="F1515" s="8">
        <v>5.0</v>
      </c>
      <c r="G1515" s="8" t="s">
        <v>24</v>
      </c>
      <c r="H1515" s="9"/>
      <c r="I1515" s="9"/>
      <c r="N1515" s="10" t="str">
        <f t="shared" si="2"/>
        <v>21-5426(a)(3)(E) - Human Trafficking; Knowingly coercing employment by obtaining or maintaining labor or services that are performed or provided by another through knowingly destroying, concealing, removing, confiscating or possessing any actual or purported government identification document of another person</v>
      </c>
      <c r="O1515" s="10" t="str">
        <f t="shared" si="3"/>
        <v>Human Trafficking</v>
      </c>
    </row>
    <row r="1516">
      <c r="A1516" s="7" t="s">
        <v>2771</v>
      </c>
      <c r="B1516" s="8" t="s">
        <v>2772</v>
      </c>
      <c r="C1516" s="8">
        <v>2.0</v>
      </c>
      <c r="D1516" s="8">
        <v>4.0</v>
      </c>
      <c r="E1516" s="8">
        <v>4.0</v>
      </c>
      <c r="F1516" s="8">
        <v>5.0</v>
      </c>
      <c r="G1516" s="8" t="s">
        <v>24</v>
      </c>
      <c r="H1516" s="9"/>
      <c r="I1516" s="9"/>
      <c r="N1516" s="10" t="str">
        <f t="shared" si="2"/>
        <v>21-5426(a)(3)(B) - Human Trafficking; Knowingly coercing employment by obtaining or maintaining labor or services that are performed or provided by another through physically restraining or threatening to physically restrain another person</v>
      </c>
      <c r="O1516" s="10" t="str">
        <f t="shared" si="3"/>
        <v>Human Trafficking</v>
      </c>
    </row>
    <row r="1517">
      <c r="A1517" s="7" t="s">
        <v>2773</v>
      </c>
      <c r="B1517" s="8" t="s">
        <v>2774</v>
      </c>
      <c r="C1517" s="8">
        <v>2.0</v>
      </c>
      <c r="D1517" s="8">
        <v>4.0</v>
      </c>
      <c r="E1517" s="8">
        <v>4.0</v>
      </c>
      <c r="F1517" s="8">
        <v>5.0</v>
      </c>
      <c r="G1517" s="8" t="s">
        <v>24</v>
      </c>
      <c r="H1517" s="9"/>
      <c r="I1517" s="9"/>
      <c r="N1517" s="10" t="str">
        <f t="shared" si="2"/>
        <v>21-5426(a)(3)(D) - Human Trafficking; Knowingly coercing employment by obtaining or maintaining labor or services that are performed or provided by another through threatening to withhold food, lodging or clothing</v>
      </c>
      <c r="O1517" s="10" t="str">
        <f t="shared" si="3"/>
        <v>Human Trafficking</v>
      </c>
    </row>
    <row r="1518">
      <c r="A1518" s="7" t="s">
        <v>2775</v>
      </c>
      <c r="B1518" s="8" t="s">
        <v>2776</v>
      </c>
      <c r="C1518" s="8">
        <v>2.0</v>
      </c>
      <c r="D1518" s="8">
        <v>4.0</v>
      </c>
      <c r="E1518" s="8">
        <v>4.0</v>
      </c>
      <c r="F1518" s="8">
        <v>5.0</v>
      </c>
      <c r="G1518" s="8" t="s">
        <v>24</v>
      </c>
      <c r="H1518" s="9"/>
      <c r="I1518" s="9"/>
      <c r="N1518" s="10" t="str">
        <f t="shared" si="2"/>
        <v>21-5426(a)(4) - Human Trafficking; Knowingly hold another in condition of peonage (involuntary servitude) in satisfaction of debt owed</v>
      </c>
      <c r="O1518" s="10" t="str">
        <f t="shared" si="3"/>
        <v>Human Trafficking</v>
      </c>
    </row>
    <row r="1519">
      <c r="A1519" s="7" t="s">
        <v>2777</v>
      </c>
      <c r="B1519" s="8" t="s">
        <v>2778</v>
      </c>
      <c r="C1519" s="8" t="s">
        <v>18</v>
      </c>
      <c r="D1519" s="8" t="s">
        <v>18</v>
      </c>
      <c r="E1519" s="8" t="s">
        <v>19</v>
      </c>
      <c r="F1519" s="8" t="s">
        <v>20</v>
      </c>
      <c r="G1519" s="8" t="s">
        <v>21</v>
      </c>
      <c r="H1519" s="9"/>
      <c r="I1519" s="9"/>
      <c r="J1519" s="10">
        <f t="shared" ref="J1519:M1519" si="931">ifs(OR($H1519="R",$I1519="N"),"N/A",OR(C1519="A",C1519="B",C1519="C",C1519="U"),3,TRUE,"FLAG")</f>
        <v>3</v>
      </c>
      <c r="K1519" s="10">
        <f t="shared" si="931"/>
        <v>3</v>
      </c>
      <c r="L1519" s="10">
        <f t="shared" si="931"/>
        <v>3</v>
      </c>
      <c r="M1519" s="10" t="str">
        <f t="shared" si="931"/>
        <v>FLAG</v>
      </c>
      <c r="N1519" s="10" t="str">
        <f t="shared" si="2"/>
        <v>47-1403(b) - Humane Slaughter; Bleed/slaughter any livestock except by a humane method</v>
      </c>
      <c r="O1519" s="10" t="str">
        <f t="shared" si="3"/>
        <v>Humane Slaughter</v>
      </c>
    </row>
    <row r="1520">
      <c r="A1520" s="7" t="s">
        <v>2779</v>
      </c>
      <c r="B1520" s="8" t="s">
        <v>2780</v>
      </c>
      <c r="C1520" s="8" t="s">
        <v>18</v>
      </c>
      <c r="D1520" s="8" t="s">
        <v>18</v>
      </c>
      <c r="E1520" s="8" t="s">
        <v>19</v>
      </c>
      <c r="F1520" s="8" t="s">
        <v>20</v>
      </c>
      <c r="G1520" s="8" t="s">
        <v>21</v>
      </c>
      <c r="H1520" s="9"/>
      <c r="I1520" s="9"/>
      <c r="J1520" s="10">
        <f t="shared" ref="J1520:M1520" si="932">ifs(OR($H1520="R",$I1520="N"),"N/A",OR(C1520="A",C1520="B",C1520="C",C1520="U"),3,TRUE,"FLAG")</f>
        <v>3</v>
      </c>
      <c r="K1520" s="10">
        <f t="shared" si="932"/>
        <v>3</v>
      </c>
      <c r="L1520" s="10">
        <f t="shared" si="932"/>
        <v>3</v>
      </c>
      <c r="M1520" s="10" t="str">
        <f t="shared" si="932"/>
        <v>FLAG</v>
      </c>
      <c r="N1520" s="10" t="str">
        <f t="shared" si="2"/>
        <v>47-1404 - Humane Slaughter; Certain method of slaughter declared inhumane</v>
      </c>
      <c r="O1520" s="10" t="str">
        <f t="shared" si="3"/>
        <v>Humane Slaughter</v>
      </c>
    </row>
    <row r="1521">
      <c r="A1521" s="7" t="s">
        <v>2781</v>
      </c>
      <c r="B1521" s="8" t="s">
        <v>2782</v>
      </c>
      <c r="C1521" s="8" t="s">
        <v>18</v>
      </c>
      <c r="D1521" s="8" t="s">
        <v>18</v>
      </c>
      <c r="E1521" s="8" t="s">
        <v>19</v>
      </c>
      <c r="F1521" s="8" t="s">
        <v>20</v>
      </c>
      <c r="G1521" s="8" t="s">
        <v>21</v>
      </c>
      <c r="H1521" s="9"/>
      <c r="I1521" s="9"/>
      <c r="J1521" s="10">
        <f t="shared" ref="J1521:M1521" si="933">ifs(OR($H1521="R",$I1521="N"),"N/A",OR(C1521="A",C1521="B",C1521="C",C1521="U"),3,TRUE,"FLAG")</f>
        <v>3</v>
      </c>
      <c r="K1521" s="10">
        <f t="shared" si="933"/>
        <v>3</v>
      </c>
      <c r="L1521" s="10">
        <f t="shared" si="933"/>
        <v>3</v>
      </c>
      <c r="M1521" s="10" t="str">
        <f t="shared" si="933"/>
        <v>FLAG</v>
      </c>
      <c r="N1521" s="10" t="str">
        <f t="shared" si="2"/>
        <v>47-1403(a) - Humane Slaughter; Shackle, hoist, or otherwise bring livestock into position for slaughter, by any method which shall cause injury or pain</v>
      </c>
      <c r="O1521" s="10" t="str">
        <f t="shared" si="3"/>
        <v>Humane Slaughter</v>
      </c>
    </row>
    <row r="1522">
      <c r="A1522" s="7" t="s">
        <v>2783</v>
      </c>
      <c r="B1522" s="8" t="s">
        <v>2784</v>
      </c>
      <c r="C1522" s="8" t="s">
        <v>27</v>
      </c>
      <c r="D1522" s="8" t="s">
        <v>28</v>
      </c>
      <c r="E1522" s="8" t="s">
        <v>19</v>
      </c>
      <c r="F1522" s="8" t="s">
        <v>20</v>
      </c>
      <c r="G1522" s="8" t="s">
        <v>21</v>
      </c>
      <c r="H1522" s="9"/>
      <c r="I1522" s="9"/>
      <c r="J1522" s="10">
        <f t="shared" ref="J1522:M1522" si="934">ifs(OR($H1522="R",$I1522="N"),"N/A",OR(C1522="A",C1522="B",C1522="C",C1522="U"),3,TRUE,"FLAG")</f>
        <v>3</v>
      </c>
      <c r="K1522" s="10">
        <f t="shared" si="934"/>
        <v>3</v>
      </c>
      <c r="L1522" s="10">
        <f t="shared" si="934"/>
        <v>3</v>
      </c>
      <c r="M1522" s="10" t="str">
        <f t="shared" si="934"/>
        <v>FLAG</v>
      </c>
      <c r="N1522" s="10" t="str">
        <f t="shared" si="2"/>
        <v>21-2511(n)(1) - ID &amp; Detection of Crimes &amp; Criminals; DNA sampling; dissemination of samples or records not in accordance with applicable laws</v>
      </c>
      <c r="O1522" s="10" t="str">
        <f t="shared" si="3"/>
        <v>ID &amp; Detection of Crimes &amp; Criminals</v>
      </c>
    </row>
    <row r="1523">
      <c r="A1523" s="7" t="s">
        <v>2785</v>
      </c>
      <c r="B1523" s="8" t="s">
        <v>2786</v>
      </c>
      <c r="C1523" s="8" t="s">
        <v>27</v>
      </c>
      <c r="D1523" s="8" t="s">
        <v>28</v>
      </c>
      <c r="E1523" s="8" t="s">
        <v>19</v>
      </c>
      <c r="F1523" s="8" t="s">
        <v>20</v>
      </c>
      <c r="G1523" s="8" t="s">
        <v>21</v>
      </c>
      <c r="H1523" s="9"/>
      <c r="I1523" s="9"/>
      <c r="J1523" s="10">
        <f t="shared" ref="J1523:M1523" si="935">ifs(OR($H1523="R",$I1523="N"),"N/A",OR(C1523="A",C1523="B",C1523="C",C1523="U"),3,TRUE,"FLAG")</f>
        <v>3</v>
      </c>
      <c r="K1523" s="10">
        <f t="shared" si="935"/>
        <v>3</v>
      </c>
      <c r="L1523" s="10">
        <f t="shared" si="935"/>
        <v>3</v>
      </c>
      <c r="M1523" s="10" t="str">
        <f t="shared" si="935"/>
        <v>FLAG</v>
      </c>
      <c r="N1523" s="10" t="str">
        <f t="shared" si="2"/>
        <v>21-2511(m) - ID &amp; Detection of Crimes &amp; Criminals; DNA sampling; fail to provide sample as required</v>
      </c>
      <c r="O1523" s="10" t="str">
        <f t="shared" si="3"/>
        <v>ID &amp; Detection of Crimes &amp; Criminals</v>
      </c>
    </row>
    <row r="1524">
      <c r="A1524" s="7" t="s">
        <v>2787</v>
      </c>
      <c r="B1524" s="8" t="s">
        <v>2788</v>
      </c>
      <c r="C1524" s="8" t="s">
        <v>27</v>
      </c>
      <c r="D1524" s="8" t="s">
        <v>28</v>
      </c>
      <c r="E1524" s="8" t="s">
        <v>19</v>
      </c>
      <c r="F1524" s="8" t="s">
        <v>20</v>
      </c>
      <c r="G1524" s="8" t="s">
        <v>21</v>
      </c>
      <c r="H1524" s="9"/>
      <c r="I1524" s="9"/>
      <c r="J1524" s="10">
        <f t="shared" ref="J1524:M1524" si="936">ifs(OR($H1524="R",$I1524="N"),"N/A",OR(C1524="A",C1524="B",C1524="C",C1524="U"),3,TRUE,"FLAG")</f>
        <v>3</v>
      </c>
      <c r="K1524" s="10">
        <f t="shared" si="936"/>
        <v>3</v>
      </c>
      <c r="L1524" s="10">
        <f t="shared" si="936"/>
        <v>3</v>
      </c>
      <c r="M1524" s="10" t="str">
        <f t="shared" si="936"/>
        <v>FLAG</v>
      </c>
      <c r="N1524" s="10" t="str">
        <f t="shared" si="2"/>
        <v>21-2511(o) - ID &amp; Detection of Crimes &amp; Criminals; DNA sampling; knowingly obtaining samples without authorization</v>
      </c>
      <c r="O1524" s="10" t="str">
        <f t="shared" si="3"/>
        <v>ID &amp; Detection of Crimes &amp; Criminals</v>
      </c>
    </row>
    <row r="1525">
      <c r="A1525" s="7" t="s">
        <v>2789</v>
      </c>
      <c r="B1525" s="8" t="s">
        <v>2790</v>
      </c>
      <c r="C1525" s="8" t="s">
        <v>27</v>
      </c>
      <c r="D1525" s="8" t="s">
        <v>28</v>
      </c>
      <c r="E1525" s="8" t="s">
        <v>19</v>
      </c>
      <c r="F1525" s="8" t="s">
        <v>20</v>
      </c>
      <c r="G1525" s="8" t="s">
        <v>21</v>
      </c>
      <c r="H1525" s="9"/>
      <c r="I1525" s="9"/>
      <c r="J1525" s="10">
        <f t="shared" ref="J1525:M1525" si="937">ifs(OR($H1525="R",$I1525="N"),"N/A",OR(C1525="A",C1525="B",C1525="C",C1525="U"),3,TRUE,"FLAG")</f>
        <v>3</v>
      </c>
      <c r="K1525" s="10">
        <f t="shared" si="937"/>
        <v>3</v>
      </c>
      <c r="L1525" s="10">
        <f t="shared" si="937"/>
        <v>3</v>
      </c>
      <c r="M1525" s="10" t="str">
        <f t="shared" si="937"/>
        <v>FLAG</v>
      </c>
      <c r="N1525" s="10" t="str">
        <f t="shared" si="2"/>
        <v>21-2511(n)(2) - ID &amp; Detection of Crimes &amp; Criminals; DNA sampling; requesting of profile records without a legitimate need for such records</v>
      </c>
      <c r="O1525" s="10" t="str">
        <f t="shared" si="3"/>
        <v>ID &amp; Detection of Crimes &amp; Criminals</v>
      </c>
    </row>
    <row r="1526">
      <c r="A1526" s="7" t="s">
        <v>2791</v>
      </c>
      <c r="B1526" s="8" t="s">
        <v>2792</v>
      </c>
      <c r="C1526" s="8" t="s">
        <v>27</v>
      </c>
      <c r="D1526" s="8" t="s">
        <v>28</v>
      </c>
      <c r="E1526" s="8" t="s">
        <v>19</v>
      </c>
      <c r="F1526" s="8" t="s">
        <v>20</v>
      </c>
      <c r="G1526" s="8" t="s">
        <v>21</v>
      </c>
      <c r="H1526" s="9"/>
      <c r="I1526" s="9"/>
      <c r="J1526" s="10">
        <f t="shared" ref="J1526:M1526" si="938">ifs(OR($H1526="R",$I1526="N"),"N/A",OR(C1526="A",C1526="B",C1526="C",C1526="U"),3,TRUE,"FLAG")</f>
        <v>3</v>
      </c>
      <c r="K1526" s="10">
        <f t="shared" si="938"/>
        <v>3</v>
      </c>
      <c r="L1526" s="10">
        <f t="shared" si="938"/>
        <v>3</v>
      </c>
      <c r="M1526" s="10" t="str">
        <f t="shared" si="938"/>
        <v>FLAG</v>
      </c>
      <c r="N1526" s="10" t="str">
        <f t="shared" si="2"/>
        <v>21-2505 - ID &amp; Detection of Crimes &amp; Criminals; Neglect of any officer to furnish information required by K.S.A. 21-2501, 21-2501a, 21-2502, 21-2503, 21-2504</v>
      </c>
      <c r="O1526" s="10" t="str">
        <f t="shared" si="3"/>
        <v>ID &amp; Detection of Crimes &amp; Criminals</v>
      </c>
    </row>
    <row r="1527">
      <c r="A1527" s="7" t="s">
        <v>2793</v>
      </c>
      <c r="B1527" s="8" t="s">
        <v>2794</v>
      </c>
      <c r="C1527" s="8" t="s">
        <v>28</v>
      </c>
      <c r="D1527" s="8" t="s">
        <v>19</v>
      </c>
      <c r="E1527" s="8" t="s">
        <v>19</v>
      </c>
      <c r="F1527" s="8" t="s">
        <v>20</v>
      </c>
      <c r="G1527" s="8" t="s">
        <v>21</v>
      </c>
      <c r="H1527" s="9"/>
      <c r="I1527" s="9"/>
      <c r="J1527" s="10">
        <f t="shared" ref="J1527:M1527" si="939">ifs(OR($H1527="R",$I1527="N"),"N/A",OR(C1527="A",C1527="B",C1527="C",C1527="U"),3,TRUE,"FLAG")</f>
        <v>3</v>
      </c>
      <c r="K1527" s="10">
        <f t="shared" si="939"/>
        <v>3</v>
      </c>
      <c r="L1527" s="10">
        <f t="shared" si="939"/>
        <v>3</v>
      </c>
      <c r="M1527" s="10" t="str">
        <f t="shared" si="939"/>
        <v>FLAG</v>
      </c>
      <c r="N1527" s="10" t="str">
        <f t="shared" si="2"/>
        <v>8-1327(a)(9) - Identification Cards; Display canceled ID card</v>
      </c>
      <c r="O1527" s="10" t="str">
        <f t="shared" si="3"/>
        <v>Identification Cards</v>
      </c>
    </row>
    <row r="1528">
      <c r="A1528" s="7" t="s">
        <v>2795</v>
      </c>
      <c r="B1528" s="8" t="s">
        <v>2796</v>
      </c>
      <c r="C1528" s="8" t="s">
        <v>27</v>
      </c>
      <c r="D1528" s="8" t="s">
        <v>28</v>
      </c>
      <c r="E1528" s="8" t="s">
        <v>19</v>
      </c>
      <c r="F1528" s="8" t="s">
        <v>20</v>
      </c>
      <c r="G1528" s="8" t="s">
        <v>21</v>
      </c>
      <c r="H1528" s="9"/>
      <c r="I1528" s="9"/>
      <c r="J1528" s="10">
        <f t="shared" ref="J1528:M1528" si="940">ifs(OR($H1528="R",$I1528="N"),"N/A",OR(C1528="A",C1528="B",C1528="C",C1528="U"),3,TRUE,"FLAG")</f>
        <v>3</v>
      </c>
      <c r="K1528" s="10">
        <f t="shared" si="940"/>
        <v>3</v>
      </c>
      <c r="L1528" s="10">
        <f t="shared" si="940"/>
        <v>3</v>
      </c>
      <c r="M1528" s="10" t="str">
        <f t="shared" si="940"/>
        <v>FLAG</v>
      </c>
      <c r="N1528" s="10" t="str">
        <f t="shared" si="2"/>
        <v>8-1327(a)(3) - Identification Cards; Display ID card which belongs to another</v>
      </c>
      <c r="O1528" s="10" t="str">
        <f t="shared" si="3"/>
        <v>Identification Cards</v>
      </c>
    </row>
    <row r="1529">
      <c r="A1529" s="7" t="s">
        <v>2797</v>
      </c>
      <c r="B1529" s="8" t="s">
        <v>2798</v>
      </c>
      <c r="C1529" s="8" t="s">
        <v>28</v>
      </c>
      <c r="D1529" s="8" t="s">
        <v>19</v>
      </c>
      <c r="E1529" s="8" t="s">
        <v>19</v>
      </c>
      <c r="F1529" s="8" t="s">
        <v>20</v>
      </c>
      <c r="G1529" s="8" t="s">
        <v>21</v>
      </c>
      <c r="H1529" s="9"/>
      <c r="I1529" s="9"/>
      <c r="J1529" s="10">
        <f t="shared" ref="J1529:M1529" si="941">ifs(OR($H1529="R",$I1529="N"),"N/A",OR(C1529="A",C1529="B",C1529="C",C1529="U"),3,TRUE,"FLAG")</f>
        <v>3</v>
      </c>
      <c r="K1529" s="10">
        <f t="shared" si="941"/>
        <v>3</v>
      </c>
      <c r="L1529" s="10">
        <f t="shared" si="941"/>
        <v>3</v>
      </c>
      <c r="M1529" s="10" t="str">
        <f t="shared" si="941"/>
        <v>FLAG</v>
      </c>
      <c r="N1529" s="10" t="str">
        <f t="shared" si="2"/>
        <v>8-1327(a)(1) - Identification Cards; Display or possess fictitious or fraudulent ID card</v>
      </c>
      <c r="O1529" s="10" t="str">
        <f t="shared" si="3"/>
        <v>Identification Cards</v>
      </c>
    </row>
    <row r="1530">
      <c r="A1530" s="7" t="s">
        <v>2799</v>
      </c>
      <c r="B1530" s="8" t="s">
        <v>2800</v>
      </c>
      <c r="C1530" s="8" t="s">
        <v>28</v>
      </c>
      <c r="D1530" s="8" t="s">
        <v>19</v>
      </c>
      <c r="E1530" s="8" t="s">
        <v>19</v>
      </c>
      <c r="F1530" s="8" t="s">
        <v>20</v>
      </c>
      <c r="G1530" s="8" t="s">
        <v>21</v>
      </c>
      <c r="H1530" s="9"/>
      <c r="I1530" s="9"/>
      <c r="J1530" s="10">
        <f t="shared" ref="J1530:M1530" si="942">ifs(OR($H1530="R",$I1530="N"),"N/A",OR(C1530="A",C1530="B",C1530="C",C1530="U"),3,TRUE,"FLAG")</f>
        <v>3</v>
      </c>
      <c r="K1530" s="10">
        <f t="shared" si="942"/>
        <v>3</v>
      </c>
      <c r="L1530" s="10">
        <f t="shared" si="942"/>
        <v>3</v>
      </c>
      <c r="M1530" s="10" t="str">
        <f t="shared" si="942"/>
        <v>FLAG</v>
      </c>
      <c r="N1530" s="10" t="str">
        <f t="shared" si="2"/>
        <v>8-1327(c)(4) - Identification Cards; Display or possess fictitious/ fraudulent ID by one &lt; 21 for purchase of liquor/CMB; 1st conviction</v>
      </c>
      <c r="O1530" s="10" t="str">
        <f t="shared" si="3"/>
        <v>Identification Cards</v>
      </c>
    </row>
    <row r="1531">
      <c r="A1531" s="7" t="s">
        <v>2801</v>
      </c>
      <c r="B1531" s="8" t="s">
        <v>2800</v>
      </c>
      <c r="C1531" s="8" t="s">
        <v>27</v>
      </c>
      <c r="D1531" s="8" t="s">
        <v>28</v>
      </c>
      <c r="E1531" s="8" t="s">
        <v>19</v>
      </c>
      <c r="F1531" s="8" t="s">
        <v>20</v>
      </c>
      <c r="G1531" s="8" t="s">
        <v>21</v>
      </c>
      <c r="H1531" s="9"/>
      <c r="I1531" s="9"/>
      <c r="J1531" s="10">
        <f t="shared" ref="J1531:M1531" si="943">ifs(OR($H1531="R",$I1531="N"),"N/A",OR(C1531="A",C1531="B",C1531="C",C1531="U"),3,TRUE,"FLAG")</f>
        <v>3</v>
      </c>
      <c r="K1531" s="10">
        <f t="shared" si="943"/>
        <v>3</v>
      </c>
      <c r="L1531" s="10">
        <f t="shared" si="943"/>
        <v>3</v>
      </c>
      <c r="M1531" s="10" t="str">
        <f t="shared" si="943"/>
        <v>FLAG</v>
      </c>
      <c r="N1531" s="10" t="str">
        <f t="shared" si="2"/>
        <v>8-1327(c)(4) - Identification Cards; Display or possess fictitious/ fraudulent ID by one &lt; 21 for purchase of liquor/CMB; 2nd conviction</v>
      </c>
      <c r="O1531" s="10" t="str">
        <f t="shared" si="3"/>
        <v>Identification Cards</v>
      </c>
    </row>
    <row r="1532">
      <c r="A1532" s="7" t="s">
        <v>2802</v>
      </c>
      <c r="B1532" s="8" t="s">
        <v>2803</v>
      </c>
      <c r="C1532" s="8" t="s">
        <v>27</v>
      </c>
      <c r="D1532" s="8" t="s">
        <v>28</v>
      </c>
      <c r="E1532" s="8" t="s">
        <v>19</v>
      </c>
      <c r="F1532" s="8" t="s">
        <v>20</v>
      </c>
      <c r="G1532" s="8" t="s">
        <v>21</v>
      </c>
      <c r="H1532" s="9"/>
      <c r="I1532" s="9"/>
      <c r="J1532" s="10">
        <f t="shared" ref="J1532:M1532" si="944">ifs(OR($H1532="R",$I1532="N"),"N/A",OR(C1532="A",C1532="B",C1532="C",C1532="U"),3,TRUE,"FLAG")</f>
        <v>3</v>
      </c>
      <c r="K1532" s="10">
        <f t="shared" si="944"/>
        <v>3</v>
      </c>
      <c r="L1532" s="10">
        <f t="shared" si="944"/>
        <v>3</v>
      </c>
      <c r="M1532" s="10" t="str">
        <f t="shared" si="944"/>
        <v>FLAG</v>
      </c>
      <c r="N1532" s="10" t="str">
        <f t="shared" si="2"/>
        <v>8-1327(a)(6) - Identification Cards; Display reproduction of an ID card</v>
      </c>
      <c r="O1532" s="10" t="str">
        <f t="shared" si="3"/>
        <v>Identification Cards</v>
      </c>
    </row>
    <row r="1533">
      <c r="A1533" s="7" t="s">
        <v>2804</v>
      </c>
      <c r="B1533" s="8" t="s">
        <v>2805</v>
      </c>
      <c r="C1533" s="8" t="s">
        <v>27</v>
      </c>
      <c r="D1533" s="8" t="s">
        <v>28</v>
      </c>
      <c r="E1533" s="8" t="s">
        <v>19</v>
      </c>
      <c r="F1533" s="8" t="s">
        <v>20</v>
      </c>
      <c r="G1533" s="8" t="s">
        <v>21</v>
      </c>
      <c r="H1533" s="9"/>
      <c r="I1533" s="9"/>
      <c r="J1533" s="10">
        <f t="shared" ref="J1533:M1533" si="945">ifs(OR($H1533="R",$I1533="N"),"N/A",OR(C1533="A",C1533="B",C1533="C",C1533="U"),3,TRUE,"FLAG")</f>
        <v>3</v>
      </c>
      <c r="K1533" s="10">
        <f t="shared" si="945"/>
        <v>3</v>
      </c>
      <c r="L1533" s="10">
        <f t="shared" si="945"/>
        <v>3</v>
      </c>
      <c r="M1533" s="10" t="str">
        <f t="shared" si="945"/>
        <v>FLAG</v>
      </c>
      <c r="N1533" s="10" t="str">
        <f t="shared" si="2"/>
        <v>8-1327(a)(8) - Identification Cards; Fail or refuse to surrender any ID card which is canceled</v>
      </c>
      <c r="O1533" s="10" t="str">
        <f t="shared" si="3"/>
        <v>Identification Cards</v>
      </c>
    </row>
    <row r="1534">
      <c r="A1534" s="7" t="s">
        <v>2806</v>
      </c>
      <c r="B1534" s="8" t="s">
        <v>2807</v>
      </c>
      <c r="C1534" s="8" t="s">
        <v>27</v>
      </c>
      <c r="D1534" s="8" t="s">
        <v>28</v>
      </c>
      <c r="E1534" s="8" t="s">
        <v>19</v>
      </c>
      <c r="F1534" s="8" t="s">
        <v>20</v>
      </c>
      <c r="G1534" s="8" t="s">
        <v>21</v>
      </c>
      <c r="H1534" s="9"/>
      <c r="I1534" s="9"/>
      <c r="J1534" s="10">
        <f t="shared" ref="J1534:M1534" si="946">ifs(OR($H1534="R",$I1534="N"),"N/A",OR(C1534="A",C1534="B",C1534="C",C1534="U"),3,TRUE,"FLAG")</f>
        <v>3</v>
      </c>
      <c r="K1534" s="10">
        <f t="shared" si="946"/>
        <v>3</v>
      </c>
      <c r="L1534" s="10">
        <f t="shared" si="946"/>
        <v>3</v>
      </c>
      <c r="M1534" s="10" t="str">
        <f t="shared" si="946"/>
        <v>FLAG</v>
      </c>
      <c r="N1534" s="10" t="str">
        <f t="shared" si="2"/>
        <v>8-1327(a)(2) - Identification Cards; Lend any ID card to another or knowingly permit use by another</v>
      </c>
      <c r="O1534" s="10" t="str">
        <f t="shared" si="3"/>
        <v>Identification Cards</v>
      </c>
    </row>
    <row r="1535">
      <c r="A1535" s="7" t="s">
        <v>2808</v>
      </c>
      <c r="B1535" s="8" t="s">
        <v>2809</v>
      </c>
      <c r="C1535" s="8" t="s">
        <v>28</v>
      </c>
      <c r="D1535" s="8" t="s">
        <v>19</v>
      </c>
      <c r="E1535" s="8" t="s">
        <v>19</v>
      </c>
      <c r="F1535" s="8" t="s">
        <v>20</v>
      </c>
      <c r="G1535" s="8" t="s">
        <v>21</v>
      </c>
      <c r="H1535" s="9"/>
      <c r="I1535" s="9"/>
      <c r="J1535" s="10">
        <f t="shared" ref="J1535:M1535" si="947">ifs(OR($H1535="R",$I1535="N"),"N/A",OR(C1535="A",C1535="B",C1535="C",C1535="U"),3,TRUE,"FLAG")</f>
        <v>3</v>
      </c>
      <c r="K1535" s="10">
        <f t="shared" si="947"/>
        <v>3</v>
      </c>
      <c r="L1535" s="10">
        <f t="shared" si="947"/>
        <v>3</v>
      </c>
      <c r="M1535" s="10" t="str">
        <f t="shared" si="947"/>
        <v>FLAG</v>
      </c>
      <c r="N1535" s="10" t="str">
        <f t="shared" si="2"/>
        <v>8-1327(c)(2) - Identification Cards; Lend ID card to one &lt; 21 for consumption or purchase of CMB; 1st conviction</v>
      </c>
      <c r="O1535" s="10" t="str">
        <f t="shared" si="3"/>
        <v>Identification Cards</v>
      </c>
    </row>
    <row r="1536">
      <c r="A1536" s="7" t="s">
        <v>2810</v>
      </c>
      <c r="B1536" s="8" t="s">
        <v>2809</v>
      </c>
      <c r="C1536" s="8" t="s">
        <v>27</v>
      </c>
      <c r="D1536" s="8" t="s">
        <v>28</v>
      </c>
      <c r="E1536" s="8" t="s">
        <v>19</v>
      </c>
      <c r="F1536" s="8" t="s">
        <v>20</v>
      </c>
      <c r="G1536" s="8" t="s">
        <v>21</v>
      </c>
      <c r="H1536" s="9"/>
      <c r="I1536" s="9"/>
      <c r="J1536" s="10">
        <f t="shared" ref="J1536:M1536" si="948">ifs(OR($H1536="R",$I1536="N"),"N/A",OR(C1536="A",C1536="B",C1536="C",C1536="U"),3,TRUE,"FLAG")</f>
        <v>3</v>
      </c>
      <c r="K1536" s="10">
        <f t="shared" si="948"/>
        <v>3</v>
      </c>
      <c r="L1536" s="10">
        <f t="shared" si="948"/>
        <v>3</v>
      </c>
      <c r="M1536" s="10" t="str">
        <f t="shared" si="948"/>
        <v>FLAG</v>
      </c>
      <c r="N1536" s="10" t="str">
        <f t="shared" si="2"/>
        <v>8-1327(c)(2) - Identification Cards; Lend ID card to one &lt; 21 for consumption or purchase of CMB; 2nd conviction</v>
      </c>
      <c r="O1536" s="10" t="str">
        <f t="shared" si="3"/>
        <v>Identification Cards</v>
      </c>
    </row>
    <row r="1537">
      <c r="A1537" s="7" t="s">
        <v>2811</v>
      </c>
      <c r="B1537" s="8" t="s">
        <v>2812</v>
      </c>
      <c r="C1537" s="8" t="s">
        <v>28</v>
      </c>
      <c r="D1537" s="8" t="s">
        <v>19</v>
      </c>
      <c r="E1537" s="8" t="s">
        <v>19</v>
      </c>
      <c r="F1537" s="8" t="s">
        <v>20</v>
      </c>
      <c r="G1537" s="8" t="s">
        <v>21</v>
      </c>
      <c r="H1537" s="9"/>
      <c r="I1537" s="9"/>
      <c r="J1537" s="10">
        <f t="shared" ref="J1537:M1537" si="949">ifs(OR($H1537="R",$I1537="N"),"N/A",OR(C1537="A",C1537="B",C1537="C",C1537="U"),3,TRUE,"FLAG")</f>
        <v>3</v>
      </c>
      <c r="K1537" s="10">
        <f t="shared" si="949"/>
        <v>3</v>
      </c>
      <c r="L1537" s="10">
        <f t="shared" si="949"/>
        <v>3</v>
      </c>
      <c r="M1537" s="10" t="str">
        <f t="shared" si="949"/>
        <v>FLAG</v>
      </c>
      <c r="N1537" s="10" t="str">
        <f t="shared" si="2"/>
        <v>8-1327(c)(1) - Identification Cards; Lend ID card to person &lt; 21 for purchase of alcohol; 1st conviction</v>
      </c>
      <c r="O1537" s="10" t="str">
        <f t="shared" si="3"/>
        <v>Identification Cards</v>
      </c>
    </row>
    <row r="1538">
      <c r="A1538" s="7" t="s">
        <v>2813</v>
      </c>
      <c r="B1538" s="8" t="s">
        <v>2812</v>
      </c>
      <c r="C1538" s="8" t="s">
        <v>27</v>
      </c>
      <c r="D1538" s="8" t="s">
        <v>28</v>
      </c>
      <c r="E1538" s="8" t="s">
        <v>19</v>
      </c>
      <c r="F1538" s="8" t="s">
        <v>20</v>
      </c>
      <c r="G1538" s="8" t="s">
        <v>21</v>
      </c>
      <c r="H1538" s="9"/>
      <c r="I1538" s="9"/>
      <c r="J1538" s="10">
        <f t="shared" ref="J1538:M1538" si="950">ifs(OR($H1538="R",$I1538="N"),"N/A",OR(C1538="A",C1538="B",C1538="C",C1538="U"),3,TRUE,"FLAG")</f>
        <v>3</v>
      </c>
      <c r="K1538" s="10">
        <f t="shared" si="950"/>
        <v>3</v>
      </c>
      <c r="L1538" s="10">
        <f t="shared" si="950"/>
        <v>3</v>
      </c>
      <c r="M1538" s="10" t="str">
        <f t="shared" si="950"/>
        <v>FLAG</v>
      </c>
      <c r="N1538" s="10" t="str">
        <f t="shared" si="2"/>
        <v>8-1327(c)(1) - Identification Cards; Lend ID card to person &lt; 21 for purchase of alcohol; 2nd conviction</v>
      </c>
      <c r="O1538" s="10" t="str">
        <f t="shared" si="3"/>
        <v>Identification Cards</v>
      </c>
    </row>
    <row r="1539">
      <c r="A1539" s="7" t="s">
        <v>2814</v>
      </c>
      <c r="B1539" s="8" t="s">
        <v>2815</v>
      </c>
      <c r="C1539" s="8" t="s">
        <v>28</v>
      </c>
      <c r="D1539" s="8" t="s">
        <v>19</v>
      </c>
      <c r="E1539" s="8" t="s">
        <v>19</v>
      </c>
      <c r="F1539" s="8" t="s">
        <v>20</v>
      </c>
      <c r="G1539" s="8" t="s">
        <v>21</v>
      </c>
      <c r="H1539" s="9"/>
      <c r="I1539" s="9"/>
      <c r="J1539" s="10">
        <f t="shared" ref="J1539:M1539" si="951">ifs(OR($H1539="R",$I1539="N"),"N/A",OR(C1539="A",C1539="B",C1539="C",C1539="U"),3,TRUE,"FLAG")</f>
        <v>3</v>
      </c>
      <c r="K1539" s="10">
        <f t="shared" si="951"/>
        <v>3</v>
      </c>
      <c r="L1539" s="10">
        <f t="shared" si="951"/>
        <v>3</v>
      </c>
      <c r="M1539" s="10" t="str">
        <f t="shared" si="951"/>
        <v>FLAG</v>
      </c>
      <c r="N1539" s="10" t="str">
        <f t="shared" si="2"/>
        <v>8-1327(c)(3) - Identification Cards; Lend ID/DL or other ID to aid another in obtaining ID; 1st conviction</v>
      </c>
      <c r="O1539" s="10" t="str">
        <f t="shared" si="3"/>
        <v>Identification Cards</v>
      </c>
    </row>
    <row r="1540">
      <c r="A1540" s="7" t="s">
        <v>2816</v>
      </c>
      <c r="B1540" s="8" t="s">
        <v>2815</v>
      </c>
      <c r="C1540" s="8" t="s">
        <v>27</v>
      </c>
      <c r="D1540" s="8" t="s">
        <v>28</v>
      </c>
      <c r="E1540" s="8" t="s">
        <v>19</v>
      </c>
      <c r="F1540" s="8" t="s">
        <v>20</v>
      </c>
      <c r="G1540" s="8" t="s">
        <v>21</v>
      </c>
      <c r="H1540" s="9"/>
      <c r="I1540" s="9"/>
      <c r="J1540" s="10">
        <f t="shared" ref="J1540:M1540" si="952">ifs(OR($H1540="R",$I1540="N"),"N/A",OR(C1540="A",C1540="B",C1540="C",C1540="U"),3,TRUE,"FLAG")</f>
        <v>3</v>
      </c>
      <c r="K1540" s="10">
        <f t="shared" si="952"/>
        <v>3</v>
      </c>
      <c r="L1540" s="10">
        <f t="shared" si="952"/>
        <v>3</v>
      </c>
      <c r="M1540" s="10" t="str">
        <f t="shared" si="952"/>
        <v>FLAG</v>
      </c>
      <c r="N1540" s="10" t="str">
        <f t="shared" si="2"/>
        <v>8-1327(c)(3) - Identification Cards; Lend ID/DL or other ID to aid another in obtaining ID; 2nd conviction</v>
      </c>
      <c r="O1540" s="10" t="str">
        <f t="shared" si="3"/>
        <v>Identification Cards</v>
      </c>
    </row>
    <row r="1541">
      <c r="A1541" s="7" t="s">
        <v>2817</v>
      </c>
      <c r="B1541" s="8" t="s">
        <v>2818</v>
      </c>
      <c r="C1541" s="8" t="s">
        <v>27</v>
      </c>
      <c r="D1541" s="8" t="s">
        <v>28</v>
      </c>
      <c r="E1541" s="8" t="s">
        <v>19</v>
      </c>
      <c r="F1541" s="8" t="s">
        <v>20</v>
      </c>
      <c r="G1541" s="8" t="s">
        <v>21</v>
      </c>
      <c r="H1541" s="9"/>
      <c r="I1541" s="9"/>
      <c r="J1541" s="10">
        <f t="shared" ref="J1541:M1541" si="953">ifs(OR($H1541="R",$I1541="N"),"N/A",OR(C1541="A",C1541="B",C1541="C",C1541="U"),3,TRUE,"FLAG")</f>
        <v>3</v>
      </c>
      <c r="K1541" s="10">
        <f t="shared" si="953"/>
        <v>3</v>
      </c>
      <c r="L1541" s="10">
        <f t="shared" si="953"/>
        <v>3</v>
      </c>
      <c r="M1541" s="10" t="str">
        <f t="shared" si="953"/>
        <v>FLAG</v>
      </c>
      <c r="N1541" s="10" t="str">
        <f t="shared" si="2"/>
        <v>8-1327(a)(4) - Identification Cards; Permit unlawful use of ID card</v>
      </c>
      <c r="O1541" s="10" t="str">
        <f t="shared" si="3"/>
        <v>Identification Cards</v>
      </c>
    </row>
    <row r="1542">
      <c r="A1542" s="7" t="s">
        <v>2819</v>
      </c>
      <c r="B1542" s="8" t="s">
        <v>2820</v>
      </c>
      <c r="C1542" s="8" t="s">
        <v>27</v>
      </c>
      <c r="D1542" s="8" t="s">
        <v>28</v>
      </c>
      <c r="E1542" s="8" t="s">
        <v>19</v>
      </c>
      <c r="F1542" s="8" t="s">
        <v>20</v>
      </c>
      <c r="G1542" s="8" t="s">
        <v>21</v>
      </c>
      <c r="H1542" s="9"/>
      <c r="I1542" s="9"/>
      <c r="J1542" s="10">
        <f t="shared" ref="J1542:M1542" si="954">ifs(OR($H1542="R",$I1542="N"),"N/A",OR(C1542="A",C1542="B",C1542="C",C1542="U"),3,TRUE,"FLAG")</f>
        <v>3</v>
      </c>
      <c r="K1542" s="10">
        <f t="shared" si="954"/>
        <v>3</v>
      </c>
      <c r="L1542" s="10">
        <f t="shared" si="954"/>
        <v>3</v>
      </c>
      <c r="M1542" s="10" t="str">
        <f t="shared" si="954"/>
        <v>FLAG</v>
      </c>
      <c r="N1542" s="10" t="str">
        <f t="shared" si="2"/>
        <v>8-1327(a)(7) - Identification Cards; Reproduce ID card to be mistaken for valid</v>
      </c>
      <c r="O1542" s="10" t="str">
        <f t="shared" si="3"/>
        <v>Identification Cards</v>
      </c>
    </row>
    <row r="1543">
      <c r="A1543" s="7" t="s">
        <v>2821</v>
      </c>
      <c r="B1543" s="8" t="s">
        <v>2822</v>
      </c>
      <c r="C1543" s="8">
        <v>8.0</v>
      </c>
      <c r="D1543" s="8">
        <v>10.0</v>
      </c>
      <c r="E1543" s="8">
        <v>10.0</v>
      </c>
      <c r="F1543" s="8">
        <v>10.0</v>
      </c>
      <c r="G1543" s="8" t="s">
        <v>21</v>
      </c>
      <c r="H1543" s="9"/>
      <c r="I1543" s="9"/>
      <c r="N1543" s="10" t="str">
        <f t="shared" si="2"/>
        <v>21-6107(b)(2) - Identity Fraud; Altering, amending, counterfeiting, making, manufacturing or otherwise replicating any document containing personal identifying information with intent to deceive</v>
      </c>
      <c r="O1543" s="10" t="str">
        <f t="shared" si="3"/>
        <v>Identity Fraud</v>
      </c>
    </row>
    <row r="1544">
      <c r="A1544" s="7" t="s">
        <v>2823</v>
      </c>
      <c r="B1544" s="8" t="s">
        <v>2824</v>
      </c>
      <c r="C1544" s="8">
        <v>8.0</v>
      </c>
      <c r="D1544" s="8">
        <v>10.0</v>
      </c>
      <c r="E1544" s="8">
        <v>10.0</v>
      </c>
      <c r="F1544" s="8">
        <v>10.0</v>
      </c>
      <c r="G1544" s="8" t="s">
        <v>21</v>
      </c>
      <c r="H1544" s="9"/>
      <c r="I1544" s="9"/>
      <c r="N1544" s="10" t="str">
        <f t="shared" si="2"/>
        <v>21-6107(b)(1) - Identity Fraud; Using or supplying information the person knows to be false in order to obtain a document containing personal identifying information</v>
      </c>
      <c r="O1544" s="10" t="str">
        <f t="shared" si="3"/>
        <v>Identity Fraud</v>
      </c>
    </row>
    <row r="1545">
      <c r="A1545" s="7" t="s">
        <v>2825</v>
      </c>
      <c r="B1545" s="8" t="s">
        <v>2826</v>
      </c>
      <c r="C1545" s="8">
        <v>8.0</v>
      </c>
      <c r="D1545" s="8">
        <v>10.0</v>
      </c>
      <c r="E1545" s="8">
        <v>10.0</v>
      </c>
      <c r="F1545" s="8">
        <v>10.0</v>
      </c>
      <c r="G1545" s="8" t="s">
        <v>21</v>
      </c>
      <c r="H1545" s="9"/>
      <c r="I1545" s="9"/>
      <c r="N1545" s="10" t="str">
        <f t="shared" si="2"/>
        <v>21-6107(a)(2) - Identity Theft; Misrepresenting a person to subject that person to economic or bodily harm; monetary loss to victim less than $100,000</v>
      </c>
      <c r="O1545" s="10" t="str">
        <f t="shared" si="3"/>
        <v>Identity Theft</v>
      </c>
    </row>
    <row r="1546">
      <c r="A1546" s="7" t="s">
        <v>2827</v>
      </c>
      <c r="B1546" s="8" t="s">
        <v>2826</v>
      </c>
      <c r="C1546" s="8">
        <v>5.0</v>
      </c>
      <c r="D1546" s="8">
        <v>7.0</v>
      </c>
      <c r="E1546" s="8">
        <v>7.0</v>
      </c>
      <c r="F1546" s="8">
        <v>8.0</v>
      </c>
      <c r="G1546" s="8" t="s">
        <v>21</v>
      </c>
      <c r="H1546" s="9"/>
      <c r="I1546" s="9"/>
      <c r="N1546" s="10" t="str">
        <f t="shared" si="2"/>
        <v>21-6107(a)(2) - Identity Theft; Misrepresenting a person to subject that person to economic or bodily harm; monetary loss to victim more than $100,000</v>
      </c>
      <c r="O1546" s="10" t="str">
        <f t="shared" si="3"/>
        <v>Identity Theft</v>
      </c>
    </row>
    <row r="1547">
      <c r="A1547" s="7" t="s">
        <v>2828</v>
      </c>
      <c r="B1547" s="8" t="s">
        <v>2829</v>
      </c>
      <c r="C1547" s="8">
        <v>8.0</v>
      </c>
      <c r="D1547" s="8">
        <v>10.0</v>
      </c>
      <c r="E1547" s="8">
        <v>10.0</v>
      </c>
      <c r="F1547" s="8">
        <v>10.0</v>
      </c>
      <c r="G1547" s="8" t="s">
        <v>21</v>
      </c>
      <c r="H1547" s="9"/>
      <c r="I1547" s="9"/>
      <c r="N1547" s="10" t="str">
        <f t="shared" si="2"/>
        <v>21-6107(a)(1) - Identity Theft; Obtaining, possessing, transferring, using, selling or purchasing personal identifying information, with intent to defraud, to receive a benefit; monetary loss $100,000 or less</v>
      </c>
      <c r="O1547" s="10" t="str">
        <f t="shared" si="3"/>
        <v>Identity Theft</v>
      </c>
    </row>
    <row r="1548">
      <c r="A1548" s="7" t="s">
        <v>2830</v>
      </c>
      <c r="B1548" s="8" t="s">
        <v>2829</v>
      </c>
      <c r="C1548" s="8">
        <v>5.0</v>
      </c>
      <c r="D1548" s="8">
        <v>7.0</v>
      </c>
      <c r="E1548" s="8">
        <v>7.0</v>
      </c>
      <c r="F1548" s="8">
        <v>8.0</v>
      </c>
      <c r="G1548" s="8" t="s">
        <v>21</v>
      </c>
      <c r="H1548" s="9"/>
      <c r="I1548" s="9"/>
      <c r="N1548" s="10" t="str">
        <f t="shared" si="2"/>
        <v>21-6107(a)(1) - Identity Theft; Obtaining, possessing, transferring, using, selling or purchasing personal identifying information, with intent to defraud, to receive a benefit; monetary loss more than $100,000</v>
      </c>
      <c r="O1548" s="10" t="str">
        <f t="shared" si="3"/>
        <v>Identity Theft</v>
      </c>
    </row>
    <row r="1549">
      <c r="A1549" s="7" t="s">
        <v>2831</v>
      </c>
      <c r="B1549" s="8" t="s">
        <v>2832</v>
      </c>
      <c r="C1549" s="8" t="s">
        <v>27</v>
      </c>
      <c r="D1549" s="8" t="s">
        <v>28</v>
      </c>
      <c r="E1549" s="8" t="s">
        <v>19</v>
      </c>
      <c r="F1549" s="8" t="s">
        <v>20</v>
      </c>
      <c r="G1549" s="8" t="s">
        <v>21</v>
      </c>
      <c r="H1549" s="9"/>
      <c r="I1549" s="9"/>
      <c r="J1549" s="10">
        <f t="shared" ref="J1549:M1549" si="955">ifs(OR($H1549="R",$I1549="N"),"N/A",OR(C1549="A",C1549="B",C1549="C",C1549="U"),3,TRUE,"FLAG")</f>
        <v>3</v>
      </c>
      <c r="K1549" s="10">
        <f t="shared" si="955"/>
        <v>3</v>
      </c>
      <c r="L1549" s="10">
        <f t="shared" si="955"/>
        <v>3</v>
      </c>
      <c r="M1549" s="10" t="str">
        <f t="shared" si="955"/>
        <v>FLAG</v>
      </c>
      <c r="N1549" s="10" t="str">
        <f t="shared" si="2"/>
        <v>21-6405(a) - Illegal BINGO operation; Knowing and unlawful management, operation or conduct of such</v>
      </c>
      <c r="O1549" s="10" t="str">
        <f t="shared" si="3"/>
        <v>Illegal BINGO operation</v>
      </c>
    </row>
    <row r="1550">
      <c r="A1550" s="7" t="s">
        <v>2833</v>
      </c>
      <c r="B1550" s="8" t="s">
        <v>2834</v>
      </c>
      <c r="C1550" s="8" t="s">
        <v>28</v>
      </c>
      <c r="D1550" s="8" t="s">
        <v>19</v>
      </c>
      <c r="E1550" s="8" t="s">
        <v>19</v>
      </c>
      <c r="F1550" s="8" t="s">
        <v>20</v>
      </c>
      <c r="G1550" s="8" t="s">
        <v>21</v>
      </c>
      <c r="H1550" s="9"/>
      <c r="I1550" s="9"/>
      <c r="J1550" s="10">
        <f t="shared" ref="J1550:M1550" si="956">ifs(OR($H1550="R",$I1550="N"),"N/A",OR(C1550="A",C1550="B",C1550="C",C1550="U"),3,TRUE,"FLAG")</f>
        <v>3</v>
      </c>
      <c r="K1550" s="10">
        <f t="shared" si="956"/>
        <v>3</v>
      </c>
      <c r="L1550" s="10">
        <f t="shared" si="956"/>
        <v>3</v>
      </c>
      <c r="M1550" s="10" t="str">
        <f t="shared" si="956"/>
        <v>FLAG</v>
      </c>
      <c r="N1550" s="10" t="str">
        <f t="shared" si="2"/>
        <v>21-6415(a) - Illegal Ownership or Keeping of a Dog</v>
      </c>
      <c r="O1550" s="10" t="str">
        <f t="shared" si="3"/>
        <v>Illegal Ownership or Keeping of a Dog</v>
      </c>
    </row>
    <row r="1551">
      <c r="A1551" s="7" t="s">
        <v>2835</v>
      </c>
      <c r="B1551" s="8" t="s">
        <v>2836</v>
      </c>
      <c r="C1551" s="8" t="s">
        <v>178</v>
      </c>
      <c r="D1551" s="8" t="s">
        <v>179</v>
      </c>
      <c r="E1551" s="8" t="s">
        <v>179</v>
      </c>
      <c r="F1551" s="8" t="s">
        <v>179</v>
      </c>
      <c r="G1551" s="8" t="s">
        <v>24</v>
      </c>
      <c r="H1551" s="9"/>
      <c r="I1551" s="9"/>
      <c r="N1551" s="10" t="str">
        <f t="shared" si="2"/>
        <v>21-5422(a)(1)(A) - Illegal Use of Weapons of Mass Destruction; Knowingly and without lawful authority, develop, produce, stockpile, transfer, acquire, retain or possess any biological agent toxin or delivery system for use as a weapon, or attempt, conspire or solicit to commit such acts</v>
      </c>
      <c r="O1551" s="10" t="str">
        <f t="shared" si="3"/>
        <v>Illegal Use of Weapons of Mass Destruction</v>
      </c>
    </row>
    <row r="1552">
      <c r="A1552" s="7" t="s">
        <v>2837</v>
      </c>
      <c r="B1552" s="8" t="s">
        <v>2838</v>
      </c>
      <c r="C1552" s="8" t="s">
        <v>178</v>
      </c>
      <c r="D1552" s="8" t="s">
        <v>179</v>
      </c>
      <c r="E1552" s="8" t="s">
        <v>179</v>
      </c>
      <c r="F1552" s="8" t="s">
        <v>179</v>
      </c>
      <c r="G1552" s="8" t="s">
        <v>24</v>
      </c>
      <c r="H1552" s="9"/>
      <c r="I1552" s="9"/>
      <c r="N1552" s="10" t="str">
        <f t="shared" si="2"/>
        <v>21-5422(a)(1)(B) - Illegal Use of Weapons of Mass Destruction; Knowingly and without lawful authority, develop, produce, stockpile, transfer, acquire, retain or possess any chemical weapon, or attempt, conspire or solicit to commit such acts</v>
      </c>
      <c r="O1552" s="10" t="str">
        <f t="shared" si="3"/>
        <v>Illegal Use of Weapons of Mass Destruction</v>
      </c>
    </row>
    <row r="1553">
      <c r="A1553" s="7" t="s">
        <v>2839</v>
      </c>
      <c r="B1553" s="8" t="s">
        <v>2840</v>
      </c>
      <c r="C1553" s="8" t="s">
        <v>178</v>
      </c>
      <c r="D1553" s="8" t="s">
        <v>179</v>
      </c>
      <c r="E1553" s="8" t="s">
        <v>179</v>
      </c>
      <c r="F1553" s="8" t="s">
        <v>179</v>
      </c>
      <c r="G1553" s="8" t="s">
        <v>24</v>
      </c>
      <c r="H1553" s="9"/>
      <c r="I1553" s="9"/>
      <c r="N1553" s="10" t="str">
        <f t="shared" si="2"/>
        <v>21-5422(a)(1)(C) - Illegal Use of Weapons of Mass Destruction; Knowingly and without lawful authority, develop, produce, stockpile, transfer, acquire, retain or possess any nuclear materials or nuclear byproduct materials for use as a weapon, or attempt, conspire or solicit to commit such acts</v>
      </c>
      <c r="O1553" s="10" t="str">
        <f t="shared" si="3"/>
        <v>Illegal Use of Weapons of Mass Destruction</v>
      </c>
    </row>
    <row r="1554">
      <c r="A1554" s="7" t="s">
        <v>2841</v>
      </c>
      <c r="B1554" s="8" t="s">
        <v>2842</v>
      </c>
      <c r="C1554" s="8" t="s">
        <v>178</v>
      </c>
      <c r="D1554" s="8" t="s">
        <v>179</v>
      </c>
      <c r="E1554" s="8" t="s">
        <v>179</v>
      </c>
      <c r="F1554" s="8" t="s">
        <v>179</v>
      </c>
      <c r="G1554" s="8" t="s">
        <v>24</v>
      </c>
      <c r="H1554" s="9"/>
      <c r="I1554" s="9"/>
      <c r="N1554" s="10" t="str">
        <f t="shared" si="2"/>
        <v>21-5422(a)(2) - Illegal Use of Weapons of Mass Destruction; Knowingly assist a foreign state or organization to use WMDs, or attempt, conspire or solicit to commit such acts</v>
      </c>
      <c r="O1554" s="10" t="str">
        <f t="shared" si="3"/>
        <v>Illegal Use of Weapons of Mass Destruction</v>
      </c>
    </row>
    <row r="1555">
      <c r="A1555" s="7" t="s">
        <v>2843</v>
      </c>
      <c r="B1555" s="8" t="s">
        <v>2844</v>
      </c>
      <c r="C1555" s="8" t="s">
        <v>178</v>
      </c>
      <c r="D1555" s="8" t="s">
        <v>179</v>
      </c>
      <c r="E1555" s="8" t="s">
        <v>179</v>
      </c>
      <c r="F1555" s="8" t="s">
        <v>179</v>
      </c>
      <c r="G1555" s="8" t="s">
        <v>24</v>
      </c>
      <c r="H1555" s="9"/>
      <c r="I1555" s="9"/>
      <c r="N1555" s="10" t="str">
        <f t="shared" si="2"/>
        <v>21-5422(a)(3) - Illegal Use of Weapons of Mass Destruction; Threaten to use WMDs, or attempt, conspire or solicit to commit such act</v>
      </c>
      <c r="O1555" s="10" t="str">
        <f t="shared" si="3"/>
        <v>Illegal Use of Weapons of Mass Destruction</v>
      </c>
    </row>
    <row r="1556">
      <c r="A1556" s="7" t="s">
        <v>2845</v>
      </c>
      <c r="B1556" s="8" t="s">
        <v>2846</v>
      </c>
      <c r="C1556" s="8">
        <v>7.0</v>
      </c>
      <c r="D1556" s="8">
        <v>9.0</v>
      </c>
      <c r="E1556" s="8">
        <v>9.0</v>
      </c>
      <c r="F1556" s="8">
        <v>10.0</v>
      </c>
      <c r="G1556" s="8" t="s">
        <v>21</v>
      </c>
      <c r="H1556" s="9"/>
      <c r="I1556" s="9"/>
      <c r="N1556" s="10" t="str">
        <f t="shared" si="2"/>
        <v>21-5830(a)(1) - Impairing a Security Interest; With intent to defraud secured party; Damage, destroy or conceal any personal property subject to a security interest; $25,000 or more</v>
      </c>
      <c r="O1556" s="10" t="str">
        <f t="shared" si="3"/>
        <v>Impairing a Security Interest</v>
      </c>
    </row>
    <row r="1557">
      <c r="A1557" s="7" t="s">
        <v>2847</v>
      </c>
      <c r="B1557" s="8" t="s">
        <v>2846</v>
      </c>
      <c r="C1557" s="8">
        <v>9.0</v>
      </c>
      <c r="D1557" s="8">
        <v>10.0</v>
      </c>
      <c r="E1557" s="8">
        <v>10.0</v>
      </c>
      <c r="F1557" s="8">
        <v>10.0</v>
      </c>
      <c r="G1557" s="8" t="s">
        <v>21</v>
      </c>
      <c r="H1557" s="9"/>
      <c r="I1557" s="9"/>
      <c r="N1557" s="10" t="str">
        <f t="shared" si="2"/>
        <v>21-5830(a)(1) - Impairing a Security Interest; With intent to defraud secured party; Damage, destroy or conceal any personal property subject to a security interest; at least $1000 but less than $25, 000</v>
      </c>
      <c r="O1557" s="10" t="str">
        <f t="shared" si="3"/>
        <v>Impairing a Security Interest</v>
      </c>
    </row>
    <row r="1558">
      <c r="A1558" s="7" t="s">
        <v>2848</v>
      </c>
      <c r="B1558" s="8" t="s">
        <v>2849</v>
      </c>
      <c r="C1558" s="8">
        <v>7.0</v>
      </c>
      <c r="D1558" s="8">
        <v>9.0</v>
      </c>
      <c r="E1558" s="8">
        <v>9.0</v>
      </c>
      <c r="F1558" s="8">
        <v>10.0</v>
      </c>
      <c r="G1558" s="8" t="s">
        <v>21</v>
      </c>
      <c r="H1558" s="9"/>
      <c r="I1558" s="9"/>
      <c r="N1558" s="10" t="str">
        <f t="shared" si="2"/>
        <v>21-5830(a)(3) - Impairing a Security Interest; With intent to defraud secured party; Fail to account for the proceeds of the sale, exchange or other disposition of any personal property subject to a security interest; $25,000 or more</v>
      </c>
      <c r="O1558" s="10" t="str">
        <f t="shared" si="3"/>
        <v>Impairing a Security Interest</v>
      </c>
    </row>
    <row r="1559">
      <c r="A1559" s="7" t="s">
        <v>2850</v>
      </c>
      <c r="B1559" s="8" t="s">
        <v>2849</v>
      </c>
      <c r="C1559" s="8">
        <v>9.0</v>
      </c>
      <c r="D1559" s="8">
        <v>10.0</v>
      </c>
      <c r="E1559" s="8">
        <v>10.0</v>
      </c>
      <c r="F1559" s="8">
        <v>10.0</v>
      </c>
      <c r="G1559" s="8" t="s">
        <v>21</v>
      </c>
      <c r="H1559" s="9"/>
      <c r="I1559" s="9"/>
      <c r="N1559" s="10" t="str">
        <f t="shared" si="2"/>
        <v>21-5830(a)(3) - Impairing a Security Interest; With intent to defraud secured party; Fail to account for the proceeds of the sale, exchange or other disposition of any personal property subject to a security interest; at least $1,000 but less than $25,000</v>
      </c>
      <c r="O1559" s="10" t="str">
        <f t="shared" si="3"/>
        <v>Impairing a Security Interest</v>
      </c>
    </row>
    <row r="1560">
      <c r="A1560" s="7" t="s">
        <v>2851</v>
      </c>
      <c r="B1560" s="8" t="s">
        <v>2852</v>
      </c>
      <c r="C1560" s="8">
        <v>7.0</v>
      </c>
      <c r="D1560" s="8">
        <v>9.0</v>
      </c>
      <c r="E1560" s="8">
        <v>9.0</v>
      </c>
      <c r="F1560" s="8">
        <v>10.0</v>
      </c>
      <c r="G1560" s="8" t="s">
        <v>21</v>
      </c>
      <c r="H1560" s="9"/>
      <c r="I1560" s="9"/>
      <c r="N1560" s="10" t="str">
        <f t="shared" si="2"/>
        <v>21-5830(a)(2) - Impairing a Security Interest; With intent to defraud secured party; Sell, exchange or otherwise dispose of any personal property subject to a security interest without consent of secured party; $25,000 or more</v>
      </c>
      <c r="O1560" s="10" t="str">
        <f t="shared" si="3"/>
        <v>Impairing a Security Interest</v>
      </c>
    </row>
    <row r="1561">
      <c r="A1561" s="7" t="s">
        <v>2853</v>
      </c>
      <c r="B1561" s="8" t="s">
        <v>2852</v>
      </c>
      <c r="C1561" s="8">
        <v>9.0</v>
      </c>
      <c r="D1561" s="8">
        <v>10.0</v>
      </c>
      <c r="E1561" s="8">
        <v>10.0</v>
      </c>
      <c r="F1561" s="8">
        <v>10.0</v>
      </c>
      <c r="G1561" s="8" t="s">
        <v>21</v>
      </c>
      <c r="H1561" s="9"/>
      <c r="I1561" s="9"/>
      <c r="N1561" s="10" t="str">
        <f t="shared" si="2"/>
        <v>21-5830(a)(2) - Impairing a Security Interest; With intent to defraud secured party; Sell, exchange or otherwise dispose of any personal property subject to a security interest without consent of secured party; at least $1,000 but less than $25,000</v>
      </c>
      <c r="O1561" s="10" t="str">
        <f t="shared" si="3"/>
        <v>Impairing a Security Interest</v>
      </c>
    </row>
    <row r="1562">
      <c r="A1562" s="7" t="s">
        <v>2854</v>
      </c>
      <c r="B1562" s="8" t="s">
        <v>2846</v>
      </c>
      <c r="C1562" s="8" t="s">
        <v>27</v>
      </c>
      <c r="D1562" s="8" t="s">
        <v>28</v>
      </c>
      <c r="E1562" s="8" t="s">
        <v>19</v>
      </c>
      <c r="F1562" s="8" t="s">
        <v>20</v>
      </c>
      <c r="G1562" s="8" t="s">
        <v>21</v>
      </c>
      <c r="H1562" s="9"/>
      <c r="I1562" s="9"/>
      <c r="J1562" s="10">
        <f t="shared" ref="J1562:M1562" si="957">ifs(OR($H1562="R",$I1562="N"),"N/A",OR(C1562="A",C1562="B",C1562="C",C1562="U"),3,TRUE,"FLAG")</f>
        <v>3</v>
      </c>
      <c r="K1562" s="10">
        <f t="shared" si="957"/>
        <v>3</v>
      </c>
      <c r="L1562" s="10">
        <f t="shared" si="957"/>
        <v>3</v>
      </c>
      <c r="M1562" s="10" t="str">
        <f t="shared" si="957"/>
        <v>FLAG</v>
      </c>
      <c r="N1562" s="10" t="str">
        <f t="shared" si="2"/>
        <v>21-5830(a)(1) - Impairing a Security Interest; With intent to defraud the secured party; Damaging, destroying or concealing any personal property subject to a security interest; value less than $1,000 or security interest less than $1000</v>
      </c>
      <c r="O1562" s="10" t="str">
        <f t="shared" si="3"/>
        <v>Impairing a Security Interest</v>
      </c>
    </row>
    <row r="1563">
      <c r="A1563" s="7" t="s">
        <v>2855</v>
      </c>
      <c r="B1563" s="8" t="s">
        <v>2849</v>
      </c>
      <c r="C1563" s="8" t="s">
        <v>27</v>
      </c>
      <c r="D1563" s="8" t="s">
        <v>28</v>
      </c>
      <c r="E1563" s="8" t="s">
        <v>19</v>
      </c>
      <c r="F1563" s="8" t="s">
        <v>20</v>
      </c>
      <c r="G1563" s="8" t="s">
        <v>21</v>
      </c>
      <c r="H1563" s="9"/>
      <c r="I1563" s="9"/>
      <c r="J1563" s="10">
        <f t="shared" ref="J1563:M1563" si="958">ifs(OR($H1563="R",$I1563="N"),"N/A",OR(C1563="A",C1563="B",C1563="C",C1563="U"),3,TRUE,"FLAG")</f>
        <v>3</v>
      </c>
      <c r="K1563" s="10">
        <f t="shared" si="958"/>
        <v>3</v>
      </c>
      <c r="L1563" s="10">
        <f t="shared" si="958"/>
        <v>3</v>
      </c>
      <c r="M1563" s="10" t="str">
        <f t="shared" si="958"/>
        <v>FLAG</v>
      </c>
      <c r="N1563" s="10" t="str">
        <f t="shared" si="2"/>
        <v>21-5830(a)(3) - Impairing a Security Interest; With intent to defraud the secured party; Failure to account to the secured party for the proceeds of the sale, exchange or other disposition of any personal property subject to a security interest; value less than $1,000 or security interest less than $1,000</v>
      </c>
      <c r="O1563" s="10" t="str">
        <f t="shared" si="3"/>
        <v>Impairing a Security Interest</v>
      </c>
    </row>
    <row r="1564">
      <c r="A1564" s="7" t="s">
        <v>2856</v>
      </c>
      <c r="B1564" s="8" t="s">
        <v>2852</v>
      </c>
      <c r="C1564" s="8" t="s">
        <v>27</v>
      </c>
      <c r="D1564" s="8" t="s">
        <v>28</v>
      </c>
      <c r="E1564" s="8" t="s">
        <v>19</v>
      </c>
      <c r="F1564" s="8" t="s">
        <v>20</v>
      </c>
      <c r="G1564" s="8" t="s">
        <v>21</v>
      </c>
      <c r="H1564" s="9"/>
      <c r="I1564" s="9"/>
      <c r="J1564" s="10">
        <f t="shared" ref="J1564:M1564" si="959">ifs(OR($H1564="R",$I1564="N"),"N/A",OR(C1564="A",C1564="B",C1564="C",C1564="U"),3,TRUE,"FLAG")</f>
        <v>3</v>
      </c>
      <c r="K1564" s="10">
        <f t="shared" si="959"/>
        <v>3</v>
      </c>
      <c r="L1564" s="10">
        <f t="shared" si="959"/>
        <v>3</v>
      </c>
      <c r="M1564" s="10" t="str">
        <f t="shared" si="959"/>
        <v>FLAG</v>
      </c>
      <c r="N1564" s="10" t="str">
        <f t="shared" si="2"/>
        <v>21-5830(a)(2) - Impairing a Security Interest; With intent to defraud the secured party; Unauthorized selling, exchanging or otherwise disposing of any personal property subject to a security interest without the written consent of the secured party; value less than $1,000 or security interest less than $1,000</v>
      </c>
      <c r="O1564" s="10" t="str">
        <f t="shared" si="3"/>
        <v>Impairing a Security Interest</v>
      </c>
    </row>
    <row r="1565">
      <c r="A1565" s="7" t="s">
        <v>2857</v>
      </c>
      <c r="B1565" s="8" t="s">
        <v>2858</v>
      </c>
      <c r="C1565" s="8">
        <v>10.0</v>
      </c>
      <c r="D1565" s="8">
        <v>10.0</v>
      </c>
      <c r="E1565" s="8">
        <v>10.0</v>
      </c>
      <c r="F1565" s="8">
        <v>10.0</v>
      </c>
      <c r="G1565" s="8" t="s">
        <v>24</v>
      </c>
      <c r="H1565" s="9"/>
      <c r="I1565" s="9"/>
      <c r="N1565" s="10" t="str">
        <f t="shared" si="2"/>
        <v>21-5604(a) - Incest; Marriage to or engaging in sexual intercourse or sodomy with a person who is 18 or more and a known biological relative</v>
      </c>
      <c r="O1565" s="10" t="str">
        <f t="shared" si="3"/>
        <v>Incest</v>
      </c>
    </row>
    <row r="1566">
      <c r="A1566" s="7" t="s">
        <v>2859</v>
      </c>
      <c r="B1566" s="8" t="s">
        <v>2860</v>
      </c>
      <c r="C1566" s="8">
        <v>8.0</v>
      </c>
      <c r="D1566" s="8">
        <v>10.0</v>
      </c>
      <c r="E1566" s="8">
        <v>10.0</v>
      </c>
      <c r="F1566" s="8">
        <v>10.0</v>
      </c>
      <c r="G1566" s="8" t="s">
        <v>24</v>
      </c>
      <c r="H1566" s="9"/>
      <c r="I1566" s="9"/>
      <c r="N1566" s="10" t="str">
        <f t="shared" si="2"/>
        <v>21-6201(b) - Incitement to Riot</v>
      </c>
      <c r="O1566" s="10" t="str">
        <f t="shared" si="3"/>
        <v>Incitement to Riot</v>
      </c>
    </row>
    <row r="1567">
      <c r="A1567" s="7" t="s">
        <v>2861</v>
      </c>
      <c r="B1567" s="8" t="s">
        <v>2862</v>
      </c>
      <c r="C1567" s="8" t="s">
        <v>27</v>
      </c>
      <c r="D1567" s="8" t="s">
        <v>28</v>
      </c>
      <c r="E1567" s="8" t="s">
        <v>19</v>
      </c>
      <c r="F1567" s="8" t="s">
        <v>20</v>
      </c>
      <c r="G1567" s="8" t="s">
        <v>21</v>
      </c>
      <c r="H1567" s="9"/>
      <c r="I1567" s="9"/>
      <c r="J1567" s="10">
        <f t="shared" ref="J1567:M1567" si="960">ifs(OR($H1567="R",$I1567="N"),"N/A",OR(C1567="A",C1567="B",C1567="C",C1567="U"),3,TRUE,"FLAG")</f>
        <v>3</v>
      </c>
      <c r="K1567" s="10">
        <f t="shared" si="960"/>
        <v>3</v>
      </c>
      <c r="L1567" s="10">
        <f t="shared" si="960"/>
        <v>3</v>
      </c>
      <c r="M1567" s="10" t="str">
        <f t="shared" si="960"/>
        <v>FLAG</v>
      </c>
      <c r="N1567" s="10" t="str">
        <f t="shared" si="2"/>
        <v>21-6104(a) - Income Tax Returns; Unauthorized disclosure or use of information for commercial purposes</v>
      </c>
      <c r="O1567" s="10" t="str">
        <f t="shared" si="3"/>
        <v>Income Tax Returns</v>
      </c>
    </row>
    <row r="1568">
      <c r="A1568" s="7" t="s">
        <v>2863</v>
      </c>
      <c r="B1568" s="8" t="s">
        <v>2864</v>
      </c>
      <c r="C1568" s="8">
        <v>5.0</v>
      </c>
      <c r="D1568" s="8">
        <v>7.0</v>
      </c>
      <c r="E1568" s="8">
        <v>7.0</v>
      </c>
      <c r="F1568" s="8">
        <v>8.0</v>
      </c>
      <c r="G1568" s="8" t="s">
        <v>24</v>
      </c>
      <c r="H1568" s="8" t="s">
        <v>109</v>
      </c>
      <c r="I1568" s="8" t="s">
        <v>54</v>
      </c>
      <c r="N1568" s="10" t="str">
        <f t="shared" si="2"/>
        <v>21-5506(a)(1) - Indecent Liberties with a Child; Lewd fondling/touching; child 14 or more but less than 16</v>
      </c>
      <c r="O1568" s="10" t="str">
        <f t="shared" si="3"/>
        <v>Indecent Liberties with a Child</v>
      </c>
    </row>
    <row r="1569">
      <c r="A1569" s="7" t="s">
        <v>2865</v>
      </c>
      <c r="B1569" s="8" t="s">
        <v>2866</v>
      </c>
      <c r="C1569" s="8">
        <v>5.0</v>
      </c>
      <c r="D1569" s="8">
        <v>7.0</v>
      </c>
      <c r="E1569" s="8">
        <v>7.0</v>
      </c>
      <c r="F1569" s="8">
        <v>8.0</v>
      </c>
      <c r="G1569" s="8" t="s">
        <v>24</v>
      </c>
      <c r="H1569" s="8" t="s">
        <v>109</v>
      </c>
      <c r="I1569" s="8" t="s">
        <v>54</v>
      </c>
      <c r="N1569" s="10" t="str">
        <f t="shared" si="2"/>
        <v>21-5506(a)(2) - Indecent Liberties with a Child; Soliciting the child to engage in any lewd fondling/touching; child 14 or more but less than 16</v>
      </c>
      <c r="O1569" s="10" t="str">
        <f t="shared" si="3"/>
        <v>Indecent Liberties with a Child</v>
      </c>
    </row>
    <row r="1570">
      <c r="A1570" s="7" t="s">
        <v>2867</v>
      </c>
      <c r="B1570" s="8" t="s">
        <v>2868</v>
      </c>
      <c r="C1570" s="8">
        <v>6.0</v>
      </c>
      <c r="D1570" s="8">
        <v>8.0</v>
      </c>
      <c r="E1570" s="8">
        <v>8.0</v>
      </c>
      <c r="F1570" s="8">
        <v>9.0</v>
      </c>
      <c r="G1570" s="8" t="s">
        <v>24</v>
      </c>
      <c r="H1570" s="8" t="s">
        <v>109</v>
      </c>
      <c r="I1570" s="8" t="s">
        <v>54</v>
      </c>
      <c r="N1570" s="10" t="str">
        <f t="shared" si="2"/>
        <v>21-5508(a)(1) - Indecent Solicitation of Child; Commit or submit to unlawful sexual act; child 14 or more but less than 16</v>
      </c>
      <c r="O1570" s="10" t="str">
        <f t="shared" si="3"/>
        <v>Indecent Solicitation of Child</v>
      </c>
    </row>
    <row r="1571">
      <c r="A1571" s="7" t="s">
        <v>2869</v>
      </c>
      <c r="B1571" s="8" t="s">
        <v>2870</v>
      </c>
      <c r="C1571" s="8">
        <v>6.0</v>
      </c>
      <c r="D1571" s="8">
        <v>8.0</v>
      </c>
      <c r="E1571" s="8">
        <v>8.0</v>
      </c>
      <c r="F1571" s="8">
        <v>9.0</v>
      </c>
      <c r="G1571" s="8" t="s">
        <v>24</v>
      </c>
      <c r="H1571" s="8" t="s">
        <v>109</v>
      </c>
      <c r="I1571" s="8" t="s">
        <v>54</v>
      </c>
      <c r="N1571" s="10" t="str">
        <f t="shared" si="2"/>
        <v>21-5508(a)(2) - Indecent Solicitation of Child; Inviting to enter secluded place; child 14 or more but less than 16</v>
      </c>
      <c r="O1571" s="10" t="str">
        <f t="shared" si="3"/>
        <v>Indecent Solicitation of Child</v>
      </c>
    </row>
    <row r="1572">
      <c r="A1572" s="7" t="s">
        <v>2871</v>
      </c>
      <c r="B1572" s="8" t="s">
        <v>2872</v>
      </c>
      <c r="C1572" s="8">
        <v>8.0</v>
      </c>
      <c r="D1572" s="8">
        <v>10.0</v>
      </c>
      <c r="E1572" s="8">
        <v>10.0</v>
      </c>
      <c r="F1572" s="8">
        <v>10.0</v>
      </c>
      <c r="G1572" s="8" t="s">
        <v>21</v>
      </c>
      <c r="H1572" s="9"/>
      <c r="I1572" s="9"/>
      <c r="N1572" s="10" t="str">
        <f t="shared" si="2"/>
        <v>21-6409(a)(3) - Installing Communications Facilities for Gamblers; Allowing continued use of communication facilities knowing they are being used principally for transferring information for making or settling bets</v>
      </c>
      <c r="O1572" s="10" t="str">
        <f t="shared" si="3"/>
        <v>Installing Communications Facilities for Gamblers</v>
      </c>
    </row>
    <row r="1573">
      <c r="A1573" s="7" t="s">
        <v>2873</v>
      </c>
      <c r="B1573" s="8" t="s">
        <v>2874</v>
      </c>
      <c r="C1573" s="8">
        <v>8.0</v>
      </c>
      <c r="D1573" s="8">
        <v>10.0</v>
      </c>
      <c r="E1573" s="8">
        <v>10.0</v>
      </c>
      <c r="F1573" s="8">
        <v>10.0</v>
      </c>
      <c r="G1573" s="8" t="s">
        <v>21</v>
      </c>
      <c r="H1573" s="9"/>
      <c r="I1573" s="9"/>
      <c r="N1573" s="10" t="str">
        <f t="shared" si="2"/>
        <v>21-6409(a)(2) - Installing Communications Facilities for Gamblers; Knowing that such facilities will be used principally for transferring information to be used in making or settling bets</v>
      </c>
      <c r="O1573" s="10" t="str">
        <f t="shared" si="3"/>
        <v>Installing Communications Facilities for Gamblers</v>
      </c>
    </row>
    <row r="1574">
      <c r="A1574" s="7" t="s">
        <v>2875</v>
      </c>
      <c r="B1574" s="8" t="s">
        <v>2876</v>
      </c>
      <c r="C1574" s="8">
        <v>8.0</v>
      </c>
      <c r="D1574" s="8">
        <v>10.0</v>
      </c>
      <c r="E1574" s="8">
        <v>10.0</v>
      </c>
      <c r="F1574" s="8">
        <v>10.0</v>
      </c>
      <c r="G1574" s="8" t="s">
        <v>21</v>
      </c>
      <c r="H1574" s="9"/>
      <c r="I1574" s="9"/>
      <c r="N1574" s="10" t="str">
        <f t="shared" si="2"/>
        <v>21-6409(a)(1) - Installing Communications Facilities for Gamblers; Within a place known by installer to be a gambling place</v>
      </c>
      <c r="O1574" s="10" t="str">
        <f t="shared" si="3"/>
        <v>Installing Communications Facilities for Gamblers</v>
      </c>
    </row>
    <row r="1575">
      <c r="A1575" s="7" t="s">
        <v>2877</v>
      </c>
      <c r="B1575" s="8" t="s">
        <v>2878</v>
      </c>
      <c r="C1575" s="8" t="s">
        <v>1185</v>
      </c>
      <c r="D1575" s="9"/>
      <c r="E1575" s="9"/>
      <c r="F1575" s="9"/>
      <c r="G1575" s="8" t="s">
        <v>21</v>
      </c>
      <c r="H1575" s="9"/>
      <c r="I1575" s="9"/>
      <c r="N1575" s="10" t="str">
        <f t="shared" si="2"/>
        <v>40-3311 - Insurance Holding Company Act; Making false statements, reports or filings with intent to deceive the commissioner</v>
      </c>
      <c r="O1575" s="10" t="str">
        <f t="shared" si="3"/>
        <v>Insurance Holding Company Act</v>
      </c>
    </row>
    <row r="1576">
      <c r="A1576" s="7" t="s">
        <v>2879</v>
      </c>
      <c r="B1576" s="8" t="s">
        <v>2878</v>
      </c>
      <c r="C1576" s="8" t="s">
        <v>1185</v>
      </c>
      <c r="D1576" s="9"/>
      <c r="E1576" s="9"/>
      <c r="F1576" s="9"/>
      <c r="G1576" s="8" t="s">
        <v>21</v>
      </c>
      <c r="H1576" s="9"/>
      <c r="I1576" s="9"/>
      <c r="N1576" s="10" t="str">
        <f t="shared" si="2"/>
        <v>40-3311 - Insurance Holding Company Act; Willful violation of the act by a director, officer, employee or agent</v>
      </c>
      <c r="O1576" s="10" t="str">
        <f t="shared" si="3"/>
        <v>Insurance Holding Company Act</v>
      </c>
    </row>
    <row r="1577">
      <c r="A1577" s="7" t="s">
        <v>2880</v>
      </c>
      <c r="B1577" s="8" t="s">
        <v>2881</v>
      </c>
      <c r="C1577" s="8" t="s">
        <v>18</v>
      </c>
      <c r="D1577" s="8" t="s">
        <v>18</v>
      </c>
      <c r="E1577" s="8" t="s">
        <v>19</v>
      </c>
      <c r="F1577" s="8" t="s">
        <v>20</v>
      </c>
      <c r="G1577" s="8" t="s">
        <v>21</v>
      </c>
      <c r="H1577" s="9"/>
      <c r="I1577" s="9"/>
      <c r="J1577" s="10">
        <f t="shared" ref="J1577:M1577" si="961">ifs(OR($H1577="R",$I1577="N"),"N/A",OR(C1577="A",C1577="B",C1577="C",C1577="U"),3,TRUE,"FLAG")</f>
        <v>3</v>
      </c>
      <c r="K1577" s="10">
        <f t="shared" si="961"/>
        <v>3</v>
      </c>
      <c r="L1577" s="10">
        <f t="shared" si="961"/>
        <v>3</v>
      </c>
      <c r="M1577" s="10" t="str">
        <f t="shared" si="961"/>
        <v>FLAG</v>
      </c>
      <c r="N1577" s="10" t="str">
        <f t="shared" si="2"/>
        <v>40-417 - Insurance; Fraud; knowingly/willfully make any false or fraudulent statement/representation in or with reference to any application for life insurance, or for the purpose of obtaining any fee, commission, money or benefits from any company transacting business under this act</v>
      </c>
      <c r="O1577" s="10" t="str">
        <f t="shared" si="3"/>
        <v>Insurance</v>
      </c>
    </row>
    <row r="1578">
      <c r="A1578" s="7" t="s">
        <v>2882</v>
      </c>
      <c r="B1578" s="8" t="s">
        <v>2883</v>
      </c>
      <c r="C1578" s="8">
        <v>6.0</v>
      </c>
      <c r="D1578" s="8">
        <v>8.0</v>
      </c>
      <c r="E1578" s="8">
        <v>8.0</v>
      </c>
      <c r="F1578" s="8">
        <v>9.0</v>
      </c>
      <c r="G1578" s="8" t="s">
        <v>21</v>
      </c>
      <c r="H1578" s="9"/>
      <c r="I1578" s="9"/>
      <c r="N1578" s="10" t="str">
        <f t="shared" si="2"/>
        <v>40-2,118(a) - Insurance; Fraudulent Acts; $25,000 or more</v>
      </c>
      <c r="O1578" s="10" t="str">
        <f t="shared" si="3"/>
        <v>Insurance</v>
      </c>
    </row>
    <row r="1579">
      <c r="A1579" s="7" t="s">
        <v>2884</v>
      </c>
      <c r="B1579" s="8" t="s">
        <v>2883</v>
      </c>
      <c r="C1579" s="8" t="s">
        <v>19</v>
      </c>
      <c r="D1579" s="8" t="s">
        <v>19</v>
      </c>
      <c r="E1579" s="8" t="s">
        <v>19</v>
      </c>
      <c r="F1579" s="8" t="s">
        <v>20</v>
      </c>
      <c r="G1579" s="8" t="s">
        <v>21</v>
      </c>
      <c r="H1579" s="9"/>
      <c r="I1579" s="9"/>
      <c r="J1579" s="10">
        <f t="shared" ref="J1579:M1579" si="962">ifs(OR($H1579="R",$I1579="N"),"N/A",OR(C1579="A",C1579="B",C1579="C",C1579="U"),3,TRUE,"FLAG")</f>
        <v>3</v>
      </c>
      <c r="K1579" s="10">
        <f t="shared" si="962"/>
        <v>3</v>
      </c>
      <c r="L1579" s="10">
        <f t="shared" si="962"/>
        <v>3</v>
      </c>
      <c r="M1579" s="10" t="str">
        <f t="shared" si="962"/>
        <v>FLAG</v>
      </c>
      <c r="N1579" s="10" t="str">
        <f t="shared" si="2"/>
        <v>40-2,118(a) - Insurance; Fraudulent Acts; an amount less than $1,000</v>
      </c>
      <c r="O1579" s="10" t="str">
        <f t="shared" si="3"/>
        <v>Insurance</v>
      </c>
    </row>
    <row r="1580">
      <c r="A1580" s="7" t="s">
        <v>2885</v>
      </c>
      <c r="B1580" s="8" t="s">
        <v>2883</v>
      </c>
      <c r="C1580" s="8">
        <v>8.0</v>
      </c>
      <c r="D1580" s="8">
        <v>10.0</v>
      </c>
      <c r="E1580" s="8">
        <v>10.0</v>
      </c>
      <c r="F1580" s="8">
        <v>10.0</v>
      </c>
      <c r="G1580" s="8" t="s">
        <v>21</v>
      </c>
      <c r="H1580" s="9"/>
      <c r="I1580" s="9"/>
      <c r="N1580" s="10" t="str">
        <f t="shared" si="2"/>
        <v>40-2,118(a) - Insurance; Fraudulent Acts; at least $1,000 but less than $5,000</v>
      </c>
      <c r="O1580" s="10" t="str">
        <f t="shared" si="3"/>
        <v>Insurance</v>
      </c>
    </row>
    <row r="1581">
      <c r="A1581" s="7" t="s">
        <v>2886</v>
      </c>
      <c r="B1581" s="8" t="s">
        <v>2883</v>
      </c>
      <c r="C1581" s="8">
        <v>7.0</v>
      </c>
      <c r="D1581" s="8">
        <v>9.0</v>
      </c>
      <c r="E1581" s="8">
        <v>9.0</v>
      </c>
      <c r="F1581" s="8">
        <v>10.0</v>
      </c>
      <c r="G1581" s="8" t="s">
        <v>21</v>
      </c>
      <c r="H1581" s="9"/>
      <c r="I1581" s="9"/>
      <c r="N1581" s="10" t="str">
        <f t="shared" si="2"/>
        <v>40-2,118(a) - Insurance; Fraudulent Acts; at least $5,000 but less than $25,000</v>
      </c>
      <c r="O1581" s="10" t="str">
        <f t="shared" si="3"/>
        <v>Insurance</v>
      </c>
    </row>
    <row r="1582">
      <c r="A1582" s="7" t="s">
        <v>2887</v>
      </c>
      <c r="B1582" s="8" t="s">
        <v>2888</v>
      </c>
      <c r="C1582" s="8">
        <v>7.0</v>
      </c>
      <c r="D1582" s="8">
        <v>9.0</v>
      </c>
      <c r="E1582" s="8">
        <v>9.0</v>
      </c>
      <c r="F1582" s="8">
        <v>10.0</v>
      </c>
      <c r="G1582" s="8" t="s">
        <v>21</v>
      </c>
      <c r="H1582" s="9"/>
      <c r="I1582" s="9"/>
      <c r="N1582" s="10" t="str">
        <f t="shared" si="2"/>
        <v>40-247(a) - Insurance; Insurance agent or broker failure to pay premium; $25,000 or more</v>
      </c>
      <c r="O1582" s="10" t="str">
        <f t="shared" si="3"/>
        <v>Insurance</v>
      </c>
    </row>
    <row r="1583">
      <c r="A1583" s="7" t="s">
        <v>2889</v>
      </c>
      <c r="B1583" s="8" t="s">
        <v>2888</v>
      </c>
      <c r="C1583" s="8">
        <v>9.0</v>
      </c>
      <c r="D1583" s="8">
        <v>10.0</v>
      </c>
      <c r="E1583" s="8">
        <v>10.0</v>
      </c>
      <c r="F1583" s="8">
        <v>10.0</v>
      </c>
      <c r="G1583" s="8" t="s">
        <v>21</v>
      </c>
      <c r="H1583" s="9"/>
      <c r="I1583" s="9"/>
      <c r="N1583" s="10" t="str">
        <f t="shared" si="2"/>
        <v>40-247(a) - Insurance; Insurance agent or broker failure to pay premium; at least $1000 less than $25,000</v>
      </c>
      <c r="O1583" s="10" t="str">
        <f t="shared" si="3"/>
        <v>Insurance</v>
      </c>
    </row>
    <row r="1584">
      <c r="A1584" s="7" t="s">
        <v>2890</v>
      </c>
      <c r="B1584" s="8" t="s">
        <v>2888</v>
      </c>
      <c r="C1584" s="8">
        <v>9.0</v>
      </c>
      <c r="D1584" s="8">
        <v>10.0</v>
      </c>
      <c r="E1584" s="8">
        <v>10.0</v>
      </c>
      <c r="F1584" s="8">
        <v>10.0</v>
      </c>
      <c r="G1584" s="8" t="s">
        <v>21</v>
      </c>
      <c r="H1584" s="9"/>
      <c r="I1584" s="9"/>
      <c r="N1584" s="10" t="str">
        <f t="shared" si="2"/>
        <v>40-247(a) - Insurance; Insurance agent or broker failure to pay premium; premium is less than $1000 and agent or broker has been convicted of this two or more times within 5 yrs</v>
      </c>
      <c r="O1584" s="10" t="str">
        <f t="shared" si="3"/>
        <v>Insurance</v>
      </c>
    </row>
    <row r="1585">
      <c r="A1585" s="7" t="s">
        <v>2891</v>
      </c>
      <c r="B1585" s="8" t="s">
        <v>2888</v>
      </c>
      <c r="C1585" s="8" t="s">
        <v>27</v>
      </c>
      <c r="D1585" s="8" t="s">
        <v>28</v>
      </c>
      <c r="E1585" s="8" t="s">
        <v>19</v>
      </c>
      <c r="F1585" s="8" t="s">
        <v>20</v>
      </c>
      <c r="G1585" s="8" t="s">
        <v>21</v>
      </c>
      <c r="H1585" s="9"/>
      <c r="I1585" s="9"/>
      <c r="J1585" s="10">
        <f t="shared" ref="J1585:M1585" si="963">ifs(OR($H1585="R",$I1585="N"),"N/A",OR(C1585="A",C1585="B",C1585="C",C1585="U"),3,TRUE,"FLAG")</f>
        <v>3</v>
      </c>
      <c r="K1585" s="10">
        <f t="shared" si="963"/>
        <v>3</v>
      </c>
      <c r="L1585" s="10">
        <f t="shared" si="963"/>
        <v>3</v>
      </c>
      <c r="M1585" s="10" t="str">
        <f t="shared" si="963"/>
        <v>FLAG</v>
      </c>
      <c r="N1585" s="10" t="str">
        <f t="shared" si="2"/>
        <v>40-247(a) - Insurance; Insurer or broker failing to pay premium to company; loss of &lt; $1000</v>
      </c>
      <c r="O1585" s="10" t="str">
        <f t="shared" si="3"/>
        <v>Insurance</v>
      </c>
    </row>
    <row r="1586">
      <c r="A1586" s="7" t="s">
        <v>2892</v>
      </c>
      <c r="B1586" s="8" t="s">
        <v>2893</v>
      </c>
      <c r="C1586" s="8" t="s">
        <v>27</v>
      </c>
      <c r="D1586" s="8" t="s">
        <v>28</v>
      </c>
      <c r="E1586" s="8" t="s">
        <v>19</v>
      </c>
      <c r="F1586" s="8" t="s">
        <v>20</v>
      </c>
      <c r="G1586" s="8" t="s">
        <v>21</v>
      </c>
      <c r="H1586" s="9"/>
      <c r="I1586" s="9"/>
      <c r="J1586" s="10">
        <f t="shared" ref="J1586:M1586" si="964">ifs(OR($H1586="R",$I1586="N"),"N/A",OR(C1586="A",C1586="B",C1586="C",C1586="U"),3,TRUE,"FLAG")</f>
        <v>3</v>
      </c>
      <c r="K1586" s="10">
        <f t="shared" si="964"/>
        <v>3</v>
      </c>
      <c r="L1586" s="10">
        <f t="shared" si="964"/>
        <v>3</v>
      </c>
      <c r="M1586" s="10" t="str">
        <f t="shared" si="964"/>
        <v>FLAG</v>
      </c>
      <c r="N1586" s="10" t="str">
        <f t="shared" si="2"/>
        <v>21-5922(a)(1) - Interference With Conduct of Public Business; Knowingly deny to any public official, public employee, or any invitee on such premises, the lawful rights of such official, employee, or invitee to enter, to use the facilities or to leave any such public building</v>
      </c>
      <c r="O1586" s="10" t="str">
        <f t="shared" si="3"/>
        <v>Interference With Conduct of Public Business</v>
      </c>
    </row>
    <row r="1587">
      <c r="A1587" s="7" t="s">
        <v>2894</v>
      </c>
      <c r="B1587" s="8" t="s">
        <v>2895</v>
      </c>
      <c r="C1587" s="8" t="s">
        <v>27</v>
      </c>
      <c r="D1587" s="8" t="s">
        <v>28</v>
      </c>
      <c r="E1587" s="8" t="s">
        <v>19</v>
      </c>
      <c r="F1587" s="8" t="s">
        <v>20</v>
      </c>
      <c r="G1587" s="8" t="s">
        <v>21</v>
      </c>
      <c r="H1587" s="9"/>
      <c r="I1587" s="9"/>
      <c r="J1587" s="10">
        <f t="shared" ref="J1587:M1587" si="965">ifs(OR($H1587="R",$I1587="N"),"N/A",OR(C1587="A",C1587="B",C1587="C",C1587="U"),3,TRUE,"FLAG")</f>
        <v>3</v>
      </c>
      <c r="K1587" s="10">
        <f t="shared" si="965"/>
        <v>3</v>
      </c>
      <c r="L1587" s="10">
        <f t="shared" si="965"/>
        <v>3</v>
      </c>
      <c r="M1587" s="10" t="str">
        <f t="shared" si="965"/>
        <v>FLAG</v>
      </c>
      <c r="N1587" s="10" t="str">
        <f t="shared" si="2"/>
        <v>21-5922(a)(2) - Interference With Conduct of Public Business; Knowingly impede any public official or employee in the lawful performance of duties or activities through the use of restraint, abduction, coercion, or intimidation or by force and violence or threat thereof</v>
      </c>
      <c r="O1587" s="10" t="str">
        <f t="shared" si="3"/>
        <v>Interference With Conduct of Public Business</v>
      </c>
    </row>
    <row r="1588">
      <c r="A1588" s="7" t="s">
        <v>2896</v>
      </c>
      <c r="B1588" s="8" t="s">
        <v>2897</v>
      </c>
      <c r="C1588" s="8" t="s">
        <v>27</v>
      </c>
      <c r="D1588" s="8" t="s">
        <v>28</v>
      </c>
      <c r="E1588" s="8" t="s">
        <v>19</v>
      </c>
      <c r="F1588" s="8" t="s">
        <v>20</v>
      </c>
      <c r="G1588" s="8" t="s">
        <v>21</v>
      </c>
      <c r="H1588" s="9"/>
      <c r="I1588" s="9"/>
      <c r="J1588" s="10">
        <f t="shared" ref="J1588:M1588" si="966">ifs(OR($H1588="R",$I1588="N"),"N/A",OR(C1588="A",C1588="B",C1588="C",C1588="U"),3,TRUE,"FLAG")</f>
        <v>3</v>
      </c>
      <c r="K1588" s="10">
        <f t="shared" si="966"/>
        <v>3</v>
      </c>
      <c r="L1588" s="10">
        <f t="shared" si="966"/>
        <v>3</v>
      </c>
      <c r="M1588" s="10" t="str">
        <f t="shared" si="966"/>
        <v>FLAG</v>
      </c>
      <c r="N1588" s="10" t="str">
        <f t="shared" si="2"/>
        <v>21-5922(a)(5) - Interference With Conduct of Public Business; Knowingly impede, disrupt or hinder the normal proceedings of any executive body or official, by any act of intrusion</v>
      </c>
      <c r="O1588" s="10" t="str">
        <f t="shared" si="3"/>
        <v>Interference With Conduct of Public Business</v>
      </c>
    </row>
    <row r="1589">
      <c r="A1589" s="7" t="s">
        <v>2898</v>
      </c>
      <c r="B1589" s="8" t="s">
        <v>2899</v>
      </c>
      <c r="C1589" s="8" t="s">
        <v>27</v>
      </c>
      <c r="D1589" s="8" t="s">
        <v>28</v>
      </c>
      <c r="E1589" s="8" t="s">
        <v>19</v>
      </c>
      <c r="F1589" s="8" t="s">
        <v>20</v>
      </c>
      <c r="G1589" s="8" t="s">
        <v>21</v>
      </c>
      <c r="H1589" s="9"/>
      <c r="I1589" s="9"/>
      <c r="J1589" s="10">
        <f t="shared" ref="J1589:M1589" si="967">ifs(OR($H1589="R",$I1589="N"),"N/A",OR(C1589="A",C1589="B",C1589="C",C1589="U"),3,TRUE,"FLAG")</f>
        <v>3</v>
      </c>
      <c r="K1589" s="10">
        <f t="shared" si="967"/>
        <v>3</v>
      </c>
      <c r="L1589" s="10">
        <f t="shared" si="967"/>
        <v>3</v>
      </c>
      <c r="M1589" s="10" t="str">
        <f t="shared" si="967"/>
        <v>FLAG</v>
      </c>
      <c r="N1589" s="10" t="str">
        <f t="shared" si="2"/>
        <v>21-5922(a)(4) - Interference With Conduct of Public Business; Knowingly impede, disrupt or hinder the normal proceedings of any meeting or session conducted by a judicial or legislative body or official, by any act of intrusion or by any act designed to intimidate, coerce or hinder any member of such body or any official engaged in the performance of duties at such meeting or session</v>
      </c>
      <c r="O1589" s="10" t="str">
        <f t="shared" si="3"/>
        <v>Interference With Conduct of Public Business</v>
      </c>
    </row>
    <row r="1590">
      <c r="A1590" s="7" t="s">
        <v>2900</v>
      </c>
      <c r="B1590" s="8" t="s">
        <v>2901</v>
      </c>
      <c r="C1590" s="8" t="s">
        <v>27</v>
      </c>
      <c r="D1590" s="8" t="s">
        <v>28</v>
      </c>
      <c r="E1590" s="8" t="s">
        <v>19</v>
      </c>
      <c r="F1590" s="8" t="s">
        <v>20</v>
      </c>
      <c r="G1590" s="8" t="s">
        <v>21</v>
      </c>
      <c r="H1590" s="9"/>
      <c r="I1590" s="9"/>
      <c r="J1590" s="10">
        <f t="shared" ref="J1590:M1590" si="968">ifs(OR($H1590="R",$I1590="N"),"N/A",OR(C1590="A",C1590="B",C1590="C",C1590="U"),3,TRUE,"FLAG")</f>
        <v>3</v>
      </c>
      <c r="K1590" s="10">
        <f t="shared" si="968"/>
        <v>3</v>
      </c>
      <c r="L1590" s="10">
        <f t="shared" si="968"/>
        <v>3</v>
      </c>
      <c r="M1590" s="10" t="str">
        <f t="shared" si="968"/>
        <v>FLAG</v>
      </c>
      <c r="N1590" s="10" t="str">
        <f t="shared" si="2"/>
        <v>21-5922(a)(3) - Interference With Conduct of Public Business; Knowingly refuse or fail to leave any public building upon being requested to do so by the chief administrative officer if such person is committing, threatens to commit, or incites others to commit, any act which did or would if completed, disrupt, impair, interfere with, or obstruct the lawful missions, processes, procedures or functions being carried on in such public building</v>
      </c>
      <c r="O1590" s="10" t="str">
        <f t="shared" si="3"/>
        <v>Interference With Conduct of Public Business</v>
      </c>
    </row>
    <row r="1591">
      <c r="A1591" s="7" t="s">
        <v>2902</v>
      </c>
      <c r="B1591" s="8" t="s">
        <v>2903</v>
      </c>
      <c r="C1591" s="8" t="s">
        <v>27</v>
      </c>
      <c r="D1591" s="8" t="s">
        <v>28</v>
      </c>
      <c r="E1591" s="8" t="s">
        <v>19</v>
      </c>
      <c r="F1591" s="8" t="s">
        <v>20</v>
      </c>
      <c r="G1591" s="8" t="s">
        <v>21</v>
      </c>
      <c r="H1591" s="9"/>
      <c r="I1591" s="9"/>
      <c r="J1591" s="10">
        <f t="shared" ref="J1591:M1591" si="969">ifs(OR($H1591="R",$I1591="N"),"N/A",OR(C1591="A",C1591="B",C1591="C",C1591="U"),3,TRUE,"FLAG")</f>
        <v>3</v>
      </c>
      <c r="K1591" s="10">
        <f t="shared" si="969"/>
        <v>3</v>
      </c>
      <c r="L1591" s="10">
        <f t="shared" si="969"/>
        <v>3</v>
      </c>
      <c r="M1591" s="10" t="str">
        <f t="shared" si="969"/>
        <v>FLAG</v>
      </c>
      <c r="N1591" s="10" t="str">
        <f t="shared" si="2"/>
        <v>21-5410(a) - Interference With Custody; Of a committed person</v>
      </c>
      <c r="O1591" s="10" t="str">
        <f t="shared" si="3"/>
        <v>Interference With Custody</v>
      </c>
    </row>
    <row r="1592">
      <c r="A1592" s="7" t="s">
        <v>2904</v>
      </c>
      <c r="B1592" s="8" t="s">
        <v>2905</v>
      </c>
      <c r="C1592" s="8">
        <v>8.0</v>
      </c>
      <c r="D1592" s="8">
        <v>10.0</v>
      </c>
      <c r="E1592" s="8">
        <v>10.0</v>
      </c>
      <c r="F1592" s="8">
        <v>10.0</v>
      </c>
      <c r="G1592" s="8" t="s">
        <v>21</v>
      </c>
      <c r="H1592" s="9"/>
      <c r="I1592" s="9"/>
      <c r="N1592" s="10" t="str">
        <f t="shared" si="2"/>
        <v>21-5904(a)(1)(D) - Interference with Law Enforcement; Falsely reporting death or disappearance of a child under 13 and intending that officer shall act in reliance upon such information</v>
      </c>
      <c r="O1592" s="10" t="str">
        <f t="shared" si="3"/>
        <v>Interference with Law Enforcement</v>
      </c>
    </row>
    <row r="1593">
      <c r="A1593" s="7" t="s">
        <v>2906</v>
      </c>
      <c r="B1593" s="8" t="s">
        <v>2907</v>
      </c>
      <c r="C1593" s="8">
        <v>8.0</v>
      </c>
      <c r="D1593" s="8">
        <v>10.0</v>
      </c>
      <c r="E1593" s="8">
        <v>10.0</v>
      </c>
      <c r="F1593" s="8">
        <v>10.0</v>
      </c>
      <c r="G1593" s="8" t="s">
        <v>21</v>
      </c>
      <c r="H1593" s="9"/>
      <c r="I1593" s="9"/>
      <c r="N1593" s="10" t="str">
        <f t="shared" si="2"/>
        <v>21-5904(a)(2) - Interference with Law Enforcement; In the case of a felony; Concealing, destroying or materially altering evidence with intent to prevent or hinder the apprehension or prosecution of a person</v>
      </c>
      <c r="O1593" s="10" t="str">
        <f t="shared" si="3"/>
        <v>Interference with Law Enforcement</v>
      </c>
    </row>
    <row r="1594">
      <c r="A1594" s="7" t="s">
        <v>2908</v>
      </c>
      <c r="B1594" s="8" t="s">
        <v>2909</v>
      </c>
      <c r="C1594" s="8">
        <v>9.0</v>
      </c>
      <c r="D1594" s="8">
        <v>10.0</v>
      </c>
      <c r="E1594" s="8">
        <v>10.0</v>
      </c>
      <c r="F1594" s="8">
        <v>10.0</v>
      </c>
      <c r="G1594" s="8" t="s">
        <v>21</v>
      </c>
      <c r="H1594" s="9"/>
      <c r="I1594" s="9"/>
      <c r="N1594" s="10" t="str">
        <f t="shared" si="2"/>
        <v>21-5904(a)(1)(C) - Interference with Law Enforcement; In the case of a felony; Falsely reporting to law enforcement officer or state investigative agency any information, knowing that such information is false and intending to influence, impede or obstruct such officer's or agency's duty</v>
      </c>
      <c r="O1594" s="10" t="str">
        <f t="shared" si="3"/>
        <v>Interference with Law Enforcement</v>
      </c>
    </row>
    <row r="1595">
      <c r="A1595" s="7" t="s">
        <v>2910</v>
      </c>
      <c r="B1595" s="8" t="s">
        <v>2911</v>
      </c>
      <c r="C1595" s="8">
        <v>8.0</v>
      </c>
      <c r="D1595" s="8">
        <v>10.0</v>
      </c>
      <c r="E1595" s="8">
        <v>10.0</v>
      </c>
      <c r="F1595" s="8">
        <v>10.0</v>
      </c>
      <c r="G1595" s="8" t="s">
        <v>21</v>
      </c>
      <c r="H1595" s="9"/>
      <c r="I1595" s="9"/>
      <c r="N1595" s="10" t="str">
        <f t="shared" si="2"/>
        <v>21-5904(a)(1)(B) - Interference with Law Enforcement; In the case of a felony; Falsely reporting to law enforcement officer or state investigative agency that a law enforcement officer has commited a crime or misconduct in such officer's duties knowing such information is false and intending that the officer or agency act in reliance on such information</v>
      </c>
      <c r="O1595" s="10" t="str">
        <f t="shared" si="3"/>
        <v>Interference with Law Enforcement</v>
      </c>
    </row>
    <row r="1596">
      <c r="A1596" s="7" t="s">
        <v>2912</v>
      </c>
      <c r="B1596" s="8" t="s">
        <v>2913</v>
      </c>
      <c r="C1596" s="8">
        <v>8.0</v>
      </c>
      <c r="D1596" s="8">
        <v>10.0</v>
      </c>
      <c r="E1596" s="8">
        <v>10.0</v>
      </c>
      <c r="F1596" s="8">
        <v>10.0</v>
      </c>
      <c r="G1596" s="8" t="s">
        <v>21</v>
      </c>
      <c r="H1596" s="9"/>
      <c r="I1596" s="9"/>
      <c r="N1596" s="10" t="str">
        <f t="shared" si="2"/>
        <v>21-5904(a)(1)(A) - Interference with Law Enforcement; In the case of a felony; Falsely reporting to law enforcement officer or state investigative agency that person has committed a crime, knowing the information is false and intending that the officer or agency act in reliance on that information</v>
      </c>
      <c r="O1596" s="10" t="str">
        <f t="shared" si="3"/>
        <v>Interference with Law Enforcement</v>
      </c>
    </row>
    <row r="1597">
      <c r="A1597" s="7" t="s">
        <v>2914</v>
      </c>
      <c r="B1597" s="8" t="s">
        <v>2915</v>
      </c>
      <c r="C1597" s="8">
        <v>9.0</v>
      </c>
      <c r="D1597" s="8">
        <v>10.0</v>
      </c>
      <c r="E1597" s="8">
        <v>10.0</v>
      </c>
      <c r="F1597" s="8">
        <v>10.0</v>
      </c>
      <c r="G1597" s="8" t="s">
        <v>21</v>
      </c>
      <c r="H1597" s="9"/>
      <c r="I1597" s="9"/>
      <c r="N1597" s="10" t="str">
        <f t="shared" si="2"/>
        <v>21-5904(a)(3) - Interference with Law Enforcement; In the case of a felony; Knowingly obstruct, resist or oppose any person authorized by law to serve process in service or attempt to serve any writ, warrant, process or order of court or in discharge of any official duty</v>
      </c>
      <c r="O1597" s="10" t="str">
        <f t="shared" si="3"/>
        <v>Interference with Law Enforcement</v>
      </c>
    </row>
    <row r="1598">
      <c r="A1598" s="7" t="s">
        <v>2916</v>
      </c>
      <c r="B1598" s="8" t="s">
        <v>2907</v>
      </c>
      <c r="C1598" s="8" t="s">
        <v>27</v>
      </c>
      <c r="D1598" s="8" t="s">
        <v>28</v>
      </c>
      <c r="E1598" s="8" t="s">
        <v>19</v>
      </c>
      <c r="F1598" s="8" t="s">
        <v>20</v>
      </c>
      <c r="G1598" s="8" t="s">
        <v>21</v>
      </c>
      <c r="H1598" s="9"/>
      <c r="I1598" s="9"/>
      <c r="J1598" s="10">
        <f t="shared" ref="J1598:M1598" si="970">ifs(OR($H1598="R",$I1598="N"),"N/A",OR(C1598="A",C1598="B",C1598="C",C1598="U"),3,TRUE,"FLAG")</f>
        <v>3</v>
      </c>
      <c r="K1598" s="10">
        <f t="shared" si="970"/>
        <v>3</v>
      </c>
      <c r="L1598" s="10">
        <f t="shared" si="970"/>
        <v>3</v>
      </c>
      <c r="M1598" s="10" t="str">
        <f t="shared" si="970"/>
        <v>FLAG</v>
      </c>
      <c r="N1598" s="10" t="str">
        <f t="shared" si="2"/>
        <v>21-5904(a)(2) - Interference with Law Enforcement; In the case of a misdemeanor; Concealing, destroying or materially altering evidence with intent to prevent or hinder the apprehension or prosecution of a person</v>
      </c>
      <c r="O1598" s="10" t="str">
        <f t="shared" si="3"/>
        <v>Interference with Law Enforcement</v>
      </c>
    </row>
    <row r="1599">
      <c r="A1599" s="7" t="s">
        <v>2917</v>
      </c>
      <c r="B1599" s="8" t="s">
        <v>2909</v>
      </c>
      <c r="C1599" s="8" t="s">
        <v>27</v>
      </c>
      <c r="D1599" s="8" t="s">
        <v>28</v>
      </c>
      <c r="E1599" s="8" t="s">
        <v>19</v>
      </c>
      <c r="F1599" s="8" t="s">
        <v>20</v>
      </c>
      <c r="G1599" s="8" t="s">
        <v>21</v>
      </c>
      <c r="H1599" s="9"/>
      <c r="I1599" s="9"/>
      <c r="J1599" s="10">
        <f t="shared" ref="J1599:M1599" si="971">ifs(OR($H1599="R",$I1599="N"),"N/A",OR(C1599="A",C1599="B",C1599="C",C1599="U"),3,TRUE,"FLAG")</f>
        <v>3</v>
      </c>
      <c r="K1599" s="10">
        <f t="shared" si="971"/>
        <v>3</v>
      </c>
      <c r="L1599" s="10">
        <f t="shared" si="971"/>
        <v>3</v>
      </c>
      <c r="M1599" s="10" t="str">
        <f t="shared" si="971"/>
        <v>FLAG</v>
      </c>
      <c r="N1599" s="10" t="str">
        <f t="shared" si="2"/>
        <v>21-5904(a)(1)(C) - Interference with Law Enforcement; In the case of a misdemeanor; Falsely reporting to law enforcement officer or state investigative agency any information, knowing that such information is false and intending to influence, impede or obstruct such officer's or agency's duty</v>
      </c>
      <c r="O1599" s="10" t="str">
        <f t="shared" si="3"/>
        <v>Interference with Law Enforcement</v>
      </c>
    </row>
    <row r="1600">
      <c r="A1600" s="7" t="s">
        <v>2918</v>
      </c>
      <c r="B1600" s="8" t="s">
        <v>2911</v>
      </c>
      <c r="C1600" s="8" t="s">
        <v>27</v>
      </c>
      <c r="D1600" s="8" t="s">
        <v>28</v>
      </c>
      <c r="E1600" s="8" t="s">
        <v>19</v>
      </c>
      <c r="F1600" s="8" t="s">
        <v>20</v>
      </c>
      <c r="G1600" s="8" t="s">
        <v>21</v>
      </c>
      <c r="H1600" s="9"/>
      <c r="I1600" s="9"/>
      <c r="J1600" s="10">
        <f t="shared" ref="J1600:M1600" si="972">ifs(OR($H1600="R",$I1600="N"),"N/A",OR(C1600="A",C1600="B",C1600="C",C1600="U"),3,TRUE,"FLAG")</f>
        <v>3</v>
      </c>
      <c r="K1600" s="10">
        <f t="shared" si="972"/>
        <v>3</v>
      </c>
      <c r="L1600" s="10">
        <f t="shared" si="972"/>
        <v>3</v>
      </c>
      <c r="M1600" s="10" t="str">
        <f t="shared" si="972"/>
        <v>FLAG</v>
      </c>
      <c r="N1600" s="10" t="str">
        <f t="shared" si="2"/>
        <v>21-5904(a)(1)(B) - Interference with Law Enforcement; In the case of a misdemeanor; Falsely reporting to law enforcement officer or state investigative agency that a law enforcement officer has commited a crime or misconduct in such officer's duties knowing such information is false and intending that the officer or agency act in reliance on such information</v>
      </c>
      <c r="O1600" s="10" t="str">
        <f t="shared" si="3"/>
        <v>Interference with Law Enforcement</v>
      </c>
    </row>
    <row r="1601">
      <c r="A1601" s="7" t="s">
        <v>2919</v>
      </c>
      <c r="B1601" s="8" t="s">
        <v>2913</v>
      </c>
      <c r="C1601" s="8" t="s">
        <v>27</v>
      </c>
      <c r="D1601" s="8" t="s">
        <v>28</v>
      </c>
      <c r="E1601" s="8" t="s">
        <v>19</v>
      </c>
      <c r="F1601" s="8" t="s">
        <v>20</v>
      </c>
      <c r="G1601" s="8" t="s">
        <v>21</v>
      </c>
      <c r="H1601" s="9"/>
      <c r="I1601" s="9"/>
      <c r="J1601" s="10">
        <f t="shared" ref="J1601:M1601" si="973">ifs(OR($H1601="R",$I1601="N"),"N/A",OR(C1601="A",C1601="B",C1601="C",C1601="U"),3,TRUE,"FLAG")</f>
        <v>3</v>
      </c>
      <c r="K1601" s="10">
        <f t="shared" si="973"/>
        <v>3</v>
      </c>
      <c r="L1601" s="10">
        <f t="shared" si="973"/>
        <v>3</v>
      </c>
      <c r="M1601" s="10" t="str">
        <f t="shared" si="973"/>
        <v>FLAG</v>
      </c>
      <c r="N1601" s="10" t="str">
        <f t="shared" si="2"/>
        <v>21-5904(a)(1)(A) - Interference with Law Enforcement; In the case of a misdemeanor; Falsely reporting to law enforcement officer or state investigative agency that person has committed a crime, knowing the information is false and intending that the officer or agency act in reliance on that information</v>
      </c>
      <c r="O1601" s="10" t="str">
        <f t="shared" si="3"/>
        <v>Interference with Law Enforcement</v>
      </c>
    </row>
    <row r="1602">
      <c r="A1602" s="7" t="s">
        <v>2920</v>
      </c>
      <c r="B1602" s="8" t="s">
        <v>2915</v>
      </c>
      <c r="C1602" s="8" t="s">
        <v>27</v>
      </c>
      <c r="D1602" s="8" t="s">
        <v>28</v>
      </c>
      <c r="E1602" s="8" t="s">
        <v>19</v>
      </c>
      <c r="F1602" s="8" t="s">
        <v>20</v>
      </c>
      <c r="G1602" s="8" t="s">
        <v>21</v>
      </c>
      <c r="H1602" s="9"/>
      <c r="I1602" s="9"/>
      <c r="J1602" s="10">
        <f t="shared" ref="J1602:M1602" si="974">ifs(OR($H1602="R",$I1602="N"),"N/A",OR(C1602="A",C1602="B",C1602="C",C1602="U"),3,TRUE,"FLAG")</f>
        <v>3</v>
      </c>
      <c r="K1602" s="10">
        <f t="shared" si="974"/>
        <v>3</v>
      </c>
      <c r="L1602" s="10">
        <f t="shared" si="974"/>
        <v>3</v>
      </c>
      <c r="M1602" s="10" t="str">
        <f t="shared" si="974"/>
        <v>FLAG</v>
      </c>
      <c r="N1602" s="10" t="str">
        <f t="shared" si="2"/>
        <v>21-5904(a)(3) - Interference with Law Enforcement; In the case of a misdemeanor; Knowingly obstruct, resist or oppose any person authorized by law to serve process in service or attempt to serve any writ, warrant, process or order of court or in discharge of any official duty</v>
      </c>
      <c r="O1602" s="10" t="str">
        <f t="shared" si="3"/>
        <v>Interference with Law Enforcement</v>
      </c>
    </row>
    <row r="1603">
      <c r="A1603" s="7" t="s">
        <v>2921</v>
      </c>
      <c r="B1603" s="8" t="s">
        <v>2922</v>
      </c>
      <c r="C1603" s="8" t="s">
        <v>27</v>
      </c>
      <c r="D1603" s="8" t="s">
        <v>28</v>
      </c>
      <c r="E1603" s="8" t="s">
        <v>19</v>
      </c>
      <c r="F1603" s="8" t="s">
        <v>20</v>
      </c>
      <c r="G1603" s="8" t="s">
        <v>24</v>
      </c>
      <c r="H1603" s="9"/>
      <c r="I1603" s="9"/>
      <c r="J1603" s="10">
        <f t="shared" ref="J1603:M1603" si="975">ifs(OR($H1603="R",$I1603="N"),"N/A",OR(C1603="A",C1603="B",C1603="C",C1603="U"),3,TRUE,"FLAG")</f>
        <v>3</v>
      </c>
      <c r="K1603" s="10">
        <f t="shared" si="975"/>
        <v>3</v>
      </c>
      <c r="L1603" s="10">
        <f t="shared" si="975"/>
        <v>3</v>
      </c>
      <c r="M1603" s="10" t="str">
        <f t="shared" si="975"/>
        <v>FLAG</v>
      </c>
      <c r="N1603" s="10" t="str">
        <f t="shared" si="2"/>
        <v>21-5409(a) - Interference With Parental Custody; By parent if parent is entitled to joint custody</v>
      </c>
      <c r="O1603" s="10" t="str">
        <f t="shared" si="3"/>
        <v>Interference With Parental Custody</v>
      </c>
    </row>
    <row r="1604">
      <c r="A1604" s="7" t="s">
        <v>2923</v>
      </c>
      <c r="B1604" s="8" t="s">
        <v>2922</v>
      </c>
      <c r="C1604" s="8">
        <v>10.0</v>
      </c>
      <c r="D1604" s="8">
        <v>10.0</v>
      </c>
      <c r="E1604" s="8">
        <v>10.0</v>
      </c>
      <c r="F1604" s="8">
        <v>10.0</v>
      </c>
      <c r="G1604" s="8" t="s">
        <v>24</v>
      </c>
      <c r="H1604" s="9"/>
      <c r="I1604" s="9"/>
      <c r="N1604" s="10" t="str">
        <f t="shared" si="2"/>
        <v>21-5409(a) - Interference with Parental Custody; Taking or enticing away any child under 16 with intent to detain or conceal such child from parent, guardian, or other person having the lawful charge of the child</v>
      </c>
      <c r="O1604" s="10" t="str">
        <f t="shared" si="3"/>
        <v>Interference with Parental Custody</v>
      </c>
    </row>
    <row r="1605">
      <c r="A1605" s="7" t="s">
        <v>2924</v>
      </c>
      <c r="B1605" s="8" t="s">
        <v>2925</v>
      </c>
      <c r="C1605" s="8">
        <v>9.0</v>
      </c>
      <c r="D1605" s="8">
        <v>10.0</v>
      </c>
      <c r="E1605" s="8">
        <v>10.0</v>
      </c>
      <c r="F1605" s="8">
        <v>10.0</v>
      </c>
      <c r="G1605" s="8" t="s">
        <v>21</v>
      </c>
      <c r="H1605" s="9"/>
      <c r="I1605" s="9"/>
      <c r="N1605" s="10" t="str">
        <f t="shared" si="2"/>
        <v>21-5905(a)(1) - Interference with the Judicial Process; Attempting to Influence a Judicial Officer</v>
      </c>
      <c r="O1605" s="10" t="str">
        <f t="shared" si="3"/>
        <v>Interference with the Judicial Process</v>
      </c>
    </row>
    <row r="1606">
      <c r="A1606" s="7" t="s">
        <v>2926</v>
      </c>
      <c r="B1606" s="8" t="s">
        <v>2927</v>
      </c>
      <c r="C1606" s="8" t="s">
        <v>27</v>
      </c>
      <c r="D1606" s="8" t="s">
        <v>28</v>
      </c>
      <c r="E1606" s="8" t="s">
        <v>19</v>
      </c>
      <c r="F1606" s="8" t="s">
        <v>20</v>
      </c>
      <c r="G1606" s="8" t="s">
        <v>21</v>
      </c>
      <c r="H1606" s="9"/>
      <c r="I1606" s="9"/>
      <c r="J1606" s="10">
        <f t="shared" ref="J1606:M1606" si="976">ifs(OR($H1606="R",$I1606="N"),"N/A",OR(C1606="A",C1606="B",C1606="C",C1606="U"),3,TRUE,"FLAG")</f>
        <v>3</v>
      </c>
      <c r="K1606" s="10">
        <f t="shared" si="976"/>
        <v>3</v>
      </c>
      <c r="L1606" s="10">
        <f t="shared" si="976"/>
        <v>3</v>
      </c>
      <c r="M1606" s="10" t="str">
        <f t="shared" si="976"/>
        <v>FLAG</v>
      </c>
      <c r="N1606" s="10" t="str">
        <f t="shared" si="2"/>
        <v>21-5905(a)(2)(A) - Interference with the Judicial Process; Attempting to influence, impede or obstruct a judicial officer or prosecutor by communicating threat of violence</v>
      </c>
      <c r="O1606" s="10" t="str">
        <f t="shared" si="3"/>
        <v>Interference with the Judicial Process</v>
      </c>
    </row>
    <row r="1607">
      <c r="A1607" s="7" t="s">
        <v>2928</v>
      </c>
      <c r="B1607" s="8" t="s">
        <v>2929</v>
      </c>
      <c r="C1607" s="8" t="s">
        <v>27</v>
      </c>
      <c r="D1607" s="8" t="s">
        <v>28</v>
      </c>
      <c r="E1607" s="8" t="s">
        <v>19</v>
      </c>
      <c r="F1607" s="8" t="s">
        <v>20</v>
      </c>
      <c r="G1607" s="8" t="s">
        <v>21</v>
      </c>
      <c r="H1607" s="9"/>
      <c r="I1607" s="9"/>
      <c r="J1607" s="10">
        <f t="shared" ref="J1607:M1607" si="977">ifs(OR($H1607="R",$I1607="N"),"N/A",OR(C1607="A",C1607="B",C1607="C",C1607="U"),3,TRUE,"FLAG")</f>
        <v>3</v>
      </c>
      <c r="K1607" s="10">
        <f t="shared" si="977"/>
        <v>3</v>
      </c>
      <c r="L1607" s="10">
        <f t="shared" si="977"/>
        <v>3</v>
      </c>
      <c r="M1607" s="10" t="str">
        <f t="shared" si="977"/>
        <v>FLAG</v>
      </c>
      <c r="N1607" s="10" t="str">
        <f t="shared" si="2"/>
        <v>21-5905(a)(2)(B) - Interference with the Judicial Process; Attempting to influence, impede or obstruct a judicial officer or prosecutor by harassing by repeated vituperative (abusive) communication</v>
      </c>
      <c r="O1607" s="10" t="str">
        <f t="shared" si="3"/>
        <v>Interference with the Judicial Process</v>
      </c>
    </row>
    <row r="1608">
      <c r="A1608" s="7" t="s">
        <v>2930</v>
      </c>
      <c r="B1608" s="8" t="s">
        <v>2931</v>
      </c>
      <c r="C1608" s="8" t="s">
        <v>27</v>
      </c>
      <c r="D1608" s="8" t="s">
        <v>28</v>
      </c>
      <c r="E1608" s="8" t="s">
        <v>19</v>
      </c>
      <c r="F1608" s="8" t="s">
        <v>20</v>
      </c>
      <c r="G1608" s="8" t="s">
        <v>21</v>
      </c>
      <c r="H1608" s="9"/>
      <c r="I1608" s="9"/>
      <c r="J1608" s="10">
        <f t="shared" ref="J1608:M1608" si="978">ifs(OR($H1608="R",$I1608="N"),"N/A",OR(C1608="A",C1608="B",C1608="C",C1608="U"),3,TRUE,"FLAG")</f>
        <v>3</v>
      </c>
      <c r="K1608" s="10">
        <f t="shared" si="978"/>
        <v>3</v>
      </c>
      <c r="L1608" s="10">
        <f t="shared" si="978"/>
        <v>3</v>
      </c>
      <c r="M1608" s="10" t="str">
        <f t="shared" si="978"/>
        <v>FLAG</v>
      </c>
      <c r="N1608" s="10" t="str">
        <f t="shared" si="2"/>
        <v>21-5905(a)(3) - Interference with the Judicial Process; Attempting to influence, impede or obstruct a judicial officer or prosecutor by picketing, parading or demonstrating in or near a building housing a judicial officer or prosecutor</v>
      </c>
      <c r="O1608" s="10" t="str">
        <f t="shared" si="3"/>
        <v>Interference with the Judicial Process</v>
      </c>
    </row>
    <row r="1609">
      <c r="A1609" s="7" t="s">
        <v>2932</v>
      </c>
      <c r="B1609" s="8" t="s">
        <v>2933</v>
      </c>
      <c r="C1609" s="8" t="s">
        <v>27</v>
      </c>
      <c r="D1609" s="8" t="s">
        <v>28</v>
      </c>
      <c r="E1609" s="8" t="s">
        <v>19</v>
      </c>
      <c r="F1609" s="8" t="s">
        <v>20</v>
      </c>
      <c r="G1609" s="8" t="s">
        <v>21</v>
      </c>
      <c r="H1609" s="9"/>
      <c r="I1609" s="9"/>
      <c r="J1609" s="10">
        <f t="shared" ref="J1609:M1609" si="979">ifs(OR($H1609="R",$I1609="N"),"N/A",OR(C1609="A",C1609="B",C1609="C",C1609="U"),3,TRUE,"FLAG")</f>
        <v>3</v>
      </c>
      <c r="K1609" s="10">
        <f t="shared" si="979"/>
        <v>3</v>
      </c>
      <c r="L1609" s="10">
        <f t="shared" si="979"/>
        <v>3</v>
      </c>
      <c r="M1609" s="10" t="str">
        <f t="shared" si="979"/>
        <v>FLAG</v>
      </c>
      <c r="N1609" s="10" t="str">
        <f t="shared" si="2"/>
        <v>21-5905(a)(2)(C) - Interference with the Judicial Process; Attempting to influence, impede or obstruct a judicial officer or prosecutor by picketing, parading or demonstrating near a judicial officer's or prosecutor's residence</v>
      </c>
      <c r="O1609" s="10" t="str">
        <f t="shared" si="3"/>
        <v>Interference with the Judicial Process</v>
      </c>
    </row>
    <row r="1610">
      <c r="A1610" s="7" t="s">
        <v>2934</v>
      </c>
      <c r="B1610" s="8" t="s">
        <v>2935</v>
      </c>
      <c r="C1610" s="8">
        <v>9.0</v>
      </c>
      <c r="D1610" s="8">
        <v>10.0</v>
      </c>
      <c r="E1610" s="8">
        <v>10.0</v>
      </c>
      <c r="F1610" s="8">
        <v>10.0</v>
      </c>
      <c r="G1610" s="8" t="s">
        <v>21</v>
      </c>
      <c r="H1610" s="9"/>
      <c r="I1610" s="9"/>
      <c r="N1610" s="10" t="str">
        <f t="shared" si="2"/>
        <v>21-5905(a)(6)(B) - Interference with the Judicial Process; Corrupt Conduct of a Juror; Intentionally promising or agree to wrongfully give a verdict for or against any party in any proceeding</v>
      </c>
      <c r="O1610" s="10" t="str">
        <f t="shared" si="3"/>
        <v>Interference with the Judicial Process</v>
      </c>
    </row>
    <row r="1611">
      <c r="A1611" s="7" t="s">
        <v>2936</v>
      </c>
      <c r="B1611" s="8" t="s">
        <v>2937</v>
      </c>
      <c r="C1611" s="8">
        <v>7.0</v>
      </c>
      <c r="D1611" s="8">
        <v>9.0</v>
      </c>
      <c r="E1611" s="8">
        <v>9.0</v>
      </c>
      <c r="F1611" s="8">
        <v>9.0</v>
      </c>
      <c r="G1611" s="8" t="s">
        <v>21</v>
      </c>
      <c r="H1611" s="9"/>
      <c r="I1611" s="9"/>
      <c r="N1611" s="10" t="str">
        <f t="shared" si="2"/>
        <v>21-5905(a)(6)(A) - Interference with the Judicial Process; Corrupt Conduct of a Juror; Intentionally soliciting, accepting or agreeing to accept a benefit as consideration for a promise to wrongfully give a verdict for or against any party in any proceeding</v>
      </c>
      <c r="O1611" s="10" t="str">
        <f t="shared" si="3"/>
        <v>Interference with the Judicial Process</v>
      </c>
    </row>
    <row r="1612">
      <c r="A1612" s="7" t="s">
        <v>2938</v>
      </c>
      <c r="B1612" s="8" t="s">
        <v>2939</v>
      </c>
      <c r="C1612" s="8">
        <v>9.0</v>
      </c>
      <c r="D1612" s="8">
        <v>10.0</v>
      </c>
      <c r="E1612" s="8">
        <v>10.0</v>
      </c>
      <c r="F1612" s="8">
        <v>10.0</v>
      </c>
      <c r="G1612" s="8" t="s">
        <v>21</v>
      </c>
      <c r="H1612" s="9"/>
      <c r="I1612" s="9"/>
      <c r="N1612" s="10" t="str">
        <f t="shared" si="2"/>
        <v>21-5905(a)(6)(C) - Interference with the Judicial Process; Corrupt Conduct of a Juror; Knowingly receive evidence or information pertaining to the trial of which such juror has been or will be sworn, without the authority of the court or officer before whom such juror has been summoned, and without immediate disclosure of the same</v>
      </c>
      <c r="O1612" s="10" t="str">
        <f t="shared" si="3"/>
        <v>Interference with the Judicial Process</v>
      </c>
    </row>
    <row r="1613">
      <c r="A1613" s="7" t="s">
        <v>2940</v>
      </c>
      <c r="B1613" s="8" t="s">
        <v>2941</v>
      </c>
      <c r="C1613" s="8">
        <v>8.0</v>
      </c>
      <c r="D1613" s="8">
        <v>10.0</v>
      </c>
      <c r="E1613" s="8">
        <v>10.0</v>
      </c>
      <c r="F1613" s="8">
        <v>10.0</v>
      </c>
      <c r="G1613" s="8" t="s">
        <v>21</v>
      </c>
      <c r="H1613" s="9"/>
      <c r="I1613" s="9"/>
      <c r="N1613" s="10" t="str">
        <f t="shared" si="2"/>
        <v>21-5905(a)(5)(C) - Interference with the Judicial Process; In the case of a felony; Intentionally in any criminal proceeding or investigation; Alter, damage, remove or destroy any record, document or thing with intent to prevent its production or use as evidence</v>
      </c>
      <c r="O1613" s="10" t="str">
        <f t="shared" si="3"/>
        <v>Interference with the Judicial Process</v>
      </c>
    </row>
    <row r="1614">
      <c r="A1614" s="7" t="s">
        <v>2942</v>
      </c>
      <c r="B1614" s="8" t="s">
        <v>2943</v>
      </c>
      <c r="C1614" s="8">
        <v>8.0</v>
      </c>
      <c r="D1614" s="8">
        <v>10.0</v>
      </c>
      <c r="E1614" s="8">
        <v>10.0</v>
      </c>
      <c r="F1614" s="8">
        <v>10.0</v>
      </c>
      <c r="G1614" s="8" t="s">
        <v>21</v>
      </c>
      <c r="H1614" s="9"/>
      <c r="I1614" s="9"/>
      <c r="N1614" s="10" t="str">
        <f t="shared" si="2"/>
        <v>21-5905(a)(5)(A) - Interference with the Judicial Process; In the case of a felony; Intentionally in any criminal proceeding or investigation; Induce witness or informant to withhold or unreasonably delay producing testimony, information, document or thing</v>
      </c>
      <c r="O1614" s="10" t="str">
        <f t="shared" si="3"/>
        <v>Interference with the Judicial Process</v>
      </c>
    </row>
    <row r="1615">
      <c r="A1615" s="7" t="s">
        <v>2944</v>
      </c>
      <c r="B1615" s="8" t="s">
        <v>2945</v>
      </c>
      <c r="C1615" s="8">
        <v>8.0</v>
      </c>
      <c r="D1615" s="8">
        <v>10.0</v>
      </c>
      <c r="E1615" s="8">
        <v>10.0</v>
      </c>
      <c r="F1615" s="8">
        <v>10.0</v>
      </c>
      <c r="G1615" s="8" t="s">
        <v>21</v>
      </c>
      <c r="H1615" s="9"/>
      <c r="I1615" s="9"/>
      <c r="N1615" s="10" t="str">
        <f t="shared" si="2"/>
        <v>21-5905(a)(5)(D) - Interference with the Judicial Process; In the case of a felony; Intentionally in any criminal proceeding or investigation; Make, present, or use a false record, document or thing with intent that the same appear in evidence to mislead the court, master or law enforcement officer</v>
      </c>
      <c r="O1615" s="10" t="str">
        <f t="shared" si="3"/>
        <v>Interference with the Judicial Process</v>
      </c>
    </row>
    <row r="1616">
      <c r="A1616" s="7" t="s">
        <v>2946</v>
      </c>
      <c r="B1616" s="8" t="s">
        <v>2947</v>
      </c>
      <c r="C1616" s="8">
        <v>8.0</v>
      </c>
      <c r="D1616" s="8">
        <v>10.0</v>
      </c>
      <c r="E1616" s="8">
        <v>10.0</v>
      </c>
      <c r="F1616" s="8">
        <v>10.0</v>
      </c>
      <c r="G1616" s="8" t="s">
        <v>21</v>
      </c>
      <c r="H1616" s="9"/>
      <c r="I1616" s="9"/>
      <c r="N1616" s="10" t="str">
        <f t="shared" si="2"/>
        <v>21-5905(a)(5)(B) - Interference with the Judicial Process; In the case of a felony; Intentionally in any criminal proceeding or investigation; withhold or unreasonably delay production of testimony, information, document or thing after a court orders production of the same</v>
      </c>
      <c r="O1616" s="10" t="str">
        <f t="shared" si="3"/>
        <v>Interference with the Judicial Process</v>
      </c>
    </row>
    <row r="1617">
      <c r="A1617" s="7" t="s">
        <v>2948</v>
      </c>
      <c r="B1617" s="8" t="s">
        <v>2941</v>
      </c>
      <c r="C1617" s="8" t="s">
        <v>27</v>
      </c>
      <c r="D1617" s="8" t="s">
        <v>28</v>
      </c>
      <c r="E1617" s="8" t="s">
        <v>19</v>
      </c>
      <c r="F1617" s="8" t="s">
        <v>20</v>
      </c>
      <c r="G1617" s="8" t="s">
        <v>21</v>
      </c>
      <c r="H1617" s="9"/>
      <c r="I1617" s="9"/>
      <c r="J1617" s="10">
        <f t="shared" ref="J1617:M1617" si="980">ifs(OR($H1617="R",$I1617="N"),"N/A",OR(C1617="A",C1617="B",C1617="C",C1617="U"),3,TRUE,"FLAG")</f>
        <v>3</v>
      </c>
      <c r="K1617" s="10">
        <f t="shared" si="980"/>
        <v>3</v>
      </c>
      <c r="L1617" s="10">
        <f t="shared" si="980"/>
        <v>3</v>
      </c>
      <c r="M1617" s="10" t="str">
        <f t="shared" si="980"/>
        <v>FLAG</v>
      </c>
      <c r="N1617" s="10" t="str">
        <f t="shared" si="2"/>
        <v>21-5905(a)(5)(C) - Interference with the Judicial Process; Intentionally in any criminal proceeding or investigation; Alter, damage, remove or destroy any record, document or thing the  intent to prevent its production or use as evidence</v>
      </c>
      <c r="O1617" s="10" t="str">
        <f t="shared" si="3"/>
        <v>Interference with the Judicial Process</v>
      </c>
    </row>
    <row r="1618">
      <c r="A1618" s="7" t="s">
        <v>2949</v>
      </c>
      <c r="B1618" s="8" t="s">
        <v>2943</v>
      </c>
      <c r="C1618" s="8" t="s">
        <v>27</v>
      </c>
      <c r="D1618" s="8" t="s">
        <v>28</v>
      </c>
      <c r="E1618" s="8" t="s">
        <v>19</v>
      </c>
      <c r="F1618" s="8" t="s">
        <v>20</v>
      </c>
      <c r="G1618" s="8" t="s">
        <v>21</v>
      </c>
      <c r="H1618" s="9"/>
      <c r="I1618" s="9"/>
      <c r="J1618" s="10">
        <f t="shared" ref="J1618:M1618" si="981">ifs(OR($H1618="R",$I1618="N"),"N/A",OR(C1618="A",C1618="B",C1618="C",C1618="U"),3,TRUE,"FLAG")</f>
        <v>3</v>
      </c>
      <c r="K1618" s="10">
        <f t="shared" si="981"/>
        <v>3</v>
      </c>
      <c r="L1618" s="10">
        <f t="shared" si="981"/>
        <v>3</v>
      </c>
      <c r="M1618" s="10" t="str">
        <f t="shared" si="981"/>
        <v>FLAG</v>
      </c>
      <c r="N1618" s="10" t="str">
        <f t="shared" si="2"/>
        <v>21-5905(a)(5)(A) - Interference with the Judicial Process; Intentionally in any criminal proceeding or investigation; Induce witness or informant to withhold or unreasonably delay producing testimony, information, document or thing</v>
      </c>
      <c r="O1618" s="10" t="str">
        <f t="shared" si="3"/>
        <v>Interference with the Judicial Process</v>
      </c>
    </row>
    <row r="1619">
      <c r="A1619" s="7" t="s">
        <v>2950</v>
      </c>
      <c r="B1619" s="8" t="s">
        <v>2945</v>
      </c>
      <c r="C1619" s="8" t="s">
        <v>27</v>
      </c>
      <c r="D1619" s="8" t="s">
        <v>28</v>
      </c>
      <c r="E1619" s="8" t="s">
        <v>19</v>
      </c>
      <c r="F1619" s="8" t="s">
        <v>20</v>
      </c>
      <c r="G1619" s="8" t="s">
        <v>21</v>
      </c>
      <c r="H1619" s="9"/>
      <c r="I1619" s="9"/>
      <c r="J1619" s="10">
        <f t="shared" ref="J1619:M1619" si="982">ifs(OR($H1619="R",$I1619="N"),"N/A",OR(C1619="A",C1619="B",C1619="C",C1619="U"),3,TRUE,"FLAG")</f>
        <v>3</v>
      </c>
      <c r="K1619" s="10">
        <f t="shared" si="982"/>
        <v>3</v>
      </c>
      <c r="L1619" s="10">
        <f t="shared" si="982"/>
        <v>3</v>
      </c>
      <c r="M1619" s="10" t="str">
        <f t="shared" si="982"/>
        <v>FLAG</v>
      </c>
      <c r="N1619" s="10" t="str">
        <f t="shared" si="2"/>
        <v>21-5905(a)(5)(D) - Interference with the Judicial Process; Intentionally in any criminal proceeding or investigation; Make, present, or use a false record, document or thing with the intent that the same appear in evidence to mislead the court, master or law enforcement officer</v>
      </c>
      <c r="O1619" s="10" t="str">
        <f t="shared" si="3"/>
        <v>Interference with the Judicial Process</v>
      </c>
    </row>
    <row r="1620">
      <c r="A1620" s="7" t="s">
        <v>2951</v>
      </c>
      <c r="B1620" s="8" t="s">
        <v>2947</v>
      </c>
      <c r="C1620" s="8" t="s">
        <v>27</v>
      </c>
      <c r="D1620" s="8" t="s">
        <v>28</v>
      </c>
      <c r="E1620" s="8" t="s">
        <v>19</v>
      </c>
      <c r="F1620" s="8" t="s">
        <v>20</v>
      </c>
      <c r="G1620" s="8" t="s">
        <v>21</v>
      </c>
      <c r="H1620" s="9"/>
      <c r="I1620" s="9"/>
      <c r="J1620" s="10">
        <f t="shared" ref="J1620:M1620" si="983">ifs(OR($H1620="R",$I1620="N"),"N/A",OR(C1620="A",C1620="B",C1620="C",C1620="U"),3,TRUE,"FLAG")</f>
        <v>3</v>
      </c>
      <c r="K1620" s="10">
        <f t="shared" si="983"/>
        <v>3</v>
      </c>
      <c r="L1620" s="10">
        <f t="shared" si="983"/>
        <v>3</v>
      </c>
      <c r="M1620" s="10" t="str">
        <f t="shared" si="983"/>
        <v>FLAG</v>
      </c>
      <c r="N1620" s="10" t="str">
        <f t="shared" si="2"/>
        <v>21-5905(a)(5)(B) - Interference with the Judicial Process; Intentionally in any criminal proceeding or investigation; withhold or unreasonably delay production of testimony, information, document or thing after a court orders production of the same</v>
      </c>
      <c r="O1620" s="10" t="str">
        <f t="shared" si="3"/>
        <v>Interference with the Judicial Process</v>
      </c>
    </row>
    <row r="1621">
      <c r="A1621" s="7" t="s">
        <v>2952</v>
      </c>
      <c r="B1621" s="8" t="s">
        <v>2953</v>
      </c>
      <c r="C1621" s="8">
        <v>8.0</v>
      </c>
      <c r="D1621" s="8">
        <v>10.0</v>
      </c>
      <c r="E1621" s="8">
        <v>10.0</v>
      </c>
      <c r="F1621" s="8">
        <v>10.0</v>
      </c>
      <c r="G1621" s="8" t="s">
        <v>21</v>
      </c>
      <c r="H1621" s="9"/>
      <c r="I1621" s="9"/>
      <c r="N1621" s="10" t="str">
        <f t="shared" si="2"/>
        <v>21-5905(a)(4)(A) - Interference with the Judicial Process; Knowingly accepting or agreeing to accept anything of value as consideration for a promise not to initiate or aid in a prosecution if the crime is a felony</v>
      </c>
      <c r="O1621" s="10" t="str">
        <f t="shared" si="3"/>
        <v>Interference with the Judicial Process</v>
      </c>
    </row>
    <row r="1622">
      <c r="A1622" s="7" t="s">
        <v>2954</v>
      </c>
      <c r="B1622" s="8" t="s">
        <v>2955</v>
      </c>
      <c r="C1622" s="8">
        <v>8.0</v>
      </c>
      <c r="D1622" s="8">
        <v>10.0</v>
      </c>
      <c r="E1622" s="8">
        <v>10.0</v>
      </c>
      <c r="F1622" s="8">
        <v>10.0</v>
      </c>
      <c r="G1622" s="8" t="s">
        <v>21</v>
      </c>
      <c r="H1622" s="9"/>
      <c r="I1622" s="9"/>
      <c r="N1622" s="10" t="str">
        <f t="shared" si="2"/>
        <v>21-5905(a)(4)(B) - Interference with the Judicial Process; Knowingly accepting or agreeing to accept anything of value as consideration for a promise to conceal or destroy evidence of a crime if the crime is a felony</v>
      </c>
      <c r="O1622" s="10" t="str">
        <f t="shared" si="3"/>
        <v>Interference with the Judicial Process</v>
      </c>
    </row>
    <row r="1623">
      <c r="A1623" s="7" t="s">
        <v>2956</v>
      </c>
      <c r="B1623" s="8" t="s">
        <v>2955</v>
      </c>
      <c r="C1623" s="8" t="s">
        <v>27</v>
      </c>
      <c r="D1623" s="8" t="s">
        <v>28</v>
      </c>
      <c r="E1623" s="8" t="s">
        <v>19</v>
      </c>
      <c r="F1623" s="8" t="s">
        <v>20</v>
      </c>
      <c r="G1623" s="8" t="s">
        <v>21</v>
      </c>
      <c r="H1623" s="9"/>
      <c r="I1623" s="9"/>
      <c r="J1623" s="10">
        <f t="shared" ref="J1623:M1623" si="984">ifs(OR($H1623="R",$I1623="N"),"N/A",OR(C1623="A",C1623="B",C1623="C",C1623="U"),3,TRUE,"FLAG")</f>
        <v>3</v>
      </c>
      <c r="K1623" s="10">
        <f t="shared" si="984"/>
        <v>3</v>
      </c>
      <c r="L1623" s="10">
        <f t="shared" si="984"/>
        <v>3</v>
      </c>
      <c r="M1623" s="10" t="str">
        <f t="shared" si="984"/>
        <v>FLAG</v>
      </c>
      <c r="N1623" s="10" t="str">
        <f t="shared" si="2"/>
        <v>21-5905(a)(4)(B) - Interference with the Judicial Process; Knowingly accepting or agreeing to accept anything of value as consideration for a promise to conceal or destroy evidence of a misdemeanor</v>
      </c>
      <c r="O1623" s="10" t="str">
        <f t="shared" si="3"/>
        <v>Interference with the Judicial Process</v>
      </c>
    </row>
    <row r="1624">
      <c r="A1624" s="7" t="s">
        <v>2957</v>
      </c>
      <c r="B1624" s="8" t="s">
        <v>2953</v>
      </c>
      <c r="C1624" s="8" t="s">
        <v>27</v>
      </c>
      <c r="D1624" s="8" t="s">
        <v>28</v>
      </c>
      <c r="E1624" s="8" t="s">
        <v>19</v>
      </c>
      <c r="F1624" s="8" t="s">
        <v>20</v>
      </c>
      <c r="G1624" s="8" t="s">
        <v>21</v>
      </c>
      <c r="H1624" s="9"/>
      <c r="I1624" s="9"/>
      <c r="J1624" s="10">
        <f t="shared" ref="J1624:M1624" si="985">ifs(OR($H1624="R",$I1624="N"),"N/A",OR(C1624="A",C1624="B",C1624="C",C1624="U"),3,TRUE,"FLAG")</f>
        <v>3</v>
      </c>
      <c r="K1624" s="10">
        <f t="shared" si="985"/>
        <v>3</v>
      </c>
      <c r="L1624" s="10">
        <f t="shared" si="985"/>
        <v>3</v>
      </c>
      <c r="M1624" s="10" t="str">
        <f t="shared" si="985"/>
        <v>FLAG</v>
      </c>
      <c r="N1624" s="10" t="str">
        <f t="shared" si="2"/>
        <v>21-5905(a)(4)(A) - Interference with the Judicial Process; Knowingly accepting or agreeing to accept anything of value as consideration for a promise to not to initiate or aid in a prosecution of a person who has committed a misdemeanor</v>
      </c>
      <c r="O1624" s="10" t="str">
        <f t="shared" si="3"/>
        <v>Interference with the Judicial Process</v>
      </c>
    </row>
    <row r="1625">
      <c r="A1625" s="7" t="s">
        <v>2958</v>
      </c>
      <c r="B1625" s="8" t="s">
        <v>2959</v>
      </c>
      <c r="C1625" s="8" t="s">
        <v>27</v>
      </c>
      <c r="D1625" s="8" t="s">
        <v>28</v>
      </c>
      <c r="E1625" s="8" t="s">
        <v>19</v>
      </c>
      <c r="F1625" s="8" t="s">
        <v>20</v>
      </c>
      <c r="G1625" s="8" t="s">
        <v>24</v>
      </c>
      <c r="H1625" s="9"/>
      <c r="I1625" s="9"/>
      <c r="J1625" s="10">
        <f t="shared" ref="J1625:M1625" si="986">ifs(OR($H1625="R",$I1625="N"),"N/A",OR(C1625="A",C1625="B",C1625="C",C1625="U"),3,TRUE,"FLAG")</f>
        <v>3</v>
      </c>
      <c r="K1625" s="10">
        <f t="shared" si="986"/>
        <v>3</v>
      </c>
      <c r="L1625" s="10">
        <f t="shared" si="986"/>
        <v>3</v>
      </c>
      <c r="M1625" s="10" t="str">
        <f t="shared" si="986"/>
        <v>FLAG</v>
      </c>
      <c r="N1625" s="10" t="str">
        <f t="shared" si="2"/>
        <v>21-5905(a)(7) - Interference with the Judicial Process; Knowingly making available personal information about a judge or a judge's immediate family member if dissemination of such information poses an imminent and serious threat to such judge or family member and person knows or reasonably should know of such threat; 1st conviction</v>
      </c>
      <c r="O1625" s="10" t="str">
        <f t="shared" si="3"/>
        <v>Interference with the Judicial Process</v>
      </c>
    </row>
    <row r="1626">
      <c r="A1626" s="7" t="s">
        <v>2960</v>
      </c>
      <c r="B1626" s="8" t="s">
        <v>2959</v>
      </c>
      <c r="C1626" s="8">
        <v>9.0</v>
      </c>
      <c r="D1626" s="8">
        <v>10.0</v>
      </c>
      <c r="E1626" s="8">
        <v>10.0</v>
      </c>
      <c r="F1626" s="8">
        <v>10.0</v>
      </c>
      <c r="G1626" s="8" t="s">
        <v>24</v>
      </c>
      <c r="H1626" s="9"/>
      <c r="I1626" s="9"/>
      <c r="N1626" s="10" t="str">
        <f t="shared" si="2"/>
        <v>21-5905(a)(7) - Interference with the Judicial Process; Knowingly making available personal information about a judge or a judge's immediate family member if dissemination of such information poses an imminent and serious threat to such judge or family member and person knows or reasonably should know of such threat; 2nd or subsequent conviction</v>
      </c>
      <c r="O1626" s="10" t="str">
        <f t="shared" si="3"/>
        <v>Interference with the Judicial Process</v>
      </c>
    </row>
    <row r="1627">
      <c r="A1627" s="7" t="s">
        <v>2961</v>
      </c>
      <c r="B1627" s="8" t="s">
        <v>2962</v>
      </c>
      <c r="C1627" s="8" t="s">
        <v>19</v>
      </c>
      <c r="D1627" s="8" t="s">
        <v>19</v>
      </c>
      <c r="E1627" s="8" t="s">
        <v>19</v>
      </c>
      <c r="F1627" s="8" t="s">
        <v>20</v>
      </c>
      <c r="G1627" s="8" t="s">
        <v>21</v>
      </c>
      <c r="H1627" s="9"/>
      <c r="I1627" s="9"/>
      <c r="J1627" s="10">
        <f t="shared" ref="J1627:M1627" si="987">ifs(OR($H1627="R",$I1627="N"),"N/A",OR(C1627="A",C1627="B",C1627="C",C1627="U"),3,TRUE,"FLAG")</f>
        <v>3</v>
      </c>
      <c r="K1627" s="10">
        <f t="shared" si="987"/>
        <v>3</v>
      </c>
      <c r="L1627" s="10">
        <f t="shared" si="987"/>
        <v>3</v>
      </c>
      <c r="M1627" s="10" t="str">
        <f t="shared" si="987"/>
        <v>FLAG</v>
      </c>
      <c r="N1627" s="10" t="str">
        <f t="shared" si="2"/>
        <v>38-1206 - Interstate Compact on Placement of Children; Failure of any professional to comply with provisions of compact</v>
      </c>
      <c r="O1627" s="10" t="str">
        <f t="shared" si="3"/>
        <v>Interstate Compact on Placement of Children</v>
      </c>
    </row>
    <row r="1628">
      <c r="A1628" s="7" t="s">
        <v>2963</v>
      </c>
      <c r="B1628" s="8" t="s">
        <v>2964</v>
      </c>
      <c r="C1628" s="8" t="s">
        <v>28</v>
      </c>
      <c r="D1628" s="8" t="s">
        <v>19</v>
      </c>
      <c r="E1628" s="8" t="s">
        <v>19</v>
      </c>
      <c r="F1628" s="8" t="s">
        <v>20</v>
      </c>
      <c r="G1628" s="8" t="s">
        <v>24</v>
      </c>
      <c r="H1628" s="9"/>
      <c r="I1628" s="9"/>
      <c r="J1628" s="10">
        <f t="shared" ref="J1628:M1628" si="988">ifs(OR($H1628="R",$I1628="N"),"N/A",OR(C1628="A",C1628="B",C1628="C",C1628="U"),3,TRUE,"FLAG")</f>
        <v>3</v>
      </c>
      <c r="K1628" s="10">
        <f t="shared" si="988"/>
        <v>3</v>
      </c>
      <c r="L1628" s="10">
        <f t="shared" si="988"/>
        <v>3</v>
      </c>
      <c r="M1628" s="10" t="str">
        <f t="shared" si="988"/>
        <v>FLAG</v>
      </c>
      <c r="N1628" s="10" t="str">
        <f t="shared" si="2"/>
        <v>21-5909(a)(1) - Intimidation of Witness or Victim; Prevent or dissuade, or attempt to prevent or dissuade any witness or victim from attending or giving testimony at any civil or criminal trial, proceeding or inquiry authorized by law</v>
      </c>
      <c r="O1628" s="10" t="str">
        <f t="shared" si="3"/>
        <v>Intimidation of Witness or Victim</v>
      </c>
    </row>
    <row r="1629">
      <c r="A1629" s="7" t="s">
        <v>2965</v>
      </c>
      <c r="B1629" s="8" t="s">
        <v>2966</v>
      </c>
      <c r="C1629" s="8" t="s">
        <v>28</v>
      </c>
      <c r="D1629" s="8" t="s">
        <v>19</v>
      </c>
      <c r="E1629" s="8" t="s">
        <v>19</v>
      </c>
      <c r="F1629" s="8" t="s">
        <v>20</v>
      </c>
      <c r="G1629" s="8" t="s">
        <v>24</v>
      </c>
      <c r="H1629" s="9"/>
      <c r="I1629" s="9"/>
      <c r="J1629" s="10">
        <f t="shared" ref="J1629:M1629" si="989">ifs(OR($H1629="R",$I1629="N"),"N/A",OR(C1629="A",C1629="B",C1629="C",C1629="U"),3,TRUE,"FLAG")</f>
        <v>3</v>
      </c>
      <c r="K1629" s="10">
        <f t="shared" si="989"/>
        <v>3</v>
      </c>
      <c r="L1629" s="10">
        <f t="shared" si="989"/>
        <v>3</v>
      </c>
      <c r="M1629" s="10" t="str">
        <f t="shared" si="989"/>
        <v>FLAG</v>
      </c>
      <c r="N1629" s="10" t="str">
        <f t="shared" si="2"/>
        <v>21-5909(a)(2)(D) - Intimidation of Witness or Victim; Prevent or dissuade, or attempt to prevent or dissuade any witness, victim or person acting on behalf of a victim from arresting, causing or seeking the arrest of any person in connection with the victimization of a victim</v>
      </c>
      <c r="O1629" s="10" t="str">
        <f t="shared" si="3"/>
        <v>Intimidation of Witness or Victim</v>
      </c>
    </row>
    <row r="1630">
      <c r="A1630" s="7" t="s">
        <v>2967</v>
      </c>
      <c r="B1630" s="8" t="s">
        <v>2968</v>
      </c>
      <c r="C1630" s="8" t="s">
        <v>28</v>
      </c>
      <c r="D1630" s="8" t="s">
        <v>19</v>
      </c>
      <c r="E1630" s="8" t="s">
        <v>19</v>
      </c>
      <c r="F1630" s="8" t="s">
        <v>20</v>
      </c>
      <c r="G1630" s="8" t="s">
        <v>24</v>
      </c>
      <c r="H1630" s="9"/>
      <c r="I1630" s="9"/>
      <c r="J1630" s="10">
        <f t="shared" ref="J1630:M1630" si="990">ifs(OR($H1630="R",$I1630="N"),"N/A",OR(C1630="A",C1630="B",C1630="C",C1630="U"),3,TRUE,"FLAG")</f>
        <v>3</v>
      </c>
      <c r="K1630" s="10">
        <f t="shared" si="990"/>
        <v>3</v>
      </c>
      <c r="L1630" s="10">
        <f t="shared" si="990"/>
        <v>3</v>
      </c>
      <c r="M1630" s="10" t="str">
        <f t="shared" si="990"/>
        <v>FLAG</v>
      </c>
      <c r="N1630" s="10" t="str">
        <f t="shared" si="2"/>
        <v>21-5909(a)(2)(C) - Intimidation of Witness or Victim; Prevent or dissuade, or attempt to prevent or dissuade any witness, victim or person acting on behalf of a victim from causing a civil action to be filed and prosecuted and assisting in its prosecution</v>
      </c>
      <c r="O1630" s="10" t="str">
        <f t="shared" si="3"/>
        <v>Intimidation of Witness or Victim</v>
      </c>
    </row>
    <row r="1631">
      <c r="A1631" s="7" t="s">
        <v>2969</v>
      </c>
      <c r="B1631" s="8" t="s">
        <v>2970</v>
      </c>
      <c r="C1631" s="8" t="s">
        <v>28</v>
      </c>
      <c r="D1631" s="8" t="s">
        <v>19</v>
      </c>
      <c r="E1631" s="8" t="s">
        <v>19</v>
      </c>
      <c r="F1631" s="8" t="s">
        <v>20</v>
      </c>
      <c r="G1631" s="8" t="s">
        <v>24</v>
      </c>
      <c r="H1631" s="9"/>
      <c r="I1631" s="9"/>
      <c r="J1631" s="10">
        <f t="shared" ref="J1631:M1631" si="991">ifs(OR($H1631="R",$I1631="N"),"N/A",OR(C1631="A",C1631="B",C1631="C",C1631="U"),3,TRUE,"FLAG")</f>
        <v>3</v>
      </c>
      <c r="K1631" s="10">
        <f t="shared" si="991"/>
        <v>3</v>
      </c>
      <c r="L1631" s="10">
        <f t="shared" si="991"/>
        <v>3</v>
      </c>
      <c r="M1631" s="10" t="str">
        <f t="shared" si="991"/>
        <v>FLAG</v>
      </c>
      <c r="N1631" s="10" t="str">
        <f t="shared" si="2"/>
        <v>21-5909(a)(2)(B) - Intimidation of Witness or Victim; Prevent or dissuade, or attempt to prevent or dissuade any witness, victim or person acting on behalf of a victim from causing a complaint, indictment or information to be sought and prosecuted, or causing a violation of probation, parole or assignment to a community correctional services program to be reported and prosecuted, and assisting in its prosecution</v>
      </c>
      <c r="O1631" s="10" t="str">
        <f t="shared" si="3"/>
        <v>Intimidation of Witness or Victim</v>
      </c>
    </row>
    <row r="1632">
      <c r="A1632" s="7" t="s">
        <v>2971</v>
      </c>
      <c r="B1632" s="8" t="s">
        <v>2972</v>
      </c>
      <c r="C1632" s="8" t="s">
        <v>28</v>
      </c>
      <c r="D1632" s="8" t="s">
        <v>19</v>
      </c>
      <c r="E1632" s="8" t="s">
        <v>19</v>
      </c>
      <c r="F1632" s="8" t="s">
        <v>20</v>
      </c>
      <c r="G1632" s="8" t="s">
        <v>24</v>
      </c>
      <c r="H1632" s="9"/>
      <c r="I1632" s="9"/>
      <c r="J1632" s="10">
        <f t="shared" ref="J1632:M1632" si="992">ifs(OR($H1632="R",$I1632="N"),"N/A",OR(C1632="A",C1632="B",C1632="C",C1632="U"),3,TRUE,"FLAG")</f>
        <v>3</v>
      </c>
      <c r="K1632" s="10">
        <f t="shared" si="992"/>
        <v>3</v>
      </c>
      <c r="L1632" s="10">
        <f t="shared" si="992"/>
        <v>3</v>
      </c>
      <c r="M1632" s="10" t="str">
        <f t="shared" si="992"/>
        <v>FLAG</v>
      </c>
      <c r="N1632" s="10" t="str">
        <f t="shared" si="2"/>
        <v>21-5909(a)(2)(A) - Intimidation of Witness or Victim; Prevent or dissuade, or attempt to prevent or dissuade any witness, victim or person acting on behalf of a victim from making any report of the victimization of a victim</v>
      </c>
      <c r="O1632" s="10" t="str">
        <f t="shared" si="3"/>
        <v>Intimidation of Witness or Victim</v>
      </c>
    </row>
    <row r="1633">
      <c r="A1633" s="7" t="s">
        <v>2973</v>
      </c>
      <c r="B1633" s="8" t="s">
        <v>2974</v>
      </c>
      <c r="C1633" s="8">
        <v>5.0</v>
      </c>
      <c r="D1633" s="8">
        <v>7.0</v>
      </c>
      <c r="E1633" s="8">
        <v>7.0</v>
      </c>
      <c r="F1633" s="8">
        <v>8.0</v>
      </c>
      <c r="G1633" s="8" t="s">
        <v>24</v>
      </c>
      <c r="H1633" s="8" t="s">
        <v>109</v>
      </c>
      <c r="I1633" s="8" t="s">
        <v>54</v>
      </c>
      <c r="N1633" s="10" t="str">
        <f t="shared" si="2"/>
        <v>21-5405(a)(4) - Involuntary Manslaughter; In commission of lawful act in unlawful manner</v>
      </c>
      <c r="O1633" s="10" t="str">
        <f t="shared" si="3"/>
        <v>Involuntary Manslaughter</v>
      </c>
    </row>
    <row r="1634">
      <c r="A1634" s="7" t="s">
        <v>2975</v>
      </c>
      <c r="B1634" s="8" t="s">
        <v>2976</v>
      </c>
      <c r="C1634" s="8">
        <v>4.0</v>
      </c>
      <c r="D1634" s="8">
        <v>6.0</v>
      </c>
      <c r="E1634" s="8">
        <v>6.0</v>
      </c>
      <c r="F1634" s="8">
        <v>7.0</v>
      </c>
      <c r="G1634" s="8" t="s">
        <v>24</v>
      </c>
      <c r="H1634" s="8" t="s">
        <v>109</v>
      </c>
      <c r="I1634" s="8" t="s">
        <v>54</v>
      </c>
      <c r="N1634" s="10" t="str">
        <f t="shared" si="2"/>
        <v>21-5405(a)(3) - Involuntary Manslaughter; In the commission, attempted commission, or flight from DUI</v>
      </c>
      <c r="O1634" s="10" t="str">
        <f t="shared" si="3"/>
        <v>Involuntary Manslaughter</v>
      </c>
    </row>
    <row r="1635">
      <c r="A1635" s="7" t="s">
        <v>2977</v>
      </c>
      <c r="B1635" s="8" t="s">
        <v>2978</v>
      </c>
      <c r="C1635" s="8">
        <v>5.0</v>
      </c>
      <c r="D1635" s="8">
        <v>7.0</v>
      </c>
      <c r="E1635" s="8">
        <v>7.0</v>
      </c>
      <c r="F1635" s="8">
        <v>8.0</v>
      </c>
      <c r="G1635" s="8" t="s">
        <v>24</v>
      </c>
      <c r="H1635" s="8" t="s">
        <v>109</v>
      </c>
      <c r="I1635" s="8" t="s">
        <v>54</v>
      </c>
      <c r="N1635" s="10" t="str">
        <f t="shared" si="2"/>
        <v>21-5405(a)(2) - Involuntary Manslaughter; In the commission, attempted commission, or flight from other felonies excluding DUI</v>
      </c>
      <c r="O1635" s="10" t="str">
        <f t="shared" si="3"/>
        <v>Involuntary Manslaughter</v>
      </c>
    </row>
    <row r="1636">
      <c r="A1636" s="7" t="s">
        <v>2979</v>
      </c>
      <c r="B1636" s="8" t="s">
        <v>2980</v>
      </c>
      <c r="C1636" s="8">
        <v>5.0</v>
      </c>
      <c r="D1636" s="8">
        <v>7.0</v>
      </c>
      <c r="E1636" s="8">
        <v>7.0</v>
      </c>
      <c r="F1636" s="8">
        <v>8.0</v>
      </c>
      <c r="G1636" s="8" t="s">
        <v>24</v>
      </c>
      <c r="H1636" s="8" t="s">
        <v>109</v>
      </c>
      <c r="I1636" s="8" t="s">
        <v>54</v>
      </c>
      <c r="N1636" s="10" t="str">
        <f t="shared" si="2"/>
        <v>21-5405(a)(1) - Involuntary Manslaughter; Recklessly</v>
      </c>
      <c r="O1636" s="10" t="str">
        <f t="shared" si="3"/>
        <v>Involuntary Manslaughter</v>
      </c>
    </row>
    <row r="1637">
      <c r="A1637" s="7" t="s">
        <v>2981</v>
      </c>
      <c r="B1637" s="8" t="s">
        <v>2982</v>
      </c>
      <c r="C1637" s="8" t="s">
        <v>18</v>
      </c>
      <c r="D1637" s="8" t="s">
        <v>18</v>
      </c>
      <c r="E1637" s="8" t="s">
        <v>19</v>
      </c>
      <c r="F1637" s="8" t="s">
        <v>20</v>
      </c>
      <c r="G1637" s="8" t="s">
        <v>21</v>
      </c>
      <c r="H1637" s="9"/>
      <c r="I1637" s="9"/>
      <c r="J1637" s="10">
        <f t="shared" ref="J1637:M1637" si="993">ifs(OR($H1637="R",$I1637="N"),"N/A",OR(C1637="A",C1637="B",C1637="C",C1637="U"),3,TRUE,"FLAG")</f>
        <v>3</v>
      </c>
      <c r="K1637" s="10">
        <f t="shared" si="993"/>
        <v>3</v>
      </c>
      <c r="L1637" s="10">
        <f t="shared" si="993"/>
        <v>3</v>
      </c>
      <c r="M1637" s="10" t="str">
        <f t="shared" si="993"/>
        <v>FLAG</v>
      </c>
      <c r="N1637" s="10" t="str">
        <f t="shared" si="2"/>
        <v>42-389 - Irrigation Districts; Discrimination in rates unlawful</v>
      </c>
      <c r="O1637" s="10" t="str">
        <f t="shared" si="3"/>
        <v>Irrigation Districts</v>
      </c>
    </row>
    <row r="1638">
      <c r="A1638" s="7" t="s">
        <v>2983</v>
      </c>
      <c r="B1638" s="8" t="s">
        <v>2984</v>
      </c>
      <c r="C1638" s="8" t="s">
        <v>18</v>
      </c>
      <c r="D1638" s="8" t="s">
        <v>18</v>
      </c>
      <c r="E1638" s="8" t="s">
        <v>19</v>
      </c>
      <c r="F1638" s="8" t="s">
        <v>20</v>
      </c>
      <c r="G1638" s="8" t="s">
        <v>21</v>
      </c>
      <c r="H1638" s="9"/>
      <c r="I1638" s="9"/>
      <c r="J1638" s="10">
        <f t="shared" ref="J1638:M1638" si="994">ifs(OR($H1638="R",$I1638="N"),"N/A",OR(C1638="A",C1638="B",C1638="C",C1638="U"),3,TRUE,"FLAG")</f>
        <v>3</v>
      </c>
      <c r="K1638" s="10">
        <f t="shared" si="994"/>
        <v>3</v>
      </c>
      <c r="L1638" s="10">
        <f t="shared" si="994"/>
        <v>3</v>
      </c>
      <c r="M1638" s="10" t="str">
        <f t="shared" si="994"/>
        <v>FLAG</v>
      </c>
      <c r="N1638" s="10" t="str">
        <f t="shared" si="2"/>
        <v>42-3,102 - Irrigation Districts; Failure of proprietors to construct or maintain head gate</v>
      </c>
      <c r="O1638" s="10" t="str">
        <f t="shared" si="3"/>
        <v>Irrigation Districts</v>
      </c>
    </row>
    <row r="1639">
      <c r="A1639" s="7" t="s">
        <v>2985</v>
      </c>
      <c r="B1639" s="8" t="s">
        <v>2986</v>
      </c>
      <c r="C1639" s="8" t="s">
        <v>18</v>
      </c>
      <c r="D1639" s="8" t="s">
        <v>18</v>
      </c>
      <c r="E1639" s="8" t="s">
        <v>19</v>
      </c>
      <c r="F1639" s="8" t="s">
        <v>20</v>
      </c>
      <c r="G1639" s="8" t="s">
        <v>21</v>
      </c>
      <c r="H1639" s="9"/>
      <c r="I1639" s="9"/>
      <c r="J1639" s="10">
        <f t="shared" ref="J1639:M1639" si="995">ifs(OR($H1639="R",$I1639="N"),"N/A",OR(C1639="A",C1639="B",C1639="C",C1639="U"),3,TRUE,"FLAG")</f>
        <v>3</v>
      </c>
      <c r="K1639" s="10">
        <f t="shared" si="995"/>
        <v>3</v>
      </c>
      <c r="L1639" s="10">
        <f t="shared" si="995"/>
        <v>3</v>
      </c>
      <c r="M1639" s="10" t="str">
        <f t="shared" si="995"/>
        <v>FLAG</v>
      </c>
      <c r="N1639" s="10" t="str">
        <f t="shared" si="2"/>
        <v>42-3,101 - Irrigation Districts; Failure to construct devices, or to lock head gate and deliver key, or to maintain such devices</v>
      </c>
      <c r="O1639" s="10" t="str">
        <f t="shared" si="3"/>
        <v>Irrigation Districts</v>
      </c>
    </row>
    <row r="1640">
      <c r="A1640" s="7" t="s">
        <v>2987</v>
      </c>
      <c r="B1640" s="8" t="s">
        <v>2988</v>
      </c>
      <c r="C1640" s="8" t="s">
        <v>18</v>
      </c>
      <c r="D1640" s="8" t="s">
        <v>18</v>
      </c>
      <c r="E1640" s="8" t="s">
        <v>19</v>
      </c>
      <c r="F1640" s="8" t="s">
        <v>20</v>
      </c>
      <c r="G1640" s="8" t="s">
        <v>21</v>
      </c>
      <c r="H1640" s="9"/>
      <c r="I1640" s="9"/>
      <c r="J1640" s="10">
        <f t="shared" ref="J1640:M1640" si="996">ifs(OR($H1640="R",$I1640="N"),"N/A",OR(C1640="A",C1640="B",C1640="C",C1640="U"),3,TRUE,"FLAG")</f>
        <v>3</v>
      </c>
      <c r="K1640" s="10">
        <f t="shared" si="996"/>
        <v>3</v>
      </c>
      <c r="L1640" s="10">
        <f t="shared" si="996"/>
        <v>3</v>
      </c>
      <c r="M1640" s="10" t="str">
        <f t="shared" si="996"/>
        <v>FLAG</v>
      </c>
      <c r="N1640" s="10" t="str">
        <f t="shared" si="2"/>
        <v>42-390 - Irrigation Districts; Penalty for excessive charges</v>
      </c>
      <c r="O1640" s="10" t="str">
        <f t="shared" si="3"/>
        <v>Irrigation Districts</v>
      </c>
    </row>
    <row r="1641">
      <c r="A1641" s="7" t="s">
        <v>2989</v>
      </c>
      <c r="B1641" s="8" t="s">
        <v>2990</v>
      </c>
      <c r="C1641" s="8" t="s">
        <v>18</v>
      </c>
      <c r="D1641" s="8" t="s">
        <v>18</v>
      </c>
      <c r="E1641" s="8" t="s">
        <v>19</v>
      </c>
      <c r="F1641" s="8" t="s">
        <v>20</v>
      </c>
      <c r="G1641" s="8" t="s">
        <v>21</v>
      </c>
      <c r="H1641" s="9"/>
      <c r="I1641" s="9"/>
      <c r="J1641" s="10">
        <f t="shared" ref="J1641:M1641" si="997">ifs(OR($H1641="R",$I1641="N"),"N/A",OR(C1641="A",C1641="B",C1641="C",C1641="U"),3,TRUE,"FLAG")</f>
        <v>3</v>
      </c>
      <c r="K1641" s="10">
        <f t="shared" si="997"/>
        <v>3</v>
      </c>
      <c r="L1641" s="10">
        <f t="shared" si="997"/>
        <v>3</v>
      </c>
      <c r="M1641" s="10" t="str">
        <f t="shared" si="997"/>
        <v>FLAG</v>
      </c>
      <c r="N1641" s="10" t="str">
        <f t="shared" si="2"/>
        <v>42-391 - Irrigation Districts; Refusal to furnish water upon tender of charges</v>
      </c>
      <c r="O1641" s="10" t="str">
        <f t="shared" si="3"/>
        <v>Irrigation Districts</v>
      </c>
    </row>
    <row r="1642">
      <c r="A1642" s="7" t="s">
        <v>2991</v>
      </c>
      <c r="B1642" s="8" t="s">
        <v>2992</v>
      </c>
      <c r="C1642" s="8" t="s">
        <v>18</v>
      </c>
      <c r="D1642" s="8" t="s">
        <v>18</v>
      </c>
      <c r="E1642" s="8" t="s">
        <v>19</v>
      </c>
      <c r="F1642" s="8" t="s">
        <v>20</v>
      </c>
      <c r="G1642" s="8" t="s">
        <v>21</v>
      </c>
      <c r="H1642" s="9"/>
      <c r="I1642" s="9"/>
      <c r="J1642" s="10">
        <f t="shared" ref="J1642:M1642" si="998">ifs(OR($H1642="R",$I1642="N"),"N/A",OR(C1642="A",C1642="B",C1642="C",C1642="U"),3,TRUE,"FLAG")</f>
        <v>3</v>
      </c>
      <c r="K1642" s="10">
        <f t="shared" si="998"/>
        <v>3</v>
      </c>
      <c r="L1642" s="10">
        <f t="shared" si="998"/>
        <v>3</v>
      </c>
      <c r="M1642" s="10" t="str">
        <f t="shared" si="998"/>
        <v>FLAG</v>
      </c>
      <c r="N1642" s="10" t="str">
        <f t="shared" si="2"/>
        <v>42-399 - Irrigation Districts; Unlawful acts affecting artesian well</v>
      </c>
      <c r="O1642" s="10" t="str">
        <f t="shared" si="3"/>
        <v>Irrigation Districts</v>
      </c>
    </row>
    <row r="1643">
      <c r="A1643" s="7" t="s">
        <v>2993</v>
      </c>
      <c r="B1643" s="8" t="s">
        <v>2994</v>
      </c>
      <c r="C1643" s="8" t="s">
        <v>18</v>
      </c>
      <c r="D1643" s="8" t="s">
        <v>18</v>
      </c>
      <c r="E1643" s="8" t="s">
        <v>19</v>
      </c>
      <c r="F1643" s="8" t="s">
        <v>20</v>
      </c>
      <c r="G1643" s="8" t="s">
        <v>21</v>
      </c>
      <c r="H1643" s="9"/>
      <c r="I1643" s="9"/>
      <c r="J1643" s="10">
        <f t="shared" ref="J1643:M1643" si="999">ifs(OR($H1643="R",$I1643="N"),"N/A",OR(C1643="A",C1643="B",C1643="C",C1643="U"),3,TRUE,"FLAG")</f>
        <v>3</v>
      </c>
      <c r="K1643" s="10">
        <f t="shared" si="999"/>
        <v>3</v>
      </c>
      <c r="L1643" s="10">
        <f t="shared" si="999"/>
        <v>3</v>
      </c>
      <c r="M1643" s="10" t="str">
        <f t="shared" si="999"/>
        <v>FLAG</v>
      </c>
      <c r="N1643" s="10" t="str">
        <f t="shared" si="2"/>
        <v>42-395 - Irrigation Districts; Unlawful acts affecting works</v>
      </c>
      <c r="O1643" s="10" t="str">
        <f t="shared" si="3"/>
        <v>Irrigation Districts</v>
      </c>
    </row>
    <row r="1644">
      <c r="A1644" s="7" t="s">
        <v>2995</v>
      </c>
      <c r="B1644" s="8" t="s">
        <v>2996</v>
      </c>
      <c r="C1644" s="8" t="s">
        <v>18</v>
      </c>
      <c r="D1644" s="8" t="s">
        <v>18</v>
      </c>
      <c r="E1644" s="8" t="s">
        <v>19</v>
      </c>
      <c r="F1644" s="8" t="s">
        <v>20</v>
      </c>
      <c r="G1644" s="8" t="s">
        <v>21</v>
      </c>
      <c r="H1644" s="9"/>
      <c r="I1644" s="9"/>
      <c r="J1644" s="10">
        <f t="shared" ref="J1644:M1644" si="1000">ifs(OR($H1644="R",$I1644="N"),"N/A",OR(C1644="A",C1644="B",C1644="C",C1644="U"),3,TRUE,"FLAG")</f>
        <v>3</v>
      </c>
      <c r="K1644" s="10">
        <f t="shared" si="1000"/>
        <v>3</v>
      </c>
      <c r="L1644" s="10">
        <f t="shared" si="1000"/>
        <v>3</v>
      </c>
      <c r="M1644" s="10" t="str">
        <f t="shared" si="1000"/>
        <v>FLAG</v>
      </c>
      <c r="N1644" s="10" t="str">
        <f t="shared" si="2"/>
        <v>42-394 - Irrigation Districts; Waste of water by water bailiff, ditch rider, superintendent or other in charge</v>
      </c>
      <c r="O1644" s="10" t="str">
        <f t="shared" si="3"/>
        <v>Irrigation Districts</v>
      </c>
    </row>
    <row r="1645">
      <c r="A1645" s="7" t="s">
        <v>2997</v>
      </c>
      <c r="B1645" s="8" t="s">
        <v>2998</v>
      </c>
      <c r="C1645" s="8" t="s">
        <v>18</v>
      </c>
      <c r="D1645" s="8" t="s">
        <v>18</v>
      </c>
      <c r="E1645" s="8" t="s">
        <v>19</v>
      </c>
      <c r="F1645" s="8" t="s">
        <v>20</v>
      </c>
      <c r="G1645" s="8" t="s">
        <v>21</v>
      </c>
      <c r="H1645" s="9"/>
      <c r="I1645" s="9"/>
      <c r="J1645" s="10">
        <f t="shared" ref="J1645:M1645" si="1001">ifs(OR($H1645="R",$I1645="N"),"N/A",OR(C1645="A",C1645="B",C1645="C",C1645="U"),3,TRUE,"FLAG")</f>
        <v>3</v>
      </c>
      <c r="K1645" s="10">
        <f t="shared" si="1001"/>
        <v>3</v>
      </c>
      <c r="L1645" s="10">
        <f t="shared" si="1001"/>
        <v>3</v>
      </c>
      <c r="M1645" s="10" t="str">
        <f t="shared" si="1001"/>
        <v>FLAG</v>
      </c>
      <c r="N1645" s="10" t="str">
        <f t="shared" si="2"/>
        <v>42-122 - Irrigation; Unlawful acts affecting irrigating canals where ditch company has secured the right of way</v>
      </c>
      <c r="O1645" s="10" t="str">
        <f t="shared" si="3"/>
        <v>Irrigation</v>
      </c>
    </row>
    <row r="1646">
      <c r="A1646" s="7" t="s">
        <v>2999</v>
      </c>
      <c r="B1646" s="8" t="s">
        <v>3000</v>
      </c>
      <c r="C1646" s="8" t="s">
        <v>27</v>
      </c>
      <c r="D1646" s="8" t="s">
        <v>28</v>
      </c>
      <c r="E1646" s="8" t="s">
        <v>19</v>
      </c>
      <c r="F1646" s="8" t="s">
        <v>20</v>
      </c>
      <c r="G1646" s="8" t="s">
        <v>21</v>
      </c>
      <c r="H1646" s="9"/>
      <c r="I1646" s="9"/>
      <c r="J1646" s="10">
        <f t="shared" ref="J1646:M1646" si="1002">ifs(OR($H1646="R",$I1646="N"),"N/A",OR(C1646="A",C1646="B",C1646="C",C1646="U"),3,TRUE,"FLAG")</f>
        <v>3</v>
      </c>
      <c r="K1646" s="10">
        <f t="shared" si="1002"/>
        <v>3</v>
      </c>
      <c r="L1646" s="10">
        <f t="shared" si="1002"/>
        <v>3</v>
      </c>
      <c r="M1646" s="10" t="str">
        <f t="shared" si="1002"/>
        <v>FLAG</v>
      </c>
      <c r="N1646" s="10" t="str">
        <f t="shared" si="2"/>
        <v>43-161 - Jurors; Failure to or falsely answering questions on juror questionnaires</v>
      </c>
      <c r="O1646" s="10" t="str">
        <f t="shared" si="3"/>
        <v>Jurors</v>
      </c>
    </row>
    <row r="1647">
      <c r="A1647" s="7" t="s">
        <v>3001</v>
      </c>
      <c r="B1647" s="8" t="s">
        <v>3002</v>
      </c>
      <c r="C1647" s="8" t="s">
        <v>18</v>
      </c>
      <c r="D1647" s="8" t="s">
        <v>18</v>
      </c>
      <c r="E1647" s="8" t="s">
        <v>19</v>
      </c>
      <c r="F1647" s="8" t="s">
        <v>20</v>
      </c>
      <c r="G1647" s="8" t="s">
        <v>21</v>
      </c>
      <c r="H1647" s="9"/>
      <c r="I1647" s="9"/>
      <c r="J1647" s="10">
        <f t="shared" ref="J1647:M1647" si="1003">ifs(OR($H1647="R",$I1647="N"),"N/A",OR(C1647="A",C1647="B",C1647="C",C1647="U"),3,TRUE,"FLAG")</f>
        <v>3</v>
      </c>
      <c r="K1647" s="10">
        <f t="shared" si="1003"/>
        <v>3</v>
      </c>
      <c r="L1647" s="10">
        <f t="shared" si="1003"/>
        <v>3</v>
      </c>
      <c r="M1647" s="10" t="str">
        <f t="shared" si="1003"/>
        <v>FLAG</v>
      </c>
      <c r="N1647" s="10" t="str">
        <f t="shared" si="2"/>
        <v>43-127 - Jurors; Penalty for seeking jury service or to have another placed on jury list</v>
      </c>
      <c r="O1647" s="10" t="str">
        <f t="shared" si="3"/>
        <v>Jurors</v>
      </c>
    </row>
    <row r="1648">
      <c r="A1648" s="7" t="s">
        <v>3003</v>
      </c>
      <c r="B1648" s="8" t="s">
        <v>3004</v>
      </c>
      <c r="C1648" s="8" t="s">
        <v>19</v>
      </c>
      <c r="D1648" s="8" t="s">
        <v>19</v>
      </c>
      <c r="E1648" s="8" t="s">
        <v>19</v>
      </c>
      <c r="F1648" s="8" t="s">
        <v>20</v>
      </c>
      <c r="G1648" s="8" t="s">
        <v>21</v>
      </c>
      <c r="H1648" s="9"/>
      <c r="I1648" s="9"/>
      <c r="J1648" s="10">
        <f t="shared" ref="J1648:M1648" si="1004">ifs(OR($H1648="R",$I1648="N"),"N/A",OR(C1648="A",C1648="B",C1648="C",C1648="U"),3,TRUE,"FLAG")</f>
        <v>3</v>
      </c>
      <c r="K1648" s="10">
        <f t="shared" si="1004"/>
        <v>3</v>
      </c>
      <c r="L1648" s="10">
        <f t="shared" si="1004"/>
        <v>3</v>
      </c>
      <c r="M1648" s="10" t="str">
        <f t="shared" si="1004"/>
        <v>FLAG</v>
      </c>
      <c r="N1648" s="10" t="str">
        <f t="shared" si="2"/>
        <v>38-2311(a) - Juvenile Justice Code; Unauthorized disclosure of juvenile diagnostic, treatment or medical records</v>
      </c>
      <c r="O1648" s="10" t="str">
        <f t="shared" si="3"/>
        <v>Juvenile Justice Code</v>
      </c>
    </row>
    <row r="1649">
      <c r="A1649" s="7" t="s">
        <v>3005</v>
      </c>
      <c r="B1649" s="8" t="s">
        <v>3006</v>
      </c>
      <c r="C1649" s="8" t="s">
        <v>19</v>
      </c>
      <c r="D1649" s="8" t="s">
        <v>19</v>
      </c>
      <c r="E1649" s="8" t="s">
        <v>19</v>
      </c>
      <c r="F1649" s="8" t="s">
        <v>20</v>
      </c>
      <c r="G1649" s="8" t="s">
        <v>21</v>
      </c>
      <c r="H1649" s="9"/>
      <c r="I1649" s="9"/>
      <c r="J1649" s="10">
        <f t="shared" ref="J1649:M1649" si="1005">ifs(OR($H1649="R",$I1649="N"),"N/A",OR(C1649="A",C1649="B",C1649="C",C1649="U"),3,TRUE,"FLAG")</f>
        <v>3</v>
      </c>
      <c r="K1649" s="10">
        <f t="shared" si="1005"/>
        <v>3</v>
      </c>
      <c r="L1649" s="10">
        <f t="shared" si="1005"/>
        <v>3</v>
      </c>
      <c r="M1649" s="10" t="str">
        <f t="shared" si="1005"/>
        <v>FLAG</v>
      </c>
      <c r="N1649" s="10" t="str">
        <f t="shared" si="2"/>
        <v>38-2317(h) - Juvenile Justice Code; Unauthorized disclosure of juvenile HIV or Hepatitis B test results or reports</v>
      </c>
      <c r="O1649" s="10" t="str">
        <f t="shared" si="3"/>
        <v>Juvenile Justice Code</v>
      </c>
    </row>
    <row r="1650">
      <c r="A1650" s="7" t="s">
        <v>3007</v>
      </c>
      <c r="B1650" s="8" t="s">
        <v>3008</v>
      </c>
      <c r="C1650" s="8" t="s">
        <v>28</v>
      </c>
      <c r="D1650" s="8" t="s">
        <v>19</v>
      </c>
      <c r="E1650" s="8" t="s">
        <v>19</v>
      </c>
      <c r="F1650" s="8" t="s">
        <v>20</v>
      </c>
      <c r="G1650" s="8" t="s">
        <v>21</v>
      </c>
      <c r="H1650" s="9"/>
      <c r="I1650" s="9"/>
      <c r="J1650" s="10">
        <f t="shared" ref="J1650:M1650" si="1006">ifs(OR($H1650="R",$I1650="N"),"N/A",OR(C1650="A",C1650="B",C1650="C",C1650="U"),3,TRUE,"FLAG")</f>
        <v>3</v>
      </c>
      <c r="K1650" s="10">
        <f t="shared" si="1006"/>
        <v>3</v>
      </c>
      <c r="L1650" s="10">
        <f t="shared" si="1006"/>
        <v>3</v>
      </c>
      <c r="M1650" s="10" t="str">
        <f t="shared" si="1006"/>
        <v>FLAG</v>
      </c>
      <c r="N1650" s="10" t="str">
        <f t="shared" si="2"/>
        <v>44-1041(a) - Kansas Act Against Discrimination; Destroying any employment records required to be kept under the laws of the state of Kansas for the purpose of hindering any proceeding commenced pursuant to this act</v>
      </c>
      <c r="O1650" s="10" t="str">
        <f t="shared" si="3"/>
        <v>Kansas Act Against Discrimination</v>
      </c>
    </row>
    <row r="1651">
      <c r="A1651" s="7" t="s">
        <v>3009</v>
      </c>
      <c r="B1651" s="8" t="s">
        <v>3010</v>
      </c>
      <c r="C1651" s="8" t="s">
        <v>28</v>
      </c>
      <c r="D1651" s="8" t="s">
        <v>19</v>
      </c>
      <c r="E1651" s="8" t="s">
        <v>19</v>
      </c>
      <c r="F1651" s="8" t="s">
        <v>20</v>
      </c>
      <c r="G1651" s="8" t="s">
        <v>21</v>
      </c>
      <c r="H1651" s="9"/>
      <c r="I1651" s="9"/>
      <c r="J1651" s="10">
        <f t="shared" ref="J1651:M1651" si="1007">ifs(OR($H1651="R",$I1651="N"),"N/A",OR(C1651="A",C1651="B",C1651="C",C1651="U"),3,TRUE,"FLAG")</f>
        <v>3</v>
      </c>
      <c r="K1651" s="10">
        <f t="shared" si="1007"/>
        <v>3</v>
      </c>
      <c r="L1651" s="10">
        <f t="shared" si="1007"/>
        <v>3</v>
      </c>
      <c r="M1651" s="10" t="str">
        <f t="shared" si="1007"/>
        <v>FLAG</v>
      </c>
      <c r="N1651" s="10" t="str">
        <f t="shared" si="2"/>
        <v>44-1041(b) - Kansas Act Against Discrimination; Destroying any records or other information involved in any proceeding brought pursuant to this act for the purpose of hindering such proceedings</v>
      </c>
      <c r="O1651" s="10" t="str">
        <f t="shared" si="3"/>
        <v>Kansas Act Against Discrimination</v>
      </c>
    </row>
    <row r="1652">
      <c r="A1652" s="7" t="s">
        <v>3011</v>
      </c>
      <c r="B1652" s="8" t="s">
        <v>3012</v>
      </c>
      <c r="C1652" s="8" t="s">
        <v>18</v>
      </c>
      <c r="D1652" s="8" t="s">
        <v>18</v>
      </c>
      <c r="E1652" s="8" t="s">
        <v>19</v>
      </c>
      <c r="F1652" s="8" t="s">
        <v>20</v>
      </c>
      <c r="G1652" s="8" t="s">
        <v>21</v>
      </c>
      <c r="H1652" s="9"/>
      <c r="I1652" s="9"/>
      <c r="J1652" s="10">
        <f t="shared" ref="J1652:M1652" si="1008">ifs(OR($H1652="R",$I1652="N"),"N/A",OR(C1652="A",C1652="B",C1652="C",C1652="U"),3,TRUE,"FLAG")</f>
        <v>3</v>
      </c>
      <c r="K1652" s="10">
        <f t="shared" si="1008"/>
        <v>3</v>
      </c>
      <c r="L1652" s="10">
        <f t="shared" si="1008"/>
        <v>3</v>
      </c>
      <c r="M1652" s="10" t="str">
        <f t="shared" si="1008"/>
        <v>FLAG</v>
      </c>
      <c r="N1652" s="10" t="str">
        <f t="shared" si="2"/>
        <v>44-1020 - Kansas Act Against Discrimination; Failure to comply with subpoena of Kansas Human Rights Commission or falsifying reports or other documents</v>
      </c>
      <c r="O1652" s="10" t="str">
        <f t="shared" si="3"/>
        <v>Kansas Act Against Discrimination</v>
      </c>
    </row>
    <row r="1653">
      <c r="A1653" s="7" t="s">
        <v>3013</v>
      </c>
      <c r="B1653" s="8" t="s">
        <v>3014</v>
      </c>
      <c r="C1653" s="8">
        <v>7.0</v>
      </c>
      <c r="D1653" s="8">
        <v>9.0</v>
      </c>
      <c r="E1653" s="8">
        <v>9.0</v>
      </c>
      <c r="F1653" s="8">
        <v>10.0</v>
      </c>
      <c r="G1653" s="8" t="s">
        <v>21</v>
      </c>
      <c r="H1653" s="9"/>
      <c r="I1653" s="9"/>
      <c r="N1653" s="10" t="str">
        <f t="shared" si="2"/>
        <v>44-1039 - Kansas Act Against Discrimination; Intentionally and falsely swear, testify, affirm, declare or subscribe to any material fact upon oath or affirmation required by the Kansas act against discrimination; at felony trial</v>
      </c>
      <c r="O1653" s="10" t="str">
        <f t="shared" si="3"/>
        <v>Kansas Act Against Discrimination</v>
      </c>
    </row>
    <row r="1654">
      <c r="A1654" s="7" t="s">
        <v>3015</v>
      </c>
      <c r="B1654" s="8" t="s">
        <v>3014</v>
      </c>
      <c r="C1654" s="8">
        <v>9.0</v>
      </c>
      <c r="D1654" s="8">
        <v>10.0</v>
      </c>
      <c r="E1654" s="8">
        <v>10.0</v>
      </c>
      <c r="F1654" s="8">
        <v>10.0</v>
      </c>
      <c r="G1654" s="8" t="s">
        <v>21</v>
      </c>
      <c r="H1654" s="9"/>
      <c r="I1654" s="9"/>
      <c r="N1654" s="10" t="str">
        <f t="shared" si="2"/>
        <v>44-1039 - Kansas Act Against Discrimination; Intentionally and falsely swear, testify, affirm, declare or subscribe to any material fact upon oath or affirmation required by the Kansas act against discrimination; at proceeding other than felony trial</v>
      </c>
      <c r="O1654" s="10" t="str">
        <f t="shared" si="3"/>
        <v>Kansas Act Against Discrimination</v>
      </c>
    </row>
    <row r="1655">
      <c r="A1655" s="7" t="s">
        <v>3016</v>
      </c>
      <c r="B1655" s="8" t="s">
        <v>3017</v>
      </c>
      <c r="C1655" s="8" t="s">
        <v>18</v>
      </c>
      <c r="D1655" s="8" t="s">
        <v>18</v>
      </c>
      <c r="E1655" s="8" t="s">
        <v>19</v>
      </c>
      <c r="F1655" s="8" t="s">
        <v>20</v>
      </c>
      <c r="G1655" s="8" t="s">
        <v>21</v>
      </c>
      <c r="H1655" s="9"/>
      <c r="I1655" s="9"/>
      <c r="J1655" s="10">
        <f t="shared" ref="J1655:M1655" si="1009">ifs(OR($H1655="R",$I1655="N"),"N/A",OR(C1655="A",C1655="B",C1655="C",C1655="U"),3,TRUE,"FLAG")</f>
        <v>3</v>
      </c>
      <c r="K1655" s="10">
        <f t="shared" si="1009"/>
        <v>3</v>
      </c>
      <c r="L1655" s="10">
        <f t="shared" si="1009"/>
        <v>3</v>
      </c>
      <c r="M1655" s="10" t="str">
        <f t="shared" si="1009"/>
        <v>FLAG</v>
      </c>
      <c r="N1655" s="10" t="str">
        <f t="shared" si="2"/>
        <v>44-1013 - Kansas Act Against Discrimination; Willfully resist, prevent, impede or interfere with commission or any of its members or representatives in performance of duty under this act; willfully violate an order of the commission</v>
      </c>
      <c r="O1655" s="10" t="str">
        <f t="shared" si="3"/>
        <v>Kansas Act Against Discrimination</v>
      </c>
    </row>
    <row r="1656">
      <c r="A1656" s="7" t="s">
        <v>3018</v>
      </c>
      <c r="B1656" s="8" t="s">
        <v>3019</v>
      </c>
      <c r="C1656" s="8" t="s">
        <v>18</v>
      </c>
      <c r="D1656" s="8" t="s">
        <v>18</v>
      </c>
      <c r="E1656" s="8" t="s">
        <v>19</v>
      </c>
      <c r="F1656" s="8" t="s">
        <v>20</v>
      </c>
      <c r="G1656" s="8" t="s">
        <v>21</v>
      </c>
      <c r="H1656" s="9"/>
      <c r="I1656" s="9"/>
      <c r="J1656" s="10">
        <f t="shared" ref="J1656:M1656" si="1010">ifs(OR($H1656="R",$I1656="N"),"N/A",OR(C1656="A",C1656="B",C1656="C",C1656="U"),3,TRUE,"FLAG")</f>
        <v>3</v>
      </c>
      <c r="K1656" s="10">
        <f t="shared" si="1010"/>
        <v>3</v>
      </c>
      <c r="L1656" s="10">
        <f t="shared" si="1010"/>
        <v>3</v>
      </c>
      <c r="M1656" s="10" t="str">
        <f t="shared" si="1010"/>
        <v>FLAG</v>
      </c>
      <c r="N1656" s="10" t="str">
        <f t="shared" si="2"/>
        <v>44-1117(a) - Kansas Age Discrimination In Employment Act; Willfully resist, prevent, impede or interfere with the commission, members or representatives in the performance of duty under this act or willfully violate an order of the commission</v>
      </c>
      <c r="O1656" s="10" t="str">
        <f t="shared" si="3"/>
        <v>Kansas Age Discrimination In Employment Act</v>
      </c>
    </row>
    <row r="1657">
      <c r="A1657" s="7" t="s">
        <v>3020</v>
      </c>
      <c r="B1657" s="8" t="s">
        <v>3021</v>
      </c>
      <c r="C1657" s="8">
        <v>10.0</v>
      </c>
      <c r="D1657" s="8">
        <v>10.0</v>
      </c>
      <c r="E1657" s="8">
        <v>10.0</v>
      </c>
      <c r="F1657" s="8">
        <v>10.0</v>
      </c>
      <c r="G1657" s="8" t="s">
        <v>21</v>
      </c>
      <c r="H1657" s="9"/>
      <c r="I1657" s="9"/>
      <c r="N1657" s="10" t="str">
        <f t="shared" si="2"/>
        <v>65-2860 - Kansas Healing Arts Act; False impersonation</v>
      </c>
      <c r="O1657" s="10" t="str">
        <f t="shared" si="3"/>
        <v>Kansas Healing Arts Act</v>
      </c>
    </row>
    <row r="1658">
      <c r="A1658" s="7" t="s">
        <v>3022</v>
      </c>
      <c r="B1658" s="8" t="s">
        <v>3023</v>
      </c>
      <c r="C1658" s="8">
        <v>9.0</v>
      </c>
      <c r="D1658" s="8">
        <v>10.0</v>
      </c>
      <c r="E1658" s="8">
        <v>10.0</v>
      </c>
      <c r="F1658" s="8">
        <v>10.0</v>
      </c>
      <c r="G1658" s="8" t="s">
        <v>21</v>
      </c>
      <c r="H1658" s="9"/>
      <c r="I1658" s="9"/>
      <c r="N1658" s="10" t="str">
        <f t="shared" si="2"/>
        <v>65-2861 - Kansas Healing Arts Act; False swearing</v>
      </c>
      <c r="O1658" s="10" t="str">
        <f t="shared" si="3"/>
        <v>Kansas Healing Arts Act</v>
      </c>
    </row>
    <row r="1659">
      <c r="A1659" s="7" t="s">
        <v>3024</v>
      </c>
      <c r="B1659" s="8" t="s">
        <v>3025</v>
      </c>
      <c r="C1659" s="8">
        <v>7.0</v>
      </c>
      <c r="D1659" s="8">
        <v>9.0</v>
      </c>
      <c r="E1659" s="8">
        <v>9.0</v>
      </c>
      <c r="F1659" s="8">
        <v>10.0</v>
      </c>
      <c r="G1659" s="8" t="s">
        <v>24</v>
      </c>
      <c r="H1659" s="9"/>
      <c r="I1659" s="9"/>
      <c r="N1659" s="10" t="str">
        <f t="shared" si="2"/>
        <v>65-28,107(c) - Kansas Healing Arts Act; Falsify or forge the declaration of another/willfully conceal or withhold personal knowledge of the revocation of a declaration with intent to cause a withholding or withdrawal of life-sustaining procedures contrary to the wishes of the declarant, and which directly causes life-sustaining procedures to be withheld or withdrawn and death to be hastened</v>
      </c>
      <c r="O1659" s="10" t="str">
        <f t="shared" si="3"/>
        <v>Kansas Healing Arts Act</v>
      </c>
    </row>
    <row r="1660">
      <c r="A1660" s="7" t="s">
        <v>3026</v>
      </c>
      <c r="B1660" s="8" t="s">
        <v>3027</v>
      </c>
      <c r="C1660" s="8">
        <v>8.0</v>
      </c>
      <c r="D1660" s="8">
        <v>10.0</v>
      </c>
      <c r="E1660" s="8">
        <v>10.0</v>
      </c>
      <c r="F1660" s="8">
        <v>10.0</v>
      </c>
      <c r="G1660" s="8" t="s">
        <v>21</v>
      </c>
      <c r="H1660" s="9"/>
      <c r="I1660" s="9"/>
      <c r="N1660" s="10" t="str">
        <f t="shared" si="2"/>
        <v>65-2859 - Kansas Healing Arts Act; Filling false documents</v>
      </c>
      <c r="O1660" s="10" t="str">
        <f t="shared" si="3"/>
        <v>Kansas Healing Arts Act</v>
      </c>
    </row>
    <row r="1661">
      <c r="A1661" s="7" t="s">
        <v>3028</v>
      </c>
      <c r="B1661" s="8" t="s">
        <v>3029</v>
      </c>
      <c r="C1661" s="8">
        <v>10.0</v>
      </c>
      <c r="D1661" s="8">
        <v>10.0</v>
      </c>
      <c r="E1661" s="8">
        <v>10.0</v>
      </c>
      <c r="F1661" s="8">
        <v>10.0</v>
      </c>
      <c r="G1661" s="8" t="s">
        <v>21</v>
      </c>
      <c r="H1661" s="9"/>
      <c r="I1661" s="9"/>
      <c r="N1661" s="10" t="str">
        <f t="shared" si="2"/>
        <v>65-2803(a) - Kansas Healing Arts Act; License prerequisite to practice</v>
      </c>
      <c r="O1661" s="10" t="str">
        <f t="shared" si="3"/>
        <v>Kansas Healing Arts Act</v>
      </c>
    </row>
    <row r="1662">
      <c r="A1662" s="7" t="s">
        <v>3030</v>
      </c>
      <c r="B1662" s="8" t="s">
        <v>3031</v>
      </c>
      <c r="C1662" s="8">
        <v>10.0</v>
      </c>
      <c r="D1662" s="8">
        <v>10.0</v>
      </c>
      <c r="E1662" s="8">
        <v>10.0</v>
      </c>
      <c r="F1662" s="8">
        <v>10.0</v>
      </c>
      <c r="G1662" s="8" t="s">
        <v>21</v>
      </c>
      <c r="H1662" s="9"/>
      <c r="I1662" s="9"/>
      <c r="N1662" s="10" t="str">
        <f t="shared" si="2"/>
        <v>65-2867 - Kansas Healing Arts Act; Open/maintain an office for practice of the healing arts or, announce/hold out to the public the intention, authority or skill to practice the healing arts by the use of any professional degree or designation, sign, card, circular, device, advertisement or representation if not licensed</v>
      </c>
      <c r="O1662" s="10" t="str">
        <f t="shared" si="3"/>
        <v>Kansas Healing Arts Act</v>
      </c>
    </row>
    <row r="1663">
      <c r="A1663" s="7" t="s">
        <v>3032</v>
      </c>
      <c r="B1663" s="8" t="s">
        <v>3033</v>
      </c>
      <c r="C1663" s="8" t="s">
        <v>18</v>
      </c>
      <c r="D1663" s="8" t="s">
        <v>18</v>
      </c>
      <c r="E1663" s="8" t="s">
        <v>19</v>
      </c>
      <c r="F1663" s="8" t="s">
        <v>20</v>
      </c>
      <c r="G1663" s="8" t="s">
        <v>21</v>
      </c>
      <c r="H1663" s="9"/>
      <c r="I1663" s="9"/>
      <c r="J1663" s="10">
        <f t="shared" ref="J1663:M1663" si="1011">ifs(OR($H1663="R",$I1663="N"),"N/A",OR(C1663="A",C1663="B",C1663="C",C1663="U"),3,TRUE,"FLAG")</f>
        <v>3</v>
      </c>
      <c r="K1663" s="10">
        <f t="shared" si="1011"/>
        <v>3</v>
      </c>
      <c r="L1663" s="10">
        <f t="shared" si="1011"/>
        <v>3</v>
      </c>
      <c r="M1663" s="10" t="str">
        <f t="shared" si="1011"/>
        <v>FLAG</v>
      </c>
      <c r="N1663" s="10" t="str">
        <f t="shared" si="2"/>
        <v>65-2862 - Kansas Healing Arts Act; Penalties for violations of act; 1st and 2nd conviction</v>
      </c>
      <c r="O1663" s="10" t="str">
        <f t="shared" si="3"/>
        <v>Kansas Healing Arts Act</v>
      </c>
    </row>
    <row r="1664">
      <c r="A1664" s="7" t="s">
        <v>3034</v>
      </c>
      <c r="B1664" s="8" t="s">
        <v>3035</v>
      </c>
      <c r="C1664" s="8" t="s">
        <v>27</v>
      </c>
      <c r="D1664" s="8" t="s">
        <v>28</v>
      </c>
      <c r="E1664" s="8" t="s">
        <v>19</v>
      </c>
      <c r="F1664" s="8" t="s">
        <v>20</v>
      </c>
      <c r="G1664" s="8" t="s">
        <v>21</v>
      </c>
      <c r="H1664" s="9"/>
      <c r="I1664" s="9"/>
      <c r="J1664" s="10">
        <f t="shared" ref="J1664:M1664" si="1012">ifs(OR($H1664="R",$I1664="N"),"N/A",OR(C1664="A",C1664="B",C1664="C",C1664="U"),3,TRUE,"FLAG")</f>
        <v>3</v>
      </c>
      <c r="K1664" s="10">
        <f t="shared" si="1012"/>
        <v>3</v>
      </c>
      <c r="L1664" s="10">
        <f t="shared" si="1012"/>
        <v>3</v>
      </c>
      <c r="M1664" s="10" t="str">
        <f t="shared" si="1012"/>
        <v>FLAG</v>
      </c>
      <c r="N1664" s="10" t="str">
        <f t="shared" si="2"/>
        <v>65-2839a(c) - Kansas Healing Arts Act; Unauthorized disclosure of criminal history record information, criminal intelligence information and information relating to criminal and background investigations</v>
      </c>
      <c r="O1664" s="10" t="str">
        <f t="shared" si="3"/>
        <v>Kansas Healing Arts Act</v>
      </c>
    </row>
    <row r="1665">
      <c r="A1665" s="7" t="s">
        <v>3036</v>
      </c>
      <c r="B1665" s="8" t="s">
        <v>3037</v>
      </c>
      <c r="C1665" s="8" t="s">
        <v>27</v>
      </c>
      <c r="D1665" s="8" t="s">
        <v>28</v>
      </c>
      <c r="E1665" s="8" t="s">
        <v>19</v>
      </c>
      <c r="F1665" s="8" t="s">
        <v>20</v>
      </c>
      <c r="G1665" s="8" t="s">
        <v>24</v>
      </c>
      <c r="H1665" s="9"/>
      <c r="I1665" s="9"/>
      <c r="J1665" s="10">
        <f t="shared" ref="J1665:M1665" si="1013">ifs(OR($H1665="R",$I1665="N"),"N/A",OR(C1665="A",C1665="B",C1665="C",C1665="U"),3,TRUE,"FLAG")</f>
        <v>3</v>
      </c>
      <c r="K1665" s="10">
        <f t="shared" si="1013"/>
        <v>3</v>
      </c>
      <c r="L1665" s="10">
        <f t="shared" si="1013"/>
        <v>3</v>
      </c>
      <c r="M1665" s="10" t="str">
        <f t="shared" si="1013"/>
        <v>FLAG</v>
      </c>
      <c r="N1665" s="10" t="str">
        <f t="shared" si="2"/>
        <v>65-28,107(b) - Kansas Healing Arts Act; Willfully conceal, cancel, deface, obliterate or damage the declaration of another without declarant's consent; falsify or forge a revocation of the declaration of another</v>
      </c>
      <c r="O1665" s="10" t="str">
        <f t="shared" si="3"/>
        <v>Kansas Healing Arts Act</v>
      </c>
    </row>
    <row r="1666">
      <c r="A1666" s="7" t="s">
        <v>3038</v>
      </c>
      <c r="B1666" s="8" t="s">
        <v>3039</v>
      </c>
      <c r="C1666" s="8" t="s">
        <v>27</v>
      </c>
      <c r="D1666" s="8" t="s">
        <v>28</v>
      </c>
      <c r="E1666" s="8" t="s">
        <v>19</v>
      </c>
      <c r="F1666" s="8" t="s">
        <v>20</v>
      </c>
      <c r="G1666" s="8" t="s">
        <v>21</v>
      </c>
      <c r="H1666" s="9"/>
      <c r="I1666" s="9"/>
      <c r="J1666" s="10">
        <f t="shared" ref="J1666:M1666" si="1014">ifs(OR($H1666="R",$I1666="N"),"N/A",OR(C1666="A",C1666="B",C1666="C",C1666="U"),3,TRUE,"FLAG")</f>
        <v>3</v>
      </c>
      <c r="K1666" s="10">
        <f t="shared" si="1014"/>
        <v>3</v>
      </c>
      <c r="L1666" s="10">
        <f t="shared" si="1014"/>
        <v>3</v>
      </c>
      <c r="M1666" s="10" t="str">
        <f t="shared" si="1014"/>
        <v>FLAG</v>
      </c>
      <c r="N1666" s="10" t="str">
        <f t="shared" si="2"/>
        <v>74-2135 - Kansas Highway Patrol; Violation of rules/regulations checks for verification on VIN's/fraud</v>
      </c>
      <c r="O1666" s="10" t="str">
        <f t="shared" si="3"/>
        <v>Kansas Highway Patrol</v>
      </c>
    </row>
    <row r="1667">
      <c r="A1667" s="7" t="s">
        <v>3040</v>
      </c>
      <c r="B1667" s="8" t="s">
        <v>3041</v>
      </c>
      <c r="C1667" s="8" t="s">
        <v>1532</v>
      </c>
      <c r="D1667" s="8">
        <v>10.0</v>
      </c>
      <c r="E1667" s="8">
        <v>10.0</v>
      </c>
      <c r="F1667" s="8">
        <v>10.0</v>
      </c>
      <c r="G1667" s="8" t="s">
        <v>21</v>
      </c>
      <c r="H1667" s="9"/>
      <c r="I1667" s="9"/>
      <c r="N1667" s="10" t="str">
        <f t="shared" si="2"/>
        <v>41-405 - Kansas Liquor Control Act; Warehouse; false reports and unlawful removal</v>
      </c>
      <c r="O1667" s="10" t="str">
        <f t="shared" si="3"/>
        <v>Kansas Liquor Control Act</v>
      </c>
    </row>
    <row r="1668">
      <c r="A1668" s="7" t="s">
        <v>3042</v>
      </c>
      <c r="B1668" s="8" t="s">
        <v>3043</v>
      </c>
      <c r="C1668" s="8">
        <v>9.0</v>
      </c>
      <c r="D1668" s="8">
        <v>10.0</v>
      </c>
      <c r="E1668" s="8">
        <v>10.0</v>
      </c>
      <c r="F1668" s="8">
        <v>10.0</v>
      </c>
      <c r="G1668" s="8" t="s">
        <v>21</v>
      </c>
      <c r="H1668" s="9"/>
      <c r="I1668" s="9"/>
      <c r="N1668" s="10" t="str">
        <f t="shared" si="2"/>
        <v>9-512 - Kansas Money Transmitter Act; Penalty for knowingly violating provisions of the Act</v>
      </c>
      <c r="O1668" s="10" t="str">
        <f t="shared" si="3"/>
        <v>Kansas Money Transmitter Act</v>
      </c>
    </row>
    <row r="1669">
      <c r="A1669" s="7" t="s">
        <v>3044</v>
      </c>
      <c r="B1669" s="8" t="s">
        <v>3045</v>
      </c>
      <c r="C1669" s="8">
        <v>3.0</v>
      </c>
      <c r="D1669" s="8">
        <v>5.0</v>
      </c>
      <c r="E1669" s="8">
        <v>5.0</v>
      </c>
      <c r="F1669" s="8">
        <v>6.0</v>
      </c>
      <c r="G1669" s="8" t="s">
        <v>3046</v>
      </c>
      <c r="H1669" s="9"/>
      <c r="I1669" s="9"/>
      <c r="N1669" s="10" t="str">
        <f t="shared" si="2"/>
        <v>22-4903(b) - Kansas Offender Registration Act; Aggravated failure to register as required                                                                                            * See 2016 Supp. K.S.A. 22-4903</v>
      </c>
      <c r="O1669" s="10" t="str">
        <f t="shared" si="3"/>
        <v>Kansas Offender Registration Act</v>
      </c>
    </row>
    <row r="1670">
      <c r="A1670" s="7" t="s">
        <v>3047</v>
      </c>
      <c r="B1670" s="8" t="s">
        <v>3048</v>
      </c>
      <c r="C1670" s="8">
        <v>6.0</v>
      </c>
      <c r="D1670" s="8">
        <v>8.0</v>
      </c>
      <c r="E1670" s="8">
        <v>8.0</v>
      </c>
      <c r="F1670" s="8">
        <v>9.0</v>
      </c>
      <c r="G1670" s="8" t="s">
        <v>3046</v>
      </c>
      <c r="H1670" s="9"/>
      <c r="I1670" s="9"/>
      <c r="N1670" s="10" t="str">
        <f t="shared" si="2"/>
        <v>22-4903(a) - Kansas Offender Registration Act; Failure to register as required; 1st conviction                                                                                       * See 2016 Supp. K.S.A. 22-4903</v>
      </c>
      <c r="O1670" s="10" t="str">
        <f t="shared" si="3"/>
        <v>Kansas Offender Registration Act</v>
      </c>
    </row>
    <row r="1671">
      <c r="A1671" s="7" t="s">
        <v>3049</v>
      </c>
      <c r="B1671" s="8" t="s">
        <v>3048</v>
      </c>
      <c r="C1671" s="8">
        <v>5.0</v>
      </c>
      <c r="D1671" s="8">
        <v>7.0</v>
      </c>
      <c r="E1671" s="8">
        <v>7.0</v>
      </c>
      <c r="F1671" s="8">
        <v>8.0</v>
      </c>
      <c r="G1671" s="8" t="s">
        <v>3046</v>
      </c>
      <c r="H1671" s="9"/>
      <c r="I1671" s="9"/>
      <c r="N1671" s="10" t="str">
        <f t="shared" si="2"/>
        <v>22-4903(a) - Kansas Offender Registration Act; Failure to register as required; 2nd conviction                                                                                      * See 2016 Supp. K.S.A. 22-4903</v>
      </c>
      <c r="O1671" s="10" t="str">
        <f t="shared" si="3"/>
        <v>Kansas Offender Registration Act</v>
      </c>
    </row>
    <row r="1672">
      <c r="A1672" s="7" t="s">
        <v>3050</v>
      </c>
      <c r="B1672" s="8" t="s">
        <v>3048</v>
      </c>
      <c r="C1672" s="8">
        <v>3.0</v>
      </c>
      <c r="D1672" s="8">
        <v>5.0</v>
      </c>
      <c r="E1672" s="8">
        <v>5.0</v>
      </c>
      <c r="F1672" s="8">
        <v>6.0</v>
      </c>
      <c r="G1672" s="8" t="s">
        <v>3046</v>
      </c>
      <c r="H1672" s="9"/>
      <c r="I1672" s="9"/>
      <c r="N1672" s="10" t="str">
        <f t="shared" si="2"/>
        <v>22-4903(a) - Kansas Offender Registration Act; Failure to register as required; 3rd and subs. conviction                                                                      * See 2016 Supp. K.S.A. 22-4903</v>
      </c>
      <c r="O1672" s="10" t="str">
        <f t="shared" si="3"/>
        <v>Kansas Offender Registration Act</v>
      </c>
    </row>
    <row r="1673">
      <c r="A1673" s="7" t="s">
        <v>3051</v>
      </c>
      <c r="B1673" s="8" t="s">
        <v>3048</v>
      </c>
      <c r="C1673" s="8" t="s">
        <v>27</v>
      </c>
      <c r="D1673" s="8" t="s">
        <v>28</v>
      </c>
      <c r="E1673" s="8" t="s">
        <v>19</v>
      </c>
      <c r="F1673" s="8" t="s">
        <v>20</v>
      </c>
      <c r="G1673" s="8" t="s">
        <v>3046</v>
      </c>
      <c r="H1673" s="9"/>
      <c r="I1673" s="9"/>
      <c r="J1673" s="10">
        <f t="shared" ref="J1673:M1673" si="1015">ifs(OR($H1673="R",$I1673="N"),"N/A",OR(C1673="A",C1673="B",C1673="C",C1673="U"),3,TRUE,"FLAG")</f>
        <v>3</v>
      </c>
      <c r="K1673" s="10">
        <f t="shared" si="1015"/>
        <v>3</v>
      </c>
      <c r="L1673" s="10">
        <f t="shared" si="1015"/>
        <v>3</v>
      </c>
      <c r="M1673" s="10" t="str">
        <f t="shared" si="1015"/>
        <v>FLAG</v>
      </c>
      <c r="N1673" s="10" t="str">
        <f t="shared" si="2"/>
        <v>22-4903(a) - Kansas Offender Registration Act; Failure to remit payment as required by K.S.A. 22-4905(k); failure to remit one full payment                                        * See 2016 Supp. K.S.A. 22-4903</v>
      </c>
      <c r="O1673" s="10" t="str">
        <f t="shared" si="3"/>
        <v>Kansas Offender Registration Act</v>
      </c>
    </row>
    <row r="1674">
      <c r="A1674" s="7" t="s">
        <v>3052</v>
      </c>
      <c r="B1674" s="8" t="s">
        <v>3048</v>
      </c>
      <c r="C1674" s="8">
        <v>9.0</v>
      </c>
      <c r="D1674" s="8">
        <v>10.0</v>
      </c>
      <c r="E1674" s="8">
        <v>10.0</v>
      </c>
      <c r="F1674" s="8">
        <v>10.0</v>
      </c>
      <c r="G1674" s="8" t="s">
        <v>3046</v>
      </c>
      <c r="H1674" s="9"/>
      <c r="I1674" s="9"/>
      <c r="N1674" s="10" t="str">
        <f t="shared" si="2"/>
        <v>22-4903(a) - Kansas Offender Registration Act; Failure to remit payment as required by K.S.A. 22-4905(k); failure to remit two or more full payments                          * See 2016 Supp. K.S.A. 22-4903</v>
      </c>
      <c r="O1674" s="10" t="str">
        <f t="shared" si="3"/>
        <v>Kansas Offender Registration Act</v>
      </c>
    </row>
    <row r="1675">
      <c r="A1675" s="7" t="s">
        <v>3053</v>
      </c>
      <c r="B1675" s="8" t="s">
        <v>3054</v>
      </c>
      <c r="C1675" s="8" t="s">
        <v>18</v>
      </c>
      <c r="D1675" s="8" t="s">
        <v>18</v>
      </c>
      <c r="E1675" s="8" t="s">
        <v>19</v>
      </c>
      <c r="F1675" s="8" t="s">
        <v>20</v>
      </c>
      <c r="G1675" s="8" t="s">
        <v>21</v>
      </c>
      <c r="H1675" s="9"/>
      <c r="I1675" s="9"/>
      <c r="J1675" s="10">
        <f t="shared" ref="J1675:M1675" si="1016">ifs(OR($H1675="R",$I1675="N"),"N/A",OR(C1675="A",C1675="B",C1675="C",C1675="U"),3,TRUE,"FLAG")</f>
        <v>3</v>
      </c>
      <c r="K1675" s="10">
        <f t="shared" si="1016"/>
        <v>3</v>
      </c>
      <c r="L1675" s="10">
        <f t="shared" si="1016"/>
        <v>3</v>
      </c>
      <c r="M1675" s="10" t="str">
        <f t="shared" si="1016"/>
        <v>FLAG</v>
      </c>
      <c r="N1675" s="10" t="str">
        <f t="shared" si="2"/>
        <v>47-2007 - Kansas Sheep Council; Violation of provisions of act</v>
      </c>
      <c r="O1675" s="10" t="str">
        <f t="shared" si="3"/>
        <v>Kansas Sheep Council</v>
      </c>
    </row>
    <row r="1676">
      <c r="A1676" s="7" t="s">
        <v>3055</v>
      </c>
      <c r="B1676" s="8" t="s">
        <v>3056</v>
      </c>
      <c r="C1676" s="8">
        <v>1.0</v>
      </c>
      <c r="D1676" s="8">
        <v>3.0</v>
      </c>
      <c r="E1676" s="8">
        <v>3.0</v>
      </c>
      <c r="F1676" s="8">
        <v>4.0</v>
      </c>
      <c r="G1676" s="8" t="s">
        <v>21</v>
      </c>
      <c r="H1676" s="9"/>
      <c r="I1676" s="9"/>
      <c r="N1676" s="10" t="str">
        <f t="shared" si="2"/>
        <v>17-12a502(a)(1) - Kansas Uniform Securities Act; Intentional fraud in providing investment advice; employ a device, scheme, or artifice to defraud another; $1,000,000 or more; if victim was an elder person (presumptive imprisonment)</v>
      </c>
      <c r="O1676" s="10" t="str">
        <f t="shared" si="3"/>
        <v>Kansas Uniform Securities Act</v>
      </c>
    </row>
    <row r="1677">
      <c r="A1677" s="7" t="s">
        <v>3057</v>
      </c>
      <c r="B1677" s="8" t="s">
        <v>3058</v>
      </c>
      <c r="C1677" s="8">
        <v>1.0</v>
      </c>
      <c r="D1677" s="8">
        <v>3.0</v>
      </c>
      <c r="E1677" s="8">
        <v>3.0</v>
      </c>
      <c r="F1677" s="8">
        <v>4.0</v>
      </c>
      <c r="G1677" s="8" t="s">
        <v>21</v>
      </c>
      <c r="H1677" s="9"/>
      <c r="I1677" s="9"/>
      <c r="N1677" s="10" t="str">
        <f t="shared" si="2"/>
        <v>17-12a502(a)(2) - Kansas Uniform Securities Act; Intentional fraud in providing investment advice; engage in act, practice, or course of business that operates as a fraud or deceit; $1,000,000 or more; if victim was an elder person (presumptive imprisonment)</v>
      </c>
      <c r="O1677" s="10" t="str">
        <f t="shared" si="3"/>
        <v>Kansas Uniform Securities Act</v>
      </c>
    </row>
    <row r="1678">
      <c r="A1678" s="7" t="s">
        <v>3059</v>
      </c>
      <c r="B1678" s="8" t="s">
        <v>3060</v>
      </c>
      <c r="C1678" s="8">
        <v>1.0</v>
      </c>
      <c r="D1678" s="8">
        <v>3.0</v>
      </c>
      <c r="E1678" s="8">
        <v>3.0</v>
      </c>
      <c r="F1678" s="8">
        <v>4.0</v>
      </c>
      <c r="G1678" s="8" t="s">
        <v>21</v>
      </c>
      <c r="H1678" s="9"/>
      <c r="I1678" s="9"/>
      <c r="N1678" s="10" t="str">
        <f t="shared" si="2"/>
        <v>17-12a501(1) - Kansas Uniform Securities Act; Intentional general fraud in connection with offer, sale, or purchase of a security; employing device, scheme or artifice to defraud; $1,000,000 or more; if victim was an elder person (presumptive imprisonment)</v>
      </c>
      <c r="O1678" s="10" t="str">
        <f t="shared" si="3"/>
        <v>Kansas Uniform Securities Act</v>
      </c>
    </row>
    <row r="1679">
      <c r="A1679" s="7" t="s">
        <v>3061</v>
      </c>
      <c r="B1679" s="8" t="s">
        <v>3062</v>
      </c>
      <c r="C1679" s="8">
        <v>1.0</v>
      </c>
      <c r="D1679" s="8">
        <v>3.0</v>
      </c>
      <c r="E1679" s="8">
        <v>3.0</v>
      </c>
      <c r="F1679" s="8">
        <v>4.0</v>
      </c>
      <c r="G1679" s="8" t="s">
        <v>21</v>
      </c>
      <c r="H1679" s="9"/>
      <c r="I1679" s="9"/>
      <c r="N1679" s="10" t="str">
        <f t="shared" si="2"/>
        <v>17-12a501(3) - Kansas Uniform Securities Act; Intentional general fraud in connection with offer, sale, or purchase of a security; engage in act, practice, or course of business that operates as a fraud or deceit; $1,000,000 or more; if victim was an elder person (presumptive imprisonment)</v>
      </c>
      <c r="O1679" s="10" t="str">
        <f t="shared" si="3"/>
        <v>Kansas Uniform Securities Act</v>
      </c>
    </row>
    <row r="1680">
      <c r="A1680" s="7" t="s">
        <v>3063</v>
      </c>
      <c r="B1680" s="8" t="s">
        <v>3064</v>
      </c>
      <c r="C1680" s="8">
        <v>1.0</v>
      </c>
      <c r="D1680" s="8">
        <v>3.0</v>
      </c>
      <c r="E1680" s="8">
        <v>3.0</v>
      </c>
      <c r="F1680" s="8">
        <v>4.0</v>
      </c>
      <c r="G1680" s="8" t="s">
        <v>21</v>
      </c>
      <c r="H1680" s="9"/>
      <c r="I1680" s="9"/>
      <c r="N1680" s="10" t="str">
        <f t="shared" si="2"/>
        <v>17-12a501(2) - Kansas Uniform Securities Act; Intentional general fraud in connection with offer, sale, or purchase of a security; false statement of or omission of material fact; $1,000,000 or more; if victim was an elder person (presumptive imprisonment)</v>
      </c>
      <c r="O1680" s="10" t="str">
        <f t="shared" si="3"/>
        <v>Kansas Uniform Securities Act</v>
      </c>
    </row>
    <row r="1681">
      <c r="A1681" s="7" t="s">
        <v>3065</v>
      </c>
      <c r="B1681" s="8" t="s">
        <v>3056</v>
      </c>
      <c r="C1681" s="8">
        <v>2.0</v>
      </c>
      <c r="D1681" s="8">
        <v>4.0</v>
      </c>
      <c r="E1681" s="8">
        <v>4.0</v>
      </c>
      <c r="F1681" s="8">
        <v>5.0</v>
      </c>
      <c r="G1681" s="8" t="s">
        <v>21</v>
      </c>
      <c r="H1681" s="9"/>
      <c r="I1681" s="9"/>
      <c r="N1681" s="10" t="str">
        <f t="shared" si="2"/>
        <v>17-12a502(a)(1) - Kansas Uniform Securities Act; Intentional fraud in providing investment advice; employ a device, scheme, or artifice to defraud another; $1,000,000 or more (presumptive imprisonment)</v>
      </c>
      <c r="O1681" s="10" t="str">
        <f t="shared" si="3"/>
        <v>Kansas Uniform Securities Act</v>
      </c>
    </row>
    <row r="1682">
      <c r="A1682" s="7" t="s">
        <v>3066</v>
      </c>
      <c r="B1682" s="8" t="s">
        <v>3056</v>
      </c>
      <c r="C1682" s="8">
        <v>2.0</v>
      </c>
      <c r="D1682" s="8">
        <v>4.0</v>
      </c>
      <c r="E1682" s="8">
        <v>4.0</v>
      </c>
      <c r="F1682" s="8">
        <v>5.0</v>
      </c>
      <c r="G1682" s="8" t="s">
        <v>21</v>
      </c>
      <c r="H1682" s="9"/>
      <c r="I1682" s="9"/>
      <c r="N1682" s="10" t="str">
        <f t="shared" si="2"/>
        <v>17-12a502(a)(1) - Kansas Uniform Securities Act; Intentional fraud in providing investment advice; employ a device, scheme, or artifice to defraud another; at least $250,000 but less than $1,000,000; if victim was an elder person (presumptive imprisonment)</v>
      </c>
      <c r="O1682" s="10" t="str">
        <f t="shared" si="3"/>
        <v>Kansas Uniform Securities Act</v>
      </c>
    </row>
    <row r="1683">
      <c r="A1683" s="7" t="s">
        <v>3067</v>
      </c>
      <c r="B1683" s="8" t="s">
        <v>3058</v>
      </c>
      <c r="C1683" s="8">
        <v>2.0</v>
      </c>
      <c r="D1683" s="8">
        <v>4.0</v>
      </c>
      <c r="E1683" s="8">
        <v>4.0</v>
      </c>
      <c r="F1683" s="8">
        <v>5.0</v>
      </c>
      <c r="G1683" s="8" t="s">
        <v>21</v>
      </c>
      <c r="H1683" s="9"/>
      <c r="I1683" s="9"/>
      <c r="N1683" s="10" t="str">
        <f t="shared" si="2"/>
        <v>17-12a502(a)(2) - Kansas Uniform Securities Act; Intentional fraud in providing investment advice; engage in act, practice, or course of business that operates as a fraud or deceit; $1,000,000 or more (presumptive imprisonment)</v>
      </c>
      <c r="O1683" s="10" t="str">
        <f t="shared" si="3"/>
        <v>Kansas Uniform Securities Act</v>
      </c>
    </row>
    <row r="1684">
      <c r="A1684" s="7" t="s">
        <v>3068</v>
      </c>
      <c r="B1684" s="8" t="s">
        <v>3058</v>
      </c>
      <c r="C1684" s="8">
        <v>2.0</v>
      </c>
      <c r="D1684" s="8">
        <v>4.0</v>
      </c>
      <c r="E1684" s="8">
        <v>4.0</v>
      </c>
      <c r="F1684" s="8">
        <v>5.0</v>
      </c>
      <c r="G1684" s="8" t="s">
        <v>21</v>
      </c>
      <c r="H1684" s="9"/>
      <c r="I1684" s="9"/>
      <c r="N1684" s="10" t="str">
        <f t="shared" si="2"/>
        <v>17-12a502(a)(2) - Kansas Uniform Securities Act; Intentional fraud in providing investment advice; engage in act, practice, or course of business that operates as a fraud or deceit; at least $250,000 but less than $1,000,000; if victim was an elder person (presumptive imprisonment)</v>
      </c>
      <c r="O1684" s="10" t="str">
        <f t="shared" si="3"/>
        <v>Kansas Uniform Securities Act</v>
      </c>
    </row>
    <row r="1685">
      <c r="A1685" s="7" t="s">
        <v>3069</v>
      </c>
      <c r="B1685" s="8" t="s">
        <v>3060</v>
      </c>
      <c r="C1685" s="8">
        <v>2.0</v>
      </c>
      <c r="D1685" s="8">
        <v>4.0</v>
      </c>
      <c r="E1685" s="8">
        <v>4.0</v>
      </c>
      <c r="F1685" s="8">
        <v>5.0</v>
      </c>
      <c r="G1685" s="8" t="s">
        <v>21</v>
      </c>
      <c r="H1685" s="9"/>
      <c r="I1685" s="9"/>
      <c r="N1685" s="10" t="str">
        <f t="shared" si="2"/>
        <v>17-12a501(1) - Kansas Uniform Securities Act; Intentional general fraud in connection with offer, sale, or purchase of a security; employing device, scheme or artifice to defraud; $1,000,000 or more (presumptive imprisonment)</v>
      </c>
      <c r="O1685" s="10" t="str">
        <f t="shared" si="3"/>
        <v>Kansas Uniform Securities Act</v>
      </c>
    </row>
    <row r="1686">
      <c r="A1686" s="7" t="s">
        <v>3070</v>
      </c>
      <c r="B1686" s="8" t="s">
        <v>3060</v>
      </c>
      <c r="C1686" s="8">
        <v>2.0</v>
      </c>
      <c r="D1686" s="8">
        <v>4.0</v>
      </c>
      <c r="E1686" s="8">
        <v>4.0</v>
      </c>
      <c r="F1686" s="8">
        <v>5.0</v>
      </c>
      <c r="G1686" s="8" t="s">
        <v>21</v>
      </c>
      <c r="H1686" s="9"/>
      <c r="I1686" s="9"/>
      <c r="N1686" s="10" t="str">
        <f t="shared" si="2"/>
        <v>17-12a501(1) - Kansas Uniform Securities Act; Intentional general fraud in connection with offer, sale, or purchase of a security; employing device, scheme or artifice to defraud; at least $250,000 but at less than $1,000,000; if victim was an elder person (presumptive imprisonment)</v>
      </c>
      <c r="O1686" s="10" t="str">
        <f t="shared" si="3"/>
        <v>Kansas Uniform Securities Act</v>
      </c>
    </row>
    <row r="1687">
      <c r="A1687" s="7" t="s">
        <v>3071</v>
      </c>
      <c r="B1687" s="8" t="s">
        <v>3062</v>
      </c>
      <c r="C1687" s="8">
        <v>2.0</v>
      </c>
      <c r="D1687" s="8">
        <v>4.0</v>
      </c>
      <c r="E1687" s="8">
        <v>4.0</v>
      </c>
      <c r="F1687" s="8">
        <v>5.0</v>
      </c>
      <c r="G1687" s="8" t="s">
        <v>21</v>
      </c>
      <c r="H1687" s="9"/>
      <c r="I1687" s="9"/>
      <c r="N1687" s="10" t="str">
        <f t="shared" si="2"/>
        <v>17-12a501(3) - Kansas Uniform Securities Act; Intentional general fraud in connection with offer, sale, or purchase of a security; engage in act, practice, or course of business that operates as a fraud or deceit; $1,000,000 or more (presumptive imprisonment)</v>
      </c>
      <c r="O1687" s="10" t="str">
        <f t="shared" si="3"/>
        <v>Kansas Uniform Securities Act</v>
      </c>
    </row>
    <row r="1688">
      <c r="A1688" s="7" t="s">
        <v>3072</v>
      </c>
      <c r="B1688" s="8" t="s">
        <v>3062</v>
      </c>
      <c r="C1688" s="8">
        <v>2.0</v>
      </c>
      <c r="D1688" s="8">
        <v>4.0</v>
      </c>
      <c r="E1688" s="8">
        <v>4.0</v>
      </c>
      <c r="F1688" s="8">
        <v>5.0</v>
      </c>
      <c r="G1688" s="8" t="s">
        <v>21</v>
      </c>
      <c r="H1688" s="9"/>
      <c r="I1688" s="9"/>
      <c r="N1688" s="10" t="str">
        <f t="shared" si="2"/>
        <v>17-12a501(3) - Kansas Uniform Securities Act; Intentional general fraud in connection with offer, sale, or purchase of a security; engage in act, practice, or course of business that operates as a fraud or deceit; at least $250,000 but less than $1,000,000; if victim was an elder person (presumptive imprisonment)</v>
      </c>
      <c r="O1688" s="10" t="str">
        <f t="shared" si="3"/>
        <v>Kansas Uniform Securities Act</v>
      </c>
    </row>
    <row r="1689">
      <c r="A1689" s="7" t="s">
        <v>3073</v>
      </c>
      <c r="B1689" s="8" t="s">
        <v>3064</v>
      </c>
      <c r="C1689" s="8">
        <v>2.0</v>
      </c>
      <c r="D1689" s="8">
        <v>4.0</v>
      </c>
      <c r="E1689" s="8">
        <v>4.0</v>
      </c>
      <c r="F1689" s="8">
        <v>5.0</v>
      </c>
      <c r="G1689" s="8" t="s">
        <v>21</v>
      </c>
      <c r="H1689" s="9"/>
      <c r="I1689" s="9"/>
      <c r="N1689" s="10" t="str">
        <f t="shared" si="2"/>
        <v>17-12a501(2) - Kansas Uniform Securities Act; Intentional general fraud in connection with offer, sale, or purchase of a security; false statement of or omission of material fact; $1,000,000 or more (presumptive imprisonment)</v>
      </c>
      <c r="O1689" s="10" t="str">
        <f t="shared" si="3"/>
        <v>Kansas Uniform Securities Act</v>
      </c>
    </row>
    <row r="1690">
      <c r="A1690" s="7" t="s">
        <v>3074</v>
      </c>
      <c r="B1690" s="8" t="s">
        <v>3064</v>
      </c>
      <c r="C1690" s="8">
        <v>2.0</v>
      </c>
      <c r="D1690" s="8">
        <v>4.0</v>
      </c>
      <c r="E1690" s="8">
        <v>4.0</v>
      </c>
      <c r="F1690" s="8">
        <v>5.0</v>
      </c>
      <c r="G1690" s="8" t="s">
        <v>21</v>
      </c>
      <c r="H1690" s="9"/>
      <c r="I1690" s="9"/>
      <c r="N1690" s="10" t="str">
        <f t="shared" si="2"/>
        <v>17-12a501(2) - Kansas Uniform Securities Act; Intentional general fraud in connection with offer, sale, or purchase of a security; false statement of or omission of material fact; at least $250,000 but less than $1,000,000; if victim was an elder person (presumptive imprisonment)</v>
      </c>
      <c r="O1690" s="10" t="str">
        <f t="shared" si="3"/>
        <v>Kansas Uniform Securities Act</v>
      </c>
    </row>
    <row r="1691">
      <c r="A1691" s="7" t="s">
        <v>3075</v>
      </c>
      <c r="B1691" s="8" t="s">
        <v>3056</v>
      </c>
      <c r="C1691" s="8">
        <v>3.0</v>
      </c>
      <c r="D1691" s="8">
        <v>5.0</v>
      </c>
      <c r="E1691" s="8">
        <v>5.0</v>
      </c>
      <c r="F1691" s="8">
        <v>6.0</v>
      </c>
      <c r="G1691" s="8" t="s">
        <v>21</v>
      </c>
      <c r="H1691" s="9"/>
      <c r="I1691" s="9"/>
      <c r="N1691" s="10" t="str">
        <f t="shared" si="2"/>
        <v>17-12a502(a)(1) - Kansas Uniform Securities Act; Intentional fraud in providing investment advice; employ a device, scheme, or artifice to defraud another; at least $100,000 but less than $250,000; if victim was an elder person (presumptive imprisonment)</v>
      </c>
      <c r="O1691" s="10" t="str">
        <f t="shared" si="3"/>
        <v>Kansas Uniform Securities Act</v>
      </c>
    </row>
    <row r="1692">
      <c r="A1692" s="7" t="s">
        <v>3076</v>
      </c>
      <c r="B1692" s="8" t="s">
        <v>3056</v>
      </c>
      <c r="C1692" s="8">
        <v>3.0</v>
      </c>
      <c r="D1692" s="8">
        <v>5.0</v>
      </c>
      <c r="E1692" s="8">
        <v>5.0</v>
      </c>
      <c r="F1692" s="8">
        <v>6.0</v>
      </c>
      <c r="G1692" s="8" t="s">
        <v>21</v>
      </c>
      <c r="H1692" s="9"/>
      <c r="I1692" s="9"/>
      <c r="N1692" s="10" t="str">
        <f t="shared" si="2"/>
        <v>17-12a502(a)(1) - Kansas Uniform Securities Act; Intentional fraud in providing investment advice; employ a device, scheme, or artifice to defraud another; at least $250,000 but less than $1,000,000 (presumptive imprisonment)</v>
      </c>
      <c r="O1692" s="10" t="str">
        <f t="shared" si="3"/>
        <v>Kansas Uniform Securities Act</v>
      </c>
    </row>
    <row r="1693">
      <c r="A1693" s="7" t="s">
        <v>3077</v>
      </c>
      <c r="B1693" s="8" t="s">
        <v>3058</v>
      </c>
      <c r="C1693" s="8">
        <v>3.0</v>
      </c>
      <c r="D1693" s="8">
        <v>5.0</v>
      </c>
      <c r="E1693" s="8">
        <v>5.0</v>
      </c>
      <c r="F1693" s="8">
        <v>6.0</v>
      </c>
      <c r="G1693" s="8" t="s">
        <v>21</v>
      </c>
      <c r="H1693" s="9"/>
      <c r="I1693" s="9"/>
      <c r="N1693" s="10" t="str">
        <f t="shared" si="2"/>
        <v>17-12a502(a)(2) - Kansas Uniform Securities Act; Intentional fraud in providing investment advice; engage in act, practice, or course of business that operates as a fraud or deceit; at least $100,000 but less than $250,000; if victim was an elder person (presumptive imprisonment)</v>
      </c>
      <c r="O1693" s="10" t="str">
        <f t="shared" si="3"/>
        <v>Kansas Uniform Securities Act</v>
      </c>
    </row>
    <row r="1694">
      <c r="A1694" s="7" t="s">
        <v>3078</v>
      </c>
      <c r="B1694" s="8" t="s">
        <v>3058</v>
      </c>
      <c r="C1694" s="8">
        <v>3.0</v>
      </c>
      <c r="D1694" s="8">
        <v>5.0</v>
      </c>
      <c r="E1694" s="8">
        <v>5.0</v>
      </c>
      <c r="F1694" s="8">
        <v>6.0</v>
      </c>
      <c r="G1694" s="8" t="s">
        <v>21</v>
      </c>
      <c r="H1694" s="9"/>
      <c r="I1694" s="9"/>
      <c r="N1694" s="10" t="str">
        <f t="shared" si="2"/>
        <v>17-12a502(a)(2) - Kansas Uniform Securities Act; Intentional fraud in providing investment advice; engage in act, practice, or course of business that operates as a fraud or deceit; at least $250,000 but less than $1,000,000 (presumptive imprisonment)</v>
      </c>
      <c r="O1694" s="10" t="str">
        <f t="shared" si="3"/>
        <v>Kansas Uniform Securities Act</v>
      </c>
    </row>
    <row r="1695">
      <c r="A1695" s="7" t="s">
        <v>3079</v>
      </c>
      <c r="B1695" s="8" t="s">
        <v>3060</v>
      </c>
      <c r="C1695" s="8">
        <v>3.0</v>
      </c>
      <c r="D1695" s="8">
        <v>5.0</v>
      </c>
      <c r="E1695" s="8">
        <v>5.0</v>
      </c>
      <c r="F1695" s="8">
        <v>6.0</v>
      </c>
      <c r="G1695" s="8" t="s">
        <v>21</v>
      </c>
      <c r="H1695" s="9"/>
      <c r="I1695" s="9"/>
      <c r="N1695" s="10" t="str">
        <f t="shared" si="2"/>
        <v>17-12a501(1) - Kansas Uniform Securities Act; Intentional general fraud in connection with offer, sale, or purchase of a security; employing device, scheme or artifice to defraud; at least $100,000 but less than $250,000; if victim was an elder person (presumptive imprisonment)</v>
      </c>
      <c r="O1695" s="10" t="str">
        <f t="shared" si="3"/>
        <v>Kansas Uniform Securities Act</v>
      </c>
    </row>
    <row r="1696">
      <c r="A1696" s="7" t="s">
        <v>3080</v>
      </c>
      <c r="B1696" s="8" t="s">
        <v>3060</v>
      </c>
      <c r="C1696" s="8">
        <v>3.0</v>
      </c>
      <c r="D1696" s="8">
        <v>5.0</v>
      </c>
      <c r="E1696" s="8">
        <v>5.0</v>
      </c>
      <c r="F1696" s="8">
        <v>6.0</v>
      </c>
      <c r="G1696" s="8" t="s">
        <v>21</v>
      </c>
      <c r="H1696" s="9"/>
      <c r="I1696" s="9"/>
      <c r="N1696" s="10" t="str">
        <f t="shared" si="2"/>
        <v>17-12a501(1) - Kansas Uniform Securities Act; Intentional general fraud in connection with offer, sale, or purchase of a security; employing device, scheme or artifice to defraud; at least $250,000 but at less than $1,000,000 (presumptive imprisonment)</v>
      </c>
      <c r="O1696" s="10" t="str">
        <f t="shared" si="3"/>
        <v>Kansas Uniform Securities Act</v>
      </c>
    </row>
    <row r="1697">
      <c r="A1697" s="7" t="s">
        <v>3081</v>
      </c>
      <c r="B1697" s="8" t="s">
        <v>3062</v>
      </c>
      <c r="C1697" s="8">
        <v>3.0</v>
      </c>
      <c r="D1697" s="8">
        <v>5.0</v>
      </c>
      <c r="E1697" s="8">
        <v>5.0</v>
      </c>
      <c r="F1697" s="8">
        <v>6.0</v>
      </c>
      <c r="G1697" s="8" t="s">
        <v>21</v>
      </c>
      <c r="H1697" s="9"/>
      <c r="I1697" s="9"/>
      <c r="N1697" s="10" t="str">
        <f t="shared" si="2"/>
        <v>17-12a501(3) - Kansas Uniform Securities Act; Intentional general fraud in connection with offer, sale, or purchase of a security; engage in act, practice, or course of business that operates as a fraud or deceit; at least $100,000 but less than $250,000; if victim was an elder person (presumptive imprisonment)</v>
      </c>
      <c r="O1697" s="10" t="str">
        <f t="shared" si="3"/>
        <v>Kansas Uniform Securities Act</v>
      </c>
    </row>
    <row r="1698">
      <c r="A1698" s="7" t="s">
        <v>3082</v>
      </c>
      <c r="B1698" s="8" t="s">
        <v>3062</v>
      </c>
      <c r="C1698" s="8">
        <v>3.0</v>
      </c>
      <c r="D1698" s="8">
        <v>5.0</v>
      </c>
      <c r="E1698" s="8">
        <v>5.0</v>
      </c>
      <c r="F1698" s="8">
        <v>6.0</v>
      </c>
      <c r="G1698" s="8" t="s">
        <v>21</v>
      </c>
      <c r="H1698" s="9"/>
      <c r="I1698" s="9"/>
      <c r="N1698" s="10" t="str">
        <f t="shared" si="2"/>
        <v>17-12a501(3) - Kansas Uniform Securities Act; Intentional general fraud in connection with offer, sale, or purchase of a security; engage in act, practice, or course of business that operates as a fraud or deceit; at least $250,000 but less than $1,000,000 (presumptive imprisonment)</v>
      </c>
      <c r="O1698" s="10" t="str">
        <f t="shared" si="3"/>
        <v>Kansas Uniform Securities Act</v>
      </c>
    </row>
    <row r="1699">
      <c r="A1699" s="7" t="s">
        <v>3083</v>
      </c>
      <c r="B1699" s="8" t="s">
        <v>3064</v>
      </c>
      <c r="C1699" s="8">
        <v>3.0</v>
      </c>
      <c r="D1699" s="8">
        <v>5.0</v>
      </c>
      <c r="E1699" s="8">
        <v>5.0</v>
      </c>
      <c r="F1699" s="8">
        <v>6.0</v>
      </c>
      <c r="G1699" s="8" t="s">
        <v>21</v>
      </c>
      <c r="H1699" s="9"/>
      <c r="I1699" s="9"/>
      <c r="N1699" s="10" t="str">
        <f t="shared" si="2"/>
        <v>17-12a501(2) - Kansas Uniform Securities Act; Intentional general fraud in connection with offer, sale, or purchase of a security; false statement of or omission of material fact; at least $100,000 but less than $250,000; if victim was an elder person (presumptive imprisonment)</v>
      </c>
      <c r="O1699" s="10" t="str">
        <f t="shared" si="3"/>
        <v>Kansas Uniform Securities Act</v>
      </c>
    </row>
    <row r="1700">
      <c r="A1700" s="7" t="s">
        <v>3084</v>
      </c>
      <c r="B1700" s="8" t="s">
        <v>3064</v>
      </c>
      <c r="C1700" s="8">
        <v>3.0</v>
      </c>
      <c r="D1700" s="8">
        <v>5.0</v>
      </c>
      <c r="E1700" s="8">
        <v>5.0</v>
      </c>
      <c r="F1700" s="8">
        <v>6.0</v>
      </c>
      <c r="G1700" s="8" t="s">
        <v>21</v>
      </c>
      <c r="H1700" s="9"/>
      <c r="I1700" s="9"/>
      <c r="N1700" s="10" t="str">
        <f t="shared" si="2"/>
        <v>17-12a501(2) - Kansas Uniform Securities Act; Intentional general fraud in connection with offer, sale, or purchase of a security; false statement of or omission of material fact; at least $250,000 but less than $1,000,000 (presumptive imprisonment)</v>
      </c>
      <c r="O1700" s="10" t="str">
        <f t="shared" si="3"/>
        <v>Kansas Uniform Securities Act</v>
      </c>
    </row>
    <row r="1701">
      <c r="A1701" s="7" t="s">
        <v>3085</v>
      </c>
      <c r="B1701" s="8" t="s">
        <v>3056</v>
      </c>
      <c r="C1701" s="8">
        <v>4.0</v>
      </c>
      <c r="D1701" s="8">
        <v>6.0</v>
      </c>
      <c r="E1701" s="8">
        <v>6.0</v>
      </c>
      <c r="F1701" s="8">
        <v>7.0</v>
      </c>
      <c r="G1701" s="8" t="s">
        <v>21</v>
      </c>
      <c r="H1701" s="9"/>
      <c r="I1701" s="9"/>
      <c r="N1701" s="10" t="str">
        <f t="shared" si="2"/>
        <v>17-12a502(a)(1) - Kansas Uniform Securities Act; Intentional fraud in providing investment advice; employ a device, scheme, or artifice to defraud another; at least $100,000 but less than $250,000 (presumptive imprisonment)</v>
      </c>
      <c r="O1701" s="10" t="str">
        <f t="shared" si="3"/>
        <v>Kansas Uniform Securities Act</v>
      </c>
    </row>
    <row r="1702">
      <c r="A1702" s="7" t="s">
        <v>3086</v>
      </c>
      <c r="B1702" s="8" t="s">
        <v>3056</v>
      </c>
      <c r="C1702" s="8">
        <v>4.0</v>
      </c>
      <c r="D1702" s="8">
        <v>6.0</v>
      </c>
      <c r="E1702" s="8">
        <v>6.0</v>
      </c>
      <c r="F1702" s="8">
        <v>7.0</v>
      </c>
      <c r="G1702" s="8" t="s">
        <v>21</v>
      </c>
      <c r="H1702" s="9"/>
      <c r="I1702" s="9"/>
      <c r="N1702" s="10" t="str">
        <f t="shared" si="2"/>
        <v>17-12a502(a)(1) - Kansas Uniform Securities Act; Intentional fraud in providing investment advice; employ a device, scheme, or artifice to defraud another; at least $25,000 but less than $100,000; if victim was an elder person (presumptive imprisonment)</v>
      </c>
      <c r="O1702" s="10" t="str">
        <f t="shared" si="3"/>
        <v>Kansas Uniform Securities Act</v>
      </c>
    </row>
    <row r="1703">
      <c r="A1703" s="7" t="s">
        <v>3087</v>
      </c>
      <c r="B1703" s="8" t="s">
        <v>3058</v>
      </c>
      <c r="C1703" s="8">
        <v>4.0</v>
      </c>
      <c r="D1703" s="8">
        <v>6.0</v>
      </c>
      <c r="E1703" s="8">
        <v>6.0</v>
      </c>
      <c r="F1703" s="8">
        <v>7.0</v>
      </c>
      <c r="G1703" s="8" t="s">
        <v>21</v>
      </c>
      <c r="H1703" s="9"/>
      <c r="I1703" s="9"/>
      <c r="N1703" s="10" t="str">
        <f t="shared" si="2"/>
        <v>17-12a502(a)(2) - Kansas Uniform Securities Act; Intentional fraud in providing investment advice; engage in act, practice, or course of business that operates as a fraud or deceit; at least $100,000 but less than $250,000 (presumptive imprisonment)</v>
      </c>
      <c r="O1703" s="10" t="str">
        <f t="shared" si="3"/>
        <v>Kansas Uniform Securities Act</v>
      </c>
    </row>
    <row r="1704">
      <c r="A1704" s="7" t="s">
        <v>3088</v>
      </c>
      <c r="B1704" s="8" t="s">
        <v>3058</v>
      </c>
      <c r="C1704" s="8">
        <v>4.0</v>
      </c>
      <c r="D1704" s="8">
        <v>6.0</v>
      </c>
      <c r="E1704" s="8">
        <v>6.0</v>
      </c>
      <c r="F1704" s="8">
        <v>7.0</v>
      </c>
      <c r="G1704" s="8" t="s">
        <v>21</v>
      </c>
      <c r="H1704" s="9"/>
      <c r="I1704" s="9"/>
      <c r="N1704" s="10" t="str">
        <f t="shared" si="2"/>
        <v>17-12a502(a)(2) - Kansas Uniform Securities Act; Intentional fraud in providing investment advice; engage in act, practice, or course of business that operates as a fraud or deceit; at least $25,000 but less than $100,000; if victim was an elder person (presumptive imprisonment)</v>
      </c>
      <c r="O1704" s="10" t="str">
        <f t="shared" si="3"/>
        <v>Kansas Uniform Securities Act</v>
      </c>
    </row>
    <row r="1705">
      <c r="A1705" s="7" t="s">
        <v>3089</v>
      </c>
      <c r="B1705" s="8" t="s">
        <v>3060</v>
      </c>
      <c r="C1705" s="8">
        <v>4.0</v>
      </c>
      <c r="D1705" s="8">
        <v>6.0</v>
      </c>
      <c r="E1705" s="8">
        <v>6.0</v>
      </c>
      <c r="F1705" s="8">
        <v>7.0</v>
      </c>
      <c r="G1705" s="8" t="s">
        <v>21</v>
      </c>
      <c r="H1705" s="9"/>
      <c r="I1705" s="9"/>
      <c r="N1705" s="10" t="str">
        <f t="shared" si="2"/>
        <v>17-12a501(1) - Kansas Uniform Securities Act; Intentional general fraud in connection with offer, sale, or purchase of a security; employing device, scheme or artifice to defraud; at least $100,000 but less than $250,000 (presumptive imprisonment)</v>
      </c>
      <c r="O1705" s="10" t="str">
        <f t="shared" si="3"/>
        <v>Kansas Uniform Securities Act</v>
      </c>
    </row>
    <row r="1706">
      <c r="A1706" s="7" t="s">
        <v>3090</v>
      </c>
      <c r="B1706" s="8" t="s">
        <v>3060</v>
      </c>
      <c r="C1706" s="8">
        <v>4.0</v>
      </c>
      <c r="D1706" s="8">
        <v>6.0</v>
      </c>
      <c r="E1706" s="8">
        <v>6.0</v>
      </c>
      <c r="F1706" s="8">
        <v>7.0</v>
      </c>
      <c r="G1706" s="8" t="s">
        <v>21</v>
      </c>
      <c r="H1706" s="9"/>
      <c r="I1706" s="9"/>
      <c r="N1706" s="10" t="str">
        <f t="shared" si="2"/>
        <v>17-12a501(1) - Kansas Uniform Securities Act; Intentional general fraud in connection with offer, sale, or purchase of a security; employing device, scheme or artifice to defraud; at least $25,000 but less than $100,000; if victim was an elder person (presumptive imprisonment)</v>
      </c>
      <c r="O1706" s="10" t="str">
        <f t="shared" si="3"/>
        <v>Kansas Uniform Securities Act</v>
      </c>
    </row>
    <row r="1707">
      <c r="A1707" s="7" t="s">
        <v>3091</v>
      </c>
      <c r="B1707" s="8" t="s">
        <v>3062</v>
      </c>
      <c r="C1707" s="8">
        <v>4.0</v>
      </c>
      <c r="D1707" s="8">
        <v>6.0</v>
      </c>
      <c r="E1707" s="8">
        <v>6.0</v>
      </c>
      <c r="F1707" s="8">
        <v>7.0</v>
      </c>
      <c r="G1707" s="8" t="s">
        <v>21</v>
      </c>
      <c r="H1707" s="9"/>
      <c r="I1707" s="9"/>
      <c r="N1707" s="10" t="str">
        <f t="shared" si="2"/>
        <v>17-12a501(3) - Kansas Uniform Securities Act; Intentional general fraud in connection with offer, sale, or purchase of a security; engage in act, practice, or course of business that operates as a fraud or deceit; at least $100,000 but less than $250,000 (presumptive imprisonment)</v>
      </c>
      <c r="O1707" s="10" t="str">
        <f t="shared" si="3"/>
        <v>Kansas Uniform Securities Act</v>
      </c>
    </row>
    <row r="1708">
      <c r="A1708" s="7" t="s">
        <v>3092</v>
      </c>
      <c r="B1708" s="8" t="s">
        <v>3062</v>
      </c>
      <c r="C1708" s="8">
        <v>4.0</v>
      </c>
      <c r="D1708" s="8">
        <v>6.0</v>
      </c>
      <c r="E1708" s="8">
        <v>6.0</v>
      </c>
      <c r="F1708" s="8">
        <v>7.0</v>
      </c>
      <c r="G1708" s="8" t="s">
        <v>21</v>
      </c>
      <c r="H1708" s="9"/>
      <c r="I1708" s="9"/>
      <c r="N1708" s="10" t="str">
        <f t="shared" si="2"/>
        <v>17-12a501(3) - Kansas Uniform Securities Act; Intentional general fraud in connection with offer, sale, or purchase of a security; engage in act, practice, or course of business that operates as a fraud or deceit; at least $25,000 but less than $100,000; if victim was an elder person (presumptive imprisonment)</v>
      </c>
      <c r="O1708" s="10" t="str">
        <f t="shared" si="3"/>
        <v>Kansas Uniform Securities Act</v>
      </c>
    </row>
    <row r="1709">
      <c r="A1709" s="7" t="s">
        <v>3093</v>
      </c>
      <c r="B1709" s="8" t="s">
        <v>3064</v>
      </c>
      <c r="C1709" s="8">
        <v>4.0</v>
      </c>
      <c r="D1709" s="8">
        <v>6.0</v>
      </c>
      <c r="E1709" s="8">
        <v>6.0</v>
      </c>
      <c r="F1709" s="8">
        <v>7.0</v>
      </c>
      <c r="G1709" s="8" t="s">
        <v>21</v>
      </c>
      <c r="H1709" s="9"/>
      <c r="I1709" s="9"/>
      <c r="N1709" s="10" t="str">
        <f t="shared" si="2"/>
        <v>17-12a501(2) - Kansas Uniform Securities Act; Intentional general fraud in connection with offer, sale, or purchase of a security; false statement of or omission of material fact; at least $100,000 but less than $250,000 (presumptive imprisonment)</v>
      </c>
      <c r="O1709" s="10" t="str">
        <f t="shared" si="3"/>
        <v>Kansas Uniform Securities Act</v>
      </c>
    </row>
    <row r="1710">
      <c r="A1710" s="7" t="s">
        <v>3094</v>
      </c>
      <c r="B1710" s="8" t="s">
        <v>3064</v>
      </c>
      <c r="C1710" s="8">
        <v>4.0</v>
      </c>
      <c r="D1710" s="8">
        <v>6.0</v>
      </c>
      <c r="E1710" s="8">
        <v>6.0</v>
      </c>
      <c r="F1710" s="8">
        <v>7.0</v>
      </c>
      <c r="G1710" s="8" t="s">
        <v>21</v>
      </c>
      <c r="H1710" s="9"/>
      <c r="I1710" s="9"/>
      <c r="N1710" s="10" t="str">
        <f t="shared" si="2"/>
        <v>17-12a501(2) - Kansas Uniform Securities Act; Intentional general fraud in connection with offer, sale, or purchase of a security; false statement of or omission of material fact; at least $25,000 but less than $100,000; if victim was an elder person (presumptive imprisonment)</v>
      </c>
      <c r="O1710" s="10" t="str">
        <f t="shared" si="3"/>
        <v>Kansas Uniform Securities Act</v>
      </c>
    </row>
    <row r="1711">
      <c r="A1711" s="7" t="s">
        <v>3095</v>
      </c>
      <c r="B1711" s="8" t="s">
        <v>3096</v>
      </c>
      <c r="C1711" s="8">
        <v>4.0</v>
      </c>
      <c r="D1711" s="8">
        <v>6.0</v>
      </c>
      <c r="E1711" s="8">
        <v>6.0</v>
      </c>
      <c r="F1711" s="8">
        <v>7.0</v>
      </c>
      <c r="G1711" s="8" t="s">
        <v>21</v>
      </c>
      <c r="H1711" s="9"/>
      <c r="I1711" s="9"/>
      <c r="N1711" s="10" t="str">
        <f t="shared" si="2"/>
        <v>17-12a402(a) - Kansas Uniform Securities Act; Intentional violation of agent registration requirements; $100,000 or more; if victim was an elder person (presumptive imprisonment)</v>
      </c>
      <c r="O1711" s="10" t="str">
        <f t="shared" si="3"/>
        <v>Kansas Uniform Securities Act</v>
      </c>
    </row>
    <row r="1712">
      <c r="A1712" s="7" t="s">
        <v>3097</v>
      </c>
      <c r="B1712" s="8" t="s">
        <v>3098</v>
      </c>
      <c r="C1712" s="8">
        <v>4.0</v>
      </c>
      <c r="D1712" s="8">
        <v>6.0</v>
      </c>
      <c r="E1712" s="8">
        <v>6.0</v>
      </c>
      <c r="F1712" s="8">
        <v>7.0</v>
      </c>
      <c r="G1712" s="8" t="s">
        <v>21</v>
      </c>
      <c r="H1712" s="9"/>
      <c r="I1712" s="9"/>
      <c r="N1712" s="10" t="str">
        <f t="shared" si="2"/>
        <v>17-12a401(a) - Kansas Uniform Securities Act; Intentional violation of broker-dealer registration requirements; $100,000 or more; if victim was an elder person (presumptive imprisonment)</v>
      </c>
      <c r="O1712" s="10" t="str">
        <f t="shared" si="3"/>
        <v>Kansas Uniform Securities Act</v>
      </c>
    </row>
    <row r="1713">
      <c r="A1713" s="7" t="s">
        <v>3099</v>
      </c>
      <c r="B1713" s="8" t="s">
        <v>3100</v>
      </c>
      <c r="C1713" s="8">
        <v>4.0</v>
      </c>
      <c r="D1713" s="8">
        <v>6.0</v>
      </c>
      <c r="E1713" s="8">
        <v>6.0</v>
      </c>
      <c r="F1713" s="8">
        <v>7.0</v>
      </c>
      <c r="G1713" s="8" t="s">
        <v>21</v>
      </c>
      <c r="H1713" s="9"/>
      <c r="I1713" s="9"/>
      <c r="N1713" s="10" t="str">
        <f t="shared" si="2"/>
        <v>17-12a403(a) - Kansas Uniform Securities Act; Intentional violation of investment adviser registration requirements; $100,000 or more; if victim was an elder person (presumptive imprisonment)</v>
      </c>
      <c r="O1713" s="10" t="str">
        <f t="shared" si="3"/>
        <v>Kansas Uniform Securities Act</v>
      </c>
    </row>
    <row r="1714">
      <c r="A1714" s="7" t="s">
        <v>3101</v>
      </c>
      <c r="B1714" s="8" t="s">
        <v>3102</v>
      </c>
      <c r="C1714" s="8">
        <v>4.0</v>
      </c>
      <c r="D1714" s="8">
        <v>6.0</v>
      </c>
      <c r="E1714" s="8">
        <v>6.0</v>
      </c>
      <c r="F1714" s="8">
        <v>7.0</v>
      </c>
      <c r="G1714" s="8" t="s">
        <v>21</v>
      </c>
      <c r="H1714" s="9"/>
      <c r="I1714" s="9"/>
      <c r="N1714" s="10" t="str">
        <f t="shared" si="2"/>
        <v>17-12a404(e) - Kansas Uniform Securities Act; Intentional violation of investment adviser representative limits on employment or association; if victim was an elder person</v>
      </c>
      <c r="O1714" s="10" t="str">
        <f t="shared" si="3"/>
        <v>Kansas Uniform Securities Act</v>
      </c>
    </row>
    <row r="1715">
      <c r="A1715" s="7" t="s">
        <v>3103</v>
      </c>
      <c r="B1715" s="8" t="s">
        <v>3104</v>
      </c>
      <c r="C1715" s="8">
        <v>4.0</v>
      </c>
      <c r="D1715" s="8">
        <v>6.0</v>
      </c>
      <c r="E1715" s="8">
        <v>6.0</v>
      </c>
      <c r="F1715" s="8">
        <v>7.0</v>
      </c>
      <c r="G1715" s="8" t="s">
        <v>21</v>
      </c>
      <c r="H1715" s="9"/>
      <c r="I1715" s="9"/>
      <c r="N1715" s="10" t="str">
        <f t="shared" si="2"/>
        <v>17-12a404(a) - Kansas Uniform Securities Act; Intentional violation of investment adviser representative registration requirements; $100,000 or more; if victim was an elder person (presumptive imprisonment)</v>
      </c>
      <c r="O1715" s="10" t="str">
        <f t="shared" si="3"/>
        <v>Kansas Uniform Securities Act</v>
      </c>
    </row>
    <row r="1716">
      <c r="A1716" s="7" t="s">
        <v>3105</v>
      </c>
      <c r="B1716" s="8" t="s">
        <v>3106</v>
      </c>
      <c r="C1716" s="8">
        <v>4.0</v>
      </c>
      <c r="D1716" s="8">
        <v>6.0</v>
      </c>
      <c r="E1716" s="8">
        <v>6.0</v>
      </c>
      <c r="F1716" s="8">
        <v>7.0</v>
      </c>
      <c r="G1716" s="8" t="s">
        <v>21</v>
      </c>
      <c r="H1716" s="9"/>
      <c r="I1716" s="9"/>
      <c r="N1716" s="10" t="str">
        <f t="shared" si="2"/>
        <v>17-12a301(1) - Kansas Uniform Securities Act; Intentional, unlawful offering or selling security in this state; security not a federally covered security; $100,000 or more; if victim was an elder person (presumptive imprisonment)</v>
      </c>
      <c r="O1716" s="10" t="str">
        <f t="shared" si="3"/>
        <v>Kansas Uniform Securities Act</v>
      </c>
    </row>
    <row r="1717">
      <c r="A1717" s="7" t="s">
        <v>3107</v>
      </c>
      <c r="B1717" s="8" t="s">
        <v>3108</v>
      </c>
      <c r="C1717" s="8">
        <v>4.0</v>
      </c>
      <c r="D1717" s="8">
        <v>6.0</v>
      </c>
      <c r="E1717" s="8">
        <v>6.0</v>
      </c>
      <c r="F1717" s="8">
        <v>7.0</v>
      </c>
      <c r="G1717" s="8" t="s">
        <v>21</v>
      </c>
      <c r="H1717" s="9"/>
      <c r="I1717" s="9"/>
      <c r="N1717" s="10" t="str">
        <f t="shared" si="2"/>
        <v>17-12a301(2) - Kansas Uniform Securities Act; Intentional, unlawful offering or selling security in this state; security not exempt from registration; $100,000 or more; if victim was an elder person (presumptive imprisonment)</v>
      </c>
      <c r="O1717" s="10" t="str">
        <f t="shared" si="3"/>
        <v>Kansas Uniform Securities Act</v>
      </c>
    </row>
    <row r="1718">
      <c r="A1718" s="7" t="s">
        <v>3109</v>
      </c>
      <c r="B1718" s="8" t="s">
        <v>3110</v>
      </c>
      <c r="C1718" s="8">
        <v>4.0</v>
      </c>
      <c r="D1718" s="8">
        <v>6.0</v>
      </c>
      <c r="E1718" s="8">
        <v>6.0</v>
      </c>
      <c r="F1718" s="8">
        <v>7.0</v>
      </c>
      <c r="G1718" s="8" t="s">
        <v>21</v>
      </c>
      <c r="H1718" s="9"/>
      <c r="I1718" s="9"/>
      <c r="N1718" s="10" t="str">
        <f t="shared" si="2"/>
        <v>17-12a301(3) - Kansas Uniform Securities Act; Intentional, unlawful offering or selling security in this state; security not registered; $100,000 or more; if victim was an elder person (presumptive imprisonment)</v>
      </c>
      <c r="O1718" s="10" t="str">
        <f t="shared" si="3"/>
        <v>Kansas Uniform Securities Act</v>
      </c>
    </row>
    <row r="1719">
      <c r="A1719" s="7" t="s">
        <v>3111</v>
      </c>
      <c r="B1719" s="8" t="s">
        <v>3112</v>
      </c>
      <c r="C1719" s="8">
        <v>4.0</v>
      </c>
      <c r="D1719" s="8">
        <v>6.0</v>
      </c>
      <c r="E1719" s="8">
        <v>6.0</v>
      </c>
      <c r="F1719" s="8">
        <v>7.0</v>
      </c>
      <c r="G1719" s="8" t="s">
        <v>21</v>
      </c>
      <c r="H1719" s="9"/>
      <c r="I1719" s="9"/>
      <c r="N1719" s="10" t="str">
        <f t="shared" si="2"/>
        <v>17-12a505(c)(2) - Kansas Uniform Securities Act; Misleading filings; coercion; obstruction; alter, destroy, shred, mutilate or conceal a record with intent to impair the object's integrity or availability for the use in a proceeding; if victim was an elder person</v>
      </c>
      <c r="O1719" s="10" t="str">
        <f t="shared" si="3"/>
        <v>Kansas Uniform Securities Act</v>
      </c>
    </row>
    <row r="1720">
      <c r="A1720" s="7" t="s">
        <v>3113</v>
      </c>
      <c r="B1720" s="8" t="s">
        <v>3114</v>
      </c>
      <c r="C1720" s="8">
        <v>4.0</v>
      </c>
      <c r="D1720" s="8">
        <v>6.0</v>
      </c>
      <c r="E1720" s="8">
        <v>6.0</v>
      </c>
      <c r="F1720" s="8">
        <v>7.0</v>
      </c>
      <c r="G1720" s="8" t="s">
        <v>21</v>
      </c>
      <c r="H1720" s="9"/>
      <c r="I1720" s="9"/>
      <c r="N1720" s="10" t="str">
        <f t="shared" si="2"/>
        <v>17-12a505(c)(1) - Kansas Uniform Securities Act; Misleading filings; coercion; obstruction; alter, destroy, shred, mutilate, conceal, cover up or falsify any record with intent to impede, obstruct or influence an investigation; if victim was an elder person</v>
      </c>
      <c r="O1720" s="10" t="str">
        <f t="shared" si="3"/>
        <v>Kansas Uniform Securities Act</v>
      </c>
    </row>
    <row r="1721">
      <c r="A1721" s="7" t="s">
        <v>3115</v>
      </c>
      <c r="B1721" s="8" t="s">
        <v>3116</v>
      </c>
      <c r="C1721" s="8">
        <v>4.0</v>
      </c>
      <c r="D1721" s="8">
        <v>6.0</v>
      </c>
      <c r="E1721" s="8">
        <v>6.0</v>
      </c>
      <c r="F1721" s="8">
        <v>7.0</v>
      </c>
      <c r="G1721" s="8" t="s">
        <v>21</v>
      </c>
      <c r="H1721" s="9"/>
      <c r="I1721" s="9"/>
      <c r="N1721" s="10" t="str">
        <f t="shared" si="2"/>
        <v>17-12a505(b) - Kansas Uniform Securities Act; Misleading filings; coercion; obstruction; intentionally influence, coerce, manipulate, or mislead another in connection with financial statements or appraisals to be used in offer, sale or purchase of securities; if victim was an elder person</v>
      </c>
      <c r="O1721" s="10" t="str">
        <f t="shared" si="3"/>
        <v>Kansas Uniform Securities Act</v>
      </c>
    </row>
    <row r="1722">
      <c r="A1722" s="7" t="s">
        <v>3117</v>
      </c>
      <c r="B1722" s="8" t="s">
        <v>3118</v>
      </c>
      <c r="C1722" s="8">
        <v>4.0</v>
      </c>
      <c r="D1722" s="8">
        <v>6.0</v>
      </c>
      <c r="E1722" s="8">
        <v>6.0</v>
      </c>
      <c r="F1722" s="8">
        <v>7.0</v>
      </c>
      <c r="G1722" s="8" t="s">
        <v>21</v>
      </c>
      <c r="H1722" s="9"/>
      <c r="I1722" s="9"/>
      <c r="N1722" s="10" t="str">
        <f t="shared" si="2"/>
        <v>17-12a505(a) - Kansas Uniform Securities Act; Misleading filings; coercion; obstruction; make a false or misleading statement in a material respect or omission of material fact; if victim was an elder person</v>
      </c>
      <c r="O1722" s="10" t="str">
        <f t="shared" si="3"/>
        <v>Kansas Uniform Securities Act</v>
      </c>
    </row>
    <row r="1723">
      <c r="A1723" s="7" t="s">
        <v>3119</v>
      </c>
      <c r="B1723" s="8" t="s">
        <v>3120</v>
      </c>
      <c r="C1723" s="8">
        <v>4.0</v>
      </c>
      <c r="D1723" s="8">
        <v>6.0</v>
      </c>
      <c r="E1723" s="8">
        <v>6.0</v>
      </c>
      <c r="F1723" s="8">
        <v>7.0</v>
      </c>
      <c r="G1723" s="8" t="s">
        <v>21</v>
      </c>
      <c r="H1723" s="9"/>
      <c r="I1723" s="9"/>
      <c r="N1723" s="10" t="str">
        <f t="shared" si="2"/>
        <v>17-12a505(c)(3) - Kansas Uniform Securities Act; Misleading filings; coercion; obstruction; take action harmful to another with intent to retaliate, including, but not limited to, interference with lawful employment of such person; if victim was an elder person</v>
      </c>
      <c r="O1723" s="10" t="str">
        <f t="shared" si="3"/>
        <v>Kansas Uniform Securities Act</v>
      </c>
    </row>
    <row r="1724">
      <c r="A1724" s="7" t="s">
        <v>3121</v>
      </c>
      <c r="B1724" s="8" t="s">
        <v>3056</v>
      </c>
      <c r="C1724" s="8">
        <v>5.0</v>
      </c>
      <c r="D1724" s="8">
        <v>7.0</v>
      </c>
      <c r="E1724" s="8">
        <v>7.0</v>
      </c>
      <c r="F1724" s="8">
        <v>8.0</v>
      </c>
      <c r="G1724" s="8" t="s">
        <v>21</v>
      </c>
      <c r="H1724" s="9"/>
      <c r="I1724" s="9"/>
      <c r="N1724" s="10" t="str">
        <f t="shared" si="2"/>
        <v>17-12a502(a)(1) - Kansas Uniform Securities Act; Intentional fraud in providing investment advice; employ a device, scheme, or artifice to defraud another; at least $25,000 but less than $100,000 (presumptive imprisonment)</v>
      </c>
      <c r="O1724" s="10" t="str">
        <f t="shared" si="3"/>
        <v>Kansas Uniform Securities Act</v>
      </c>
    </row>
    <row r="1725">
      <c r="A1725" s="7" t="s">
        <v>3122</v>
      </c>
      <c r="B1725" s="8" t="s">
        <v>3056</v>
      </c>
      <c r="C1725" s="8">
        <v>5.0</v>
      </c>
      <c r="D1725" s="8">
        <v>7.0</v>
      </c>
      <c r="E1725" s="8">
        <v>7.0</v>
      </c>
      <c r="F1725" s="8">
        <v>8.0</v>
      </c>
      <c r="G1725" s="8" t="s">
        <v>21</v>
      </c>
      <c r="H1725" s="9"/>
      <c r="I1725" s="9"/>
      <c r="N1725" s="10" t="str">
        <f t="shared" si="2"/>
        <v>17-12a502(a)(1) - Kansas Uniform Securities Act; Intentional fraud in providing investment advice; employ a device, scheme, or artifice to defraud another; less than $25,000; if victim was an elder person</v>
      </c>
      <c r="O1725" s="10" t="str">
        <f t="shared" si="3"/>
        <v>Kansas Uniform Securities Act</v>
      </c>
    </row>
    <row r="1726">
      <c r="A1726" s="7" t="s">
        <v>3123</v>
      </c>
      <c r="B1726" s="8" t="s">
        <v>3058</v>
      </c>
      <c r="C1726" s="8">
        <v>5.0</v>
      </c>
      <c r="D1726" s="8">
        <v>7.0</v>
      </c>
      <c r="E1726" s="8">
        <v>7.0</v>
      </c>
      <c r="F1726" s="8">
        <v>8.0</v>
      </c>
      <c r="G1726" s="8" t="s">
        <v>21</v>
      </c>
      <c r="H1726" s="9"/>
      <c r="I1726" s="9"/>
      <c r="N1726" s="10" t="str">
        <f t="shared" si="2"/>
        <v>17-12a502(a)(2) - Kansas Uniform Securities Act; Intentional fraud in providing investment advice; engage in act, practice, or course of business that operates as a fraud or deceit; at least $25,000 but less than $100,000 (presumptive imprisonment)</v>
      </c>
      <c r="O1726" s="10" t="str">
        <f t="shared" si="3"/>
        <v>Kansas Uniform Securities Act</v>
      </c>
    </row>
    <row r="1727">
      <c r="A1727" s="7" t="s">
        <v>3124</v>
      </c>
      <c r="B1727" s="8" t="s">
        <v>3058</v>
      </c>
      <c r="C1727" s="8">
        <v>5.0</v>
      </c>
      <c r="D1727" s="8">
        <v>7.0</v>
      </c>
      <c r="E1727" s="8">
        <v>7.0</v>
      </c>
      <c r="F1727" s="8">
        <v>8.0</v>
      </c>
      <c r="G1727" s="8" t="s">
        <v>21</v>
      </c>
      <c r="H1727" s="9"/>
      <c r="I1727" s="9"/>
      <c r="N1727" s="10" t="str">
        <f t="shared" si="2"/>
        <v>17-12a502(a)(2) - Kansas Uniform Securities Act; Intentional fraud in providing investment advice; engage in act, practice, or course of business that operates as a fraud or deceit; less than $25,000; if victim was an elder person</v>
      </c>
      <c r="O1727" s="10" t="str">
        <f t="shared" si="3"/>
        <v>Kansas Uniform Securities Act</v>
      </c>
    </row>
    <row r="1728">
      <c r="A1728" s="7" t="s">
        <v>3125</v>
      </c>
      <c r="B1728" s="8" t="s">
        <v>3060</v>
      </c>
      <c r="C1728" s="8">
        <v>5.0</v>
      </c>
      <c r="D1728" s="8">
        <v>7.0</v>
      </c>
      <c r="E1728" s="8">
        <v>7.0</v>
      </c>
      <c r="F1728" s="8">
        <v>8.0</v>
      </c>
      <c r="G1728" s="8" t="s">
        <v>21</v>
      </c>
      <c r="H1728" s="9"/>
      <c r="I1728" s="9"/>
      <c r="N1728" s="10" t="str">
        <f t="shared" si="2"/>
        <v>17-12a501(1) - Kansas Uniform Securities Act; Intentional general fraud in connection with offer, sale, or purchase of a security; employing device, scheme or artifice to defraud; at least $25,000 but less than $100,000 (presumptive imprisonment)</v>
      </c>
      <c r="O1728" s="10" t="str">
        <f t="shared" si="3"/>
        <v>Kansas Uniform Securities Act</v>
      </c>
    </row>
    <row r="1729">
      <c r="A1729" s="7" t="s">
        <v>3126</v>
      </c>
      <c r="B1729" s="8" t="s">
        <v>3060</v>
      </c>
      <c r="C1729" s="8">
        <v>5.0</v>
      </c>
      <c r="D1729" s="8">
        <v>7.0</v>
      </c>
      <c r="E1729" s="8">
        <v>7.0</v>
      </c>
      <c r="F1729" s="8">
        <v>8.0</v>
      </c>
      <c r="G1729" s="8" t="s">
        <v>21</v>
      </c>
      <c r="H1729" s="9"/>
      <c r="I1729" s="9"/>
      <c r="N1729" s="10" t="str">
        <f t="shared" si="2"/>
        <v>17-12a501(1) - Kansas Uniform Securities Act; Intentional general fraud in connection with offer, sale, or purchase of a security; employing device, scheme or artifice to defraud; less than $25,000; if victim was an elder person</v>
      </c>
      <c r="O1729" s="10" t="str">
        <f t="shared" si="3"/>
        <v>Kansas Uniform Securities Act</v>
      </c>
    </row>
    <row r="1730">
      <c r="A1730" s="7" t="s">
        <v>3127</v>
      </c>
      <c r="B1730" s="8" t="s">
        <v>3062</v>
      </c>
      <c r="C1730" s="8">
        <v>5.0</v>
      </c>
      <c r="D1730" s="8">
        <v>7.0</v>
      </c>
      <c r="E1730" s="8">
        <v>7.0</v>
      </c>
      <c r="F1730" s="8">
        <v>8.0</v>
      </c>
      <c r="G1730" s="8" t="s">
        <v>21</v>
      </c>
      <c r="H1730" s="9"/>
      <c r="I1730" s="9"/>
      <c r="N1730" s="10" t="str">
        <f t="shared" si="2"/>
        <v>17-12a501(3) - Kansas Uniform Securities Act; Intentional general fraud in connection with offer, sale, or purchase of a security; engage in act, practice, or course of business that operates as a fraud or deceit; at least $25,000 but less than $100,000 (presumptive imprisonment)</v>
      </c>
      <c r="O1730" s="10" t="str">
        <f t="shared" si="3"/>
        <v>Kansas Uniform Securities Act</v>
      </c>
    </row>
    <row r="1731">
      <c r="A1731" s="7" t="s">
        <v>3128</v>
      </c>
      <c r="B1731" s="8" t="s">
        <v>3062</v>
      </c>
      <c r="C1731" s="8">
        <v>5.0</v>
      </c>
      <c r="D1731" s="8">
        <v>7.0</v>
      </c>
      <c r="E1731" s="8">
        <v>7.0</v>
      </c>
      <c r="F1731" s="8">
        <v>8.0</v>
      </c>
      <c r="G1731" s="8" t="s">
        <v>21</v>
      </c>
      <c r="H1731" s="9"/>
      <c r="I1731" s="9"/>
      <c r="N1731" s="10" t="str">
        <f t="shared" si="2"/>
        <v>17-12a501(3) - Kansas Uniform Securities Act; Intentional general fraud in connection with offer, sale, or purchase of a security; engage in act, practice, or course of business that operates as a fraud or deceit; less than $25,000; if victim was an elder person</v>
      </c>
      <c r="O1731" s="10" t="str">
        <f t="shared" si="3"/>
        <v>Kansas Uniform Securities Act</v>
      </c>
    </row>
    <row r="1732">
      <c r="A1732" s="7" t="s">
        <v>3129</v>
      </c>
      <c r="B1732" s="8" t="s">
        <v>3064</v>
      </c>
      <c r="C1732" s="8">
        <v>5.0</v>
      </c>
      <c r="D1732" s="8">
        <v>7.0</v>
      </c>
      <c r="E1732" s="8">
        <v>7.0</v>
      </c>
      <c r="F1732" s="8">
        <v>8.0</v>
      </c>
      <c r="G1732" s="8" t="s">
        <v>21</v>
      </c>
      <c r="H1732" s="9"/>
      <c r="I1732" s="9"/>
      <c r="N1732" s="10" t="str">
        <f t="shared" si="2"/>
        <v>17-12a501(2) - Kansas Uniform Securities Act; Intentional general fraud in connection with offer, sale, or purchase of a security; false statement of or omission of material fact; at least $25,000 but less than $100,000 (presumptive imprisonment)</v>
      </c>
      <c r="O1732" s="10" t="str">
        <f t="shared" si="3"/>
        <v>Kansas Uniform Securities Act</v>
      </c>
    </row>
    <row r="1733">
      <c r="A1733" s="7" t="s">
        <v>3130</v>
      </c>
      <c r="B1733" s="8" t="s">
        <v>3064</v>
      </c>
      <c r="C1733" s="8">
        <v>5.0</v>
      </c>
      <c r="D1733" s="8">
        <v>7.0</v>
      </c>
      <c r="E1733" s="8">
        <v>7.0</v>
      </c>
      <c r="F1733" s="8">
        <v>8.0</v>
      </c>
      <c r="G1733" s="8" t="s">
        <v>21</v>
      </c>
      <c r="H1733" s="9"/>
      <c r="I1733" s="9"/>
      <c r="N1733" s="10" t="str">
        <f t="shared" si="2"/>
        <v>17-12a501(2) - Kansas Uniform Securities Act; Intentional general fraud in connection with offer, sale, or purchase of a security; false statement of or omission of material fact; less than $25,000; if victim was an elder person</v>
      </c>
      <c r="O1733" s="10" t="str">
        <f t="shared" si="3"/>
        <v>Kansas Uniform Securities Act</v>
      </c>
    </row>
    <row r="1734">
      <c r="A1734" s="7" t="s">
        <v>3131</v>
      </c>
      <c r="B1734" s="8" t="s">
        <v>3096</v>
      </c>
      <c r="C1734" s="8">
        <v>5.0</v>
      </c>
      <c r="D1734" s="8">
        <v>7.0</v>
      </c>
      <c r="E1734" s="8">
        <v>7.0</v>
      </c>
      <c r="F1734" s="8">
        <v>8.0</v>
      </c>
      <c r="G1734" s="8" t="s">
        <v>21</v>
      </c>
      <c r="H1734" s="9"/>
      <c r="I1734" s="9"/>
      <c r="N1734" s="10" t="str">
        <f t="shared" si="2"/>
        <v>17-12a402(a) - Kansas Uniform Securities Act; Intentional violation of agent registration requirements; $100,000 or more (presumptive imprisonment)</v>
      </c>
      <c r="O1734" s="10" t="str">
        <f t="shared" si="3"/>
        <v>Kansas Uniform Securities Act</v>
      </c>
    </row>
    <row r="1735">
      <c r="A1735" s="7" t="s">
        <v>3132</v>
      </c>
      <c r="B1735" s="8" t="s">
        <v>3096</v>
      </c>
      <c r="C1735" s="8">
        <v>5.0</v>
      </c>
      <c r="D1735" s="8">
        <v>7.0</v>
      </c>
      <c r="E1735" s="8">
        <v>7.0</v>
      </c>
      <c r="F1735" s="8">
        <v>8.0</v>
      </c>
      <c r="G1735" s="8" t="s">
        <v>21</v>
      </c>
      <c r="H1735" s="9"/>
      <c r="I1735" s="9"/>
      <c r="N1735" s="10" t="str">
        <f t="shared" si="2"/>
        <v>17-12a402(a) - Kansas Uniform Securities Act; Intentional violation of agent registration requirements; at least $25,000 but less than $100,000; if victim was an elder person (presumptive imprisonment)</v>
      </c>
      <c r="O1735" s="10" t="str">
        <f t="shared" si="3"/>
        <v>Kansas Uniform Securities Act</v>
      </c>
    </row>
    <row r="1736">
      <c r="A1736" s="7" t="s">
        <v>3133</v>
      </c>
      <c r="B1736" s="8" t="s">
        <v>3134</v>
      </c>
      <c r="C1736" s="8">
        <v>5.0</v>
      </c>
      <c r="D1736" s="8">
        <v>7.0</v>
      </c>
      <c r="E1736" s="8">
        <v>7.0</v>
      </c>
      <c r="F1736" s="8">
        <v>8.0</v>
      </c>
      <c r="G1736" s="8" t="s">
        <v>21</v>
      </c>
      <c r="H1736" s="9"/>
      <c r="I1736" s="9"/>
      <c r="N1736" s="10" t="str">
        <f t="shared" si="2"/>
        <v>17-12a401(c) - Kansas Uniform Securities Act; Intentional violation of broker-dealer limits on employment or association; if victim was an elder person</v>
      </c>
      <c r="O1736" s="10" t="str">
        <f t="shared" si="3"/>
        <v>Kansas Uniform Securities Act</v>
      </c>
    </row>
    <row r="1737">
      <c r="A1737" s="7" t="s">
        <v>3135</v>
      </c>
      <c r="B1737" s="8" t="s">
        <v>3098</v>
      </c>
      <c r="C1737" s="8">
        <v>5.0</v>
      </c>
      <c r="D1737" s="8">
        <v>7.0</v>
      </c>
      <c r="E1737" s="8">
        <v>7.0</v>
      </c>
      <c r="F1737" s="8">
        <v>8.0</v>
      </c>
      <c r="G1737" s="8" t="s">
        <v>21</v>
      </c>
      <c r="H1737" s="9"/>
      <c r="I1737" s="9"/>
      <c r="N1737" s="10" t="str">
        <f t="shared" si="2"/>
        <v>17-12a401(a) - Kansas Uniform Securities Act; Intentional violation of broker-dealer registration requirements; $100,000 or more (presumptive imprisonment)</v>
      </c>
      <c r="O1737" s="10" t="str">
        <f t="shared" si="3"/>
        <v>Kansas Uniform Securities Act</v>
      </c>
    </row>
    <row r="1738">
      <c r="A1738" s="7" t="s">
        <v>3136</v>
      </c>
      <c r="B1738" s="8" t="s">
        <v>3098</v>
      </c>
      <c r="C1738" s="8">
        <v>5.0</v>
      </c>
      <c r="D1738" s="8">
        <v>7.0</v>
      </c>
      <c r="E1738" s="8">
        <v>7.0</v>
      </c>
      <c r="F1738" s="8">
        <v>8.0</v>
      </c>
      <c r="G1738" s="8" t="s">
        <v>21</v>
      </c>
      <c r="H1738" s="9"/>
      <c r="I1738" s="9"/>
      <c r="N1738" s="10" t="str">
        <f t="shared" si="2"/>
        <v>17-12a401(a) - Kansas Uniform Securities Act; Intentional violation of broker-dealer registration requirements; at least $25,000 but less than $100,000; if victim was an elder person (presumptive imprisonment)</v>
      </c>
      <c r="O1738" s="10" t="str">
        <f t="shared" si="3"/>
        <v>Kansas Uniform Securities Act</v>
      </c>
    </row>
    <row r="1739">
      <c r="A1739" s="7" t="s">
        <v>3137</v>
      </c>
      <c r="B1739" s="8" t="s">
        <v>3138</v>
      </c>
      <c r="C1739" s="8">
        <v>5.0</v>
      </c>
      <c r="D1739" s="8">
        <v>7.0</v>
      </c>
      <c r="E1739" s="8">
        <v>7.0</v>
      </c>
      <c r="F1739" s="8">
        <v>8.0</v>
      </c>
      <c r="G1739" s="8" t="s">
        <v>21</v>
      </c>
      <c r="H1739" s="9"/>
      <c r="I1739" s="9"/>
      <c r="N1739" s="10" t="str">
        <f t="shared" si="2"/>
        <v>17-12a403(c) - Kansas Uniform Securities Act; Intentional violation of investment adviser limits on employment or association; if victim was an elder person</v>
      </c>
      <c r="O1739" s="10" t="str">
        <f t="shared" si="3"/>
        <v>Kansas Uniform Securities Act</v>
      </c>
    </row>
    <row r="1740">
      <c r="A1740" s="7" t="s">
        <v>3139</v>
      </c>
      <c r="B1740" s="8" t="s">
        <v>3100</v>
      </c>
      <c r="C1740" s="8">
        <v>5.0</v>
      </c>
      <c r="D1740" s="8">
        <v>7.0</v>
      </c>
      <c r="E1740" s="8">
        <v>7.0</v>
      </c>
      <c r="F1740" s="8">
        <v>8.0</v>
      </c>
      <c r="G1740" s="8" t="s">
        <v>21</v>
      </c>
      <c r="H1740" s="9"/>
      <c r="I1740" s="9"/>
      <c r="N1740" s="10" t="str">
        <f t="shared" si="2"/>
        <v>17-12a403(a) - Kansas Uniform Securities Act; Intentional violation of investment adviser registration requirements; $100,000 or more (presumptive imprisonment)</v>
      </c>
      <c r="O1740" s="10" t="str">
        <f t="shared" si="3"/>
        <v>Kansas Uniform Securities Act</v>
      </c>
    </row>
    <row r="1741">
      <c r="A1741" s="7" t="s">
        <v>3140</v>
      </c>
      <c r="B1741" s="8" t="s">
        <v>3100</v>
      </c>
      <c r="C1741" s="8">
        <v>5.0</v>
      </c>
      <c r="D1741" s="8">
        <v>7.0</v>
      </c>
      <c r="E1741" s="8">
        <v>7.0</v>
      </c>
      <c r="F1741" s="8">
        <v>8.0</v>
      </c>
      <c r="G1741" s="8" t="s">
        <v>21</v>
      </c>
      <c r="H1741" s="9"/>
      <c r="I1741" s="9"/>
      <c r="N1741" s="10" t="str">
        <f t="shared" si="2"/>
        <v>17-12a403(a) - Kansas Uniform Securities Act; Intentional violation of investment adviser registration requirements; at least $25,000 but less than $100,000; if victim was an elder person (presumptive imprisonment)</v>
      </c>
      <c r="O1741" s="10" t="str">
        <f t="shared" si="3"/>
        <v>Kansas Uniform Securities Act</v>
      </c>
    </row>
    <row r="1742">
      <c r="A1742" s="7" t="s">
        <v>3141</v>
      </c>
      <c r="B1742" s="8" t="s">
        <v>3102</v>
      </c>
      <c r="C1742" s="8">
        <v>5.0</v>
      </c>
      <c r="D1742" s="8">
        <v>7.0</v>
      </c>
      <c r="E1742" s="8">
        <v>7.0</v>
      </c>
      <c r="F1742" s="8">
        <v>8.0</v>
      </c>
      <c r="G1742" s="8" t="s">
        <v>21</v>
      </c>
      <c r="H1742" s="9"/>
      <c r="I1742" s="9"/>
      <c r="N1742" s="10" t="str">
        <f t="shared" si="2"/>
        <v>17-12a404(e) - Kansas Uniform Securities Act; Intentional violation of investment adviser representative limits on employment or association</v>
      </c>
      <c r="O1742" s="10" t="str">
        <f t="shared" si="3"/>
        <v>Kansas Uniform Securities Act</v>
      </c>
    </row>
    <row r="1743">
      <c r="A1743" s="7" t="s">
        <v>3142</v>
      </c>
      <c r="B1743" s="8" t="s">
        <v>3104</v>
      </c>
      <c r="C1743" s="8">
        <v>5.0</v>
      </c>
      <c r="D1743" s="8">
        <v>7.0</v>
      </c>
      <c r="E1743" s="8">
        <v>7.0</v>
      </c>
      <c r="F1743" s="8">
        <v>8.0</v>
      </c>
      <c r="G1743" s="8" t="s">
        <v>21</v>
      </c>
      <c r="H1743" s="9"/>
      <c r="I1743" s="9"/>
      <c r="N1743" s="10" t="str">
        <f t="shared" si="2"/>
        <v>17-12a404(a) - Kansas Uniform Securities Act; Intentional violation of investment adviser representative registration requirements; $100,000 or more (presumptive imprisonment)</v>
      </c>
      <c r="O1743" s="10" t="str">
        <f t="shared" si="3"/>
        <v>Kansas Uniform Securities Act</v>
      </c>
    </row>
    <row r="1744">
      <c r="A1744" s="7" t="s">
        <v>3143</v>
      </c>
      <c r="B1744" s="8" t="s">
        <v>3104</v>
      </c>
      <c r="C1744" s="8">
        <v>5.0</v>
      </c>
      <c r="D1744" s="8">
        <v>7.0</v>
      </c>
      <c r="E1744" s="8">
        <v>7.0</v>
      </c>
      <c r="F1744" s="8">
        <v>8.0</v>
      </c>
      <c r="G1744" s="8" t="s">
        <v>21</v>
      </c>
      <c r="H1744" s="9"/>
      <c r="I1744" s="9"/>
      <c r="N1744" s="10" t="str">
        <f t="shared" si="2"/>
        <v>17-12a404(a) - Kansas Uniform Securities Act; Intentional violation of investment adviser representative registration requirements; at least $25,000 but less than $100,000; if victim was an elder person (presumptive imprisonment)</v>
      </c>
      <c r="O1744" s="10" t="str">
        <f t="shared" si="3"/>
        <v>Kansas Uniform Securities Act</v>
      </c>
    </row>
    <row r="1745">
      <c r="A1745" s="7" t="s">
        <v>3144</v>
      </c>
      <c r="B1745" s="8" t="s">
        <v>3106</v>
      </c>
      <c r="C1745" s="8">
        <v>5.0</v>
      </c>
      <c r="D1745" s="8">
        <v>7.0</v>
      </c>
      <c r="E1745" s="8">
        <v>7.0</v>
      </c>
      <c r="F1745" s="8">
        <v>8.0</v>
      </c>
      <c r="G1745" s="8" t="s">
        <v>21</v>
      </c>
      <c r="H1745" s="9"/>
      <c r="I1745" s="9"/>
      <c r="N1745" s="10" t="str">
        <f t="shared" si="2"/>
        <v>17-12a301(1) - Kansas Uniform Securities Act; Intentional, unlawful offering or selling security in this state; security not a federally covered security; $100,000 or more (presumptive imprisonment)</v>
      </c>
      <c r="O1745" s="10" t="str">
        <f t="shared" si="3"/>
        <v>Kansas Uniform Securities Act</v>
      </c>
    </row>
    <row r="1746">
      <c r="A1746" s="7" t="s">
        <v>3145</v>
      </c>
      <c r="B1746" s="8" t="s">
        <v>3106</v>
      </c>
      <c r="C1746" s="8">
        <v>5.0</v>
      </c>
      <c r="D1746" s="8">
        <v>7.0</v>
      </c>
      <c r="E1746" s="8">
        <v>7.0</v>
      </c>
      <c r="F1746" s="8">
        <v>8.0</v>
      </c>
      <c r="G1746" s="8" t="s">
        <v>21</v>
      </c>
      <c r="H1746" s="9"/>
      <c r="I1746" s="9"/>
      <c r="N1746" s="10" t="str">
        <f t="shared" si="2"/>
        <v>17-12a301(1) - Kansas Uniform Securities Act; Intentional, unlawful offering or selling security in this state; security not a federally covered security; at least $25,000 but less than $100,000; if victim was an elder person (presumptive imprisonment)</v>
      </c>
      <c r="O1746" s="10" t="str">
        <f t="shared" si="3"/>
        <v>Kansas Uniform Securities Act</v>
      </c>
    </row>
    <row r="1747">
      <c r="A1747" s="7" t="s">
        <v>3146</v>
      </c>
      <c r="B1747" s="8" t="s">
        <v>3108</v>
      </c>
      <c r="C1747" s="8">
        <v>5.0</v>
      </c>
      <c r="D1747" s="8">
        <v>7.0</v>
      </c>
      <c r="E1747" s="8">
        <v>7.0</v>
      </c>
      <c r="F1747" s="8">
        <v>8.0</v>
      </c>
      <c r="G1747" s="8" t="s">
        <v>21</v>
      </c>
      <c r="H1747" s="9"/>
      <c r="I1747" s="9"/>
      <c r="N1747" s="10" t="str">
        <f t="shared" si="2"/>
        <v>17-12a301(2) - Kansas Uniform Securities Act; Intentional, unlawful offering or selling security in this state; security not exempt from registration; $100,000 or more (presumptive imprisonment)</v>
      </c>
      <c r="O1747" s="10" t="str">
        <f t="shared" si="3"/>
        <v>Kansas Uniform Securities Act</v>
      </c>
    </row>
    <row r="1748">
      <c r="A1748" s="7" t="s">
        <v>3147</v>
      </c>
      <c r="B1748" s="8" t="s">
        <v>3108</v>
      </c>
      <c r="C1748" s="8">
        <v>5.0</v>
      </c>
      <c r="D1748" s="8">
        <v>7.0</v>
      </c>
      <c r="E1748" s="8">
        <v>7.0</v>
      </c>
      <c r="F1748" s="8">
        <v>8.0</v>
      </c>
      <c r="G1748" s="8" t="s">
        <v>21</v>
      </c>
      <c r="H1748" s="9"/>
      <c r="I1748" s="9"/>
      <c r="N1748" s="10" t="str">
        <f t="shared" si="2"/>
        <v>17-12a301(2) - Kansas Uniform Securities Act; Intentional, unlawful offering or selling security in this state; security not exempt from registration; at least $25,000 but less than $100,000; if victim was an elder person (presumptive imprisonment)</v>
      </c>
      <c r="O1748" s="10" t="str">
        <f t="shared" si="3"/>
        <v>Kansas Uniform Securities Act</v>
      </c>
    </row>
    <row r="1749">
      <c r="A1749" s="7" t="s">
        <v>3148</v>
      </c>
      <c r="B1749" s="8" t="s">
        <v>3110</v>
      </c>
      <c r="C1749" s="8">
        <v>5.0</v>
      </c>
      <c r="D1749" s="8">
        <v>7.0</v>
      </c>
      <c r="E1749" s="8">
        <v>7.0</v>
      </c>
      <c r="F1749" s="8">
        <v>8.0</v>
      </c>
      <c r="G1749" s="8" t="s">
        <v>21</v>
      </c>
      <c r="H1749" s="9"/>
      <c r="I1749" s="9"/>
      <c r="N1749" s="10" t="str">
        <f t="shared" si="2"/>
        <v>17-12a301(3) - Kansas Uniform Securities Act; Intentional, unlawful offering or selling security in this state; security not registered; $100,000 or more (presumptive imprisonment)</v>
      </c>
      <c r="O1749" s="10" t="str">
        <f t="shared" si="3"/>
        <v>Kansas Uniform Securities Act</v>
      </c>
    </row>
    <row r="1750">
      <c r="A1750" s="7" t="s">
        <v>3149</v>
      </c>
      <c r="B1750" s="8" t="s">
        <v>3110</v>
      </c>
      <c r="C1750" s="8">
        <v>5.0</v>
      </c>
      <c r="D1750" s="8">
        <v>7.0</v>
      </c>
      <c r="E1750" s="8">
        <v>7.0</v>
      </c>
      <c r="F1750" s="8">
        <v>8.0</v>
      </c>
      <c r="G1750" s="8" t="s">
        <v>21</v>
      </c>
      <c r="H1750" s="9"/>
      <c r="I1750" s="9"/>
      <c r="N1750" s="10" t="str">
        <f t="shared" si="2"/>
        <v>17-12a301(3) - Kansas Uniform Securities Act; Intentional, unlawful offering or selling security in this state; security not registered; at least $25,000 but less than $100,000; if victim was an elder person (presumptive imprisonment)</v>
      </c>
      <c r="O1750" s="10" t="str">
        <f t="shared" si="3"/>
        <v>Kansas Uniform Securities Act</v>
      </c>
    </row>
    <row r="1751">
      <c r="A1751" s="7" t="s">
        <v>3150</v>
      </c>
      <c r="B1751" s="8" t="s">
        <v>3112</v>
      </c>
      <c r="C1751" s="8">
        <v>5.0</v>
      </c>
      <c r="D1751" s="8">
        <v>7.0</v>
      </c>
      <c r="E1751" s="8">
        <v>7.0</v>
      </c>
      <c r="F1751" s="8">
        <v>8.0</v>
      </c>
      <c r="G1751" s="8" t="s">
        <v>21</v>
      </c>
      <c r="H1751" s="9"/>
      <c r="I1751" s="9"/>
      <c r="N1751" s="10" t="str">
        <f t="shared" si="2"/>
        <v>17-12a505(c)(2) - Kansas Uniform Securities Act; Misleading filings; coercion; obstruction; alter, destroy, shred, mutilate or conceal a record with intent to impair the object's integrity or availability for the use in a proceeding</v>
      </c>
      <c r="O1751" s="10" t="str">
        <f t="shared" si="3"/>
        <v>Kansas Uniform Securities Act</v>
      </c>
    </row>
    <row r="1752">
      <c r="A1752" s="7" t="s">
        <v>3151</v>
      </c>
      <c r="B1752" s="8" t="s">
        <v>3114</v>
      </c>
      <c r="C1752" s="8">
        <v>5.0</v>
      </c>
      <c r="D1752" s="8">
        <v>7.0</v>
      </c>
      <c r="E1752" s="8">
        <v>7.0</v>
      </c>
      <c r="F1752" s="8">
        <v>8.0</v>
      </c>
      <c r="G1752" s="8" t="s">
        <v>21</v>
      </c>
      <c r="H1752" s="9"/>
      <c r="I1752" s="9"/>
      <c r="N1752" s="10" t="str">
        <f t="shared" si="2"/>
        <v>17-12a505(c)(1) - Kansas Uniform Securities Act; Misleading filings; coercion; obstruction; alter, destroy, shred, mutilate, conceal, cover up or falsify any record with intent to impede, obstruct or influence an investigation</v>
      </c>
      <c r="O1752" s="10" t="str">
        <f t="shared" si="3"/>
        <v>Kansas Uniform Securities Act</v>
      </c>
    </row>
    <row r="1753">
      <c r="A1753" s="7" t="s">
        <v>3152</v>
      </c>
      <c r="B1753" s="8" t="s">
        <v>3116</v>
      </c>
      <c r="C1753" s="8">
        <v>5.0</v>
      </c>
      <c r="D1753" s="8">
        <v>7.0</v>
      </c>
      <c r="E1753" s="8">
        <v>7.0</v>
      </c>
      <c r="F1753" s="8">
        <v>8.0</v>
      </c>
      <c r="G1753" s="8" t="s">
        <v>21</v>
      </c>
      <c r="H1753" s="9"/>
      <c r="I1753" s="9"/>
      <c r="N1753" s="10" t="str">
        <f t="shared" si="2"/>
        <v>17-12a505(b) - Kansas Uniform Securities Act; Misleading filings; coercion; obstruction; intentionally influence, coerce, manipulate, or mislead another in connection with financial statements or appraisals to be used in offer, sale or purchase of securities</v>
      </c>
      <c r="O1753" s="10" t="str">
        <f t="shared" si="3"/>
        <v>Kansas Uniform Securities Act</v>
      </c>
    </row>
    <row r="1754">
      <c r="A1754" s="7" t="s">
        <v>3153</v>
      </c>
      <c r="B1754" s="8" t="s">
        <v>3118</v>
      </c>
      <c r="C1754" s="8">
        <v>5.0</v>
      </c>
      <c r="D1754" s="8">
        <v>7.0</v>
      </c>
      <c r="E1754" s="8">
        <v>7.0</v>
      </c>
      <c r="F1754" s="8">
        <v>8.0</v>
      </c>
      <c r="G1754" s="8" t="s">
        <v>21</v>
      </c>
      <c r="H1754" s="9"/>
      <c r="I1754" s="9"/>
      <c r="N1754" s="10" t="str">
        <f t="shared" si="2"/>
        <v>17-12a505(a) - Kansas Uniform Securities Act; Misleading filings; coercion; obstruction; make a false or misleading statement in a material respect or omission of material fact</v>
      </c>
      <c r="O1754" s="10" t="str">
        <f t="shared" si="3"/>
        <v>Kansas Uniform Securities Act</v>
      </c>
    </row>
    <row r="1755">
      <c r="A1755" s="7" t="s">
        <v>3154</v>
      </c>
      <c r="B1755" s="8" t="s">
        <v>3120</v>
      </c>
      <c r="C1755" s="8">
        <v>5.0</v>
      </c>
      <c r="D1755" s="8">
        <v>7.0</v>
      </c>
      <c r="E1755" s="8">
        <v>7.0</v>
      </c>
      <c r="F1755" s="8">
        <v>8.0</v>
      </c>
      <c r="G1755" s="8" t="s">
        <v>21</v>
      </c>
      <c r="H1755" s="9"/>
      <c r="I1755" s="9"/>
      <c r="N1755" s="10" t="str">
        <f t="shared" si="2"/>
        <v>17-12a505(c)(3) - Kansas Uniform Securities Act; Misleading filings; coercion; obstruction; take action harmful to another with intent to retaliate, including, but not limited to, interference with lawful employment of such person</v>
      </c>
      <c r="O1755" s="10" t="str">
        <f t="shared" si="3"/>
        <v>Kansas Uniform Securities Act</v>
      </c>
    </row>
    <row r="1756">
      <c r="A1756" s="7" t="s">
        <v>3155</v>
      </c>
      <c r="B1756" s="8" t="s">
        <v>3156</v>
      </c>
      <c r="C1756" s="8">
        <v>6.0</v>
      </c>
      <c r="D1756" s="8">
        <v>8.0</v>
      </c>
      <c r="E1756" s="8">
        <v>8.0</v>
      </c>
      <c r="F1756" s="8">
        <v>9.0</v>
      </c>
      <c r="G1756" s="8" t="s">
        <v>21</v>
      </c>
      <c r="H1756" s="9"/>
      <c r="I1756" s="9"/>
      <c r="N1756" s="10" t="str">
        <f t="shared" si="2"/>
        <v>17-12a101 et. seq. - Kansas Uniform Securities Act; Criminal Penalties; Intentional violation of this act, or rule adopted or order issued under this act, except as provided in subsections (a) (2) through (a) (4) of K.S.A. 17-12a508, K.S.A. 2005 Supp. 17-12a504, (filing requirement) or the notice filing requirements of K.S.A. 2005 Supp. 17-12a302, (required filing of record) or 17-12a405, (notice filing requirement); if the victim was an elder person  An individual may be fined, but not imprisoned, if the individual did not have knowledge of the rule or order</v>
      </c>
      <c r="O1756" s="10" t="str">
        <f t="shared" si="3"/>
        <v>Kansas Uniform Securities Act</v>
      </c>
    </row>
    <row r="1757">
      <c r="A1757" s="7" t="s">
        <v>3157</v>
      </c>
      <c r="B1757" s="8" t="s">
        <v>3056</v>
      </c>
      <c r="C1757" s="8">
        <v>6.0</v>
      </c>
      <c r="D1757" s="8">
        <v>8.0</v>
      </c>
      <c r="E1757" s="8">
        <v>8.0</v>
      </c>
      <c r="F1757" s="8">
        <v>9.0</v>
      </c>
      <c r="G1757" s="8" t="s">
        <v>21</v>
      </c>
      <c r="H1757" s="9"/>
      <c r="I1757" s="9"/>
      <c r="N1757" s="10" t="str">
        <f t="shared" si="2"/>
        <v>17-12a502(a)(1) - Kansas Uniform Securities Act; Intentional fraud in providing investment advice; employ a device, scheme, or artifice to defraud another; less than $25,000</v>
      </c>
      <c r="O1757" s="10" t="str">
        <f t="shared" si="3"/>
        <v>Kansas Uniform Securities Act</v>
      </c>
    </row>
    <row r="1758">
      <c r="A1758" s="7" t="s">
        <v>3158</v>
      </c>
      <c r="B1758" s="8" t="s">
        <v>3058</v>
      </c>
      <c r="C1758" s="8">
        <v>6.0</v>
      </c>
      <c r="D1758" s="8">
        <v>8.0</v>
      </c>
      <c r="E1758" s="8">
        <v>8.0</v>
      </c>
      <c r="F1758" s="8">
        <v>9.0</v>
      </c>
      <c r="G1758" s="8" t="s">
        <v>21</v>
      </c>
      <c r="H1758" s="9"/>
      <c r="I1758" s="9"/>
      <c r="N1758" s="10" t="str">
        <f t="shared" si="2"/>
        <v>17-12a502(a)(2) - Kansas Uniform Securities Act; Intentional fraud in providing investment advice; engage in act, practice, or course of business that operates as a fraud or deceit; less than $25,000</v>
      </c>
      <c r="O1758" s="10" t="str">
        <f t="shared" si="3"/>
        <v>Kansas Uniform Securities Act</v>
      </c>
    </row>
    <row r="1759">
      <c r="A1759" s="7" t="s">
        <v>3159</v>
      </c>
      <c r="B1759" s="8" t="s">
        <v>3060</v>
      </c>
      <c r="C1759" s="8">
        <v>6.0</v>
      </c>
      <c r="D1759" s="8">
        <v>8.0</v>
      </c>
      <c r="E1759" s="8">
        <v>8.0</v>
      </c>
      <c r="F1759" s="8">
        <v>9.0</v>
      </c>
      <c r="G1759" s="8" t="s">
        <v>21</v>
      </c>
      <c r="H1759" s="9"/>
      <c r="I1759" s="9"/>
      <c r="N1759" s="10" t="str">
        <f t="shared" si="2"/>
        <v>17-12a501(1) - Kansas Uniform Securities Act; Intentional general fraud in connection with offer, sale, or purchase of a security; employing device, scheme or artifice to defraud; less than $25,000</v>
      </c>
      <c r="O1759" s="10" t="str">
        <f t="shared" si="3"/>
        <v>Kansas Uniform Securities Act</v>
      </c>
    </row>
    <row r="1760">
      <c r="A1760" s="7" t="s">
        <v>3160</v>
      </c>
      <c r="B1760" s="8" t="s">
        <v>3062</v>
      </c>
      <c r="C1760" s="8">
        <v>6.0</v>
      </c>
      <c r="D1760" s="8">
        <v>8.0</v>
      </c>
      <c r="E1760" s="8">
        <v>8.0</v>
      </c>
      <c r="F1760" s="8">
        <v>9.0</v>
      </c>
      <c r="G1760" s="8" t="s">
        <v>21</v>
      </c>
      <c r="H1760" s="9"/>
      <c r="I1760" s="9"/>
      <c r="N1760" s="10" t="str">
        <f t="shared" si="2"/>
        <v>17-12a501(3) - Kansas Uniform Securities Act; Intentional general fraud in connection with offer, sale, or purchase of a security; engage in act, practice, or course of business that operates as a fraud or deceit; less than $25,000</v>
      </c>
      <c r="O1760" s="10" t="str">
        <f t="shared" si="3"/>
        <v>Kansas Uniform Securities Act</v>
      </c>
    </row>
    <row r="1761">
      <c r="A1761" s="7" t="s">
        <v>3161</v>
      </c>
      <c r="B1761" s="8" t="s">
        <v>3064</v>
      </c>
      <c r="C1761" s="8">
        <v>6.0</v>
      </c>
      <c r="D1761" s="8">
        <v>8.0</v>
      </c>
      <c r="E1761" s="8">
        <v>8.0</v>
      </c>
      <c r="F1761" s="8">
        <v>9.0</v>
      </c>
      <c r="G1761" s="8" t="s">
        <v>21</v>
      </c>
      <c r="H1761" s="9"/>
      <c r="I1761" s="9"/>
      <c r="N1761" s="10" t="str">
        <f t="shared" si="2"/>
        <v>17-12a501(2) - Kansas Uniform Securities Act; Intentional general fraud in connection with offer, sale, or purchase of a security; false statement of or omission of material fact; less than $25,000</v>
      </c>
      <c r="O1761" s="10" t="str">
        <f t="shared" si="3"/>
        <v>Kansas Uniform Securities Act</v>
      </c>
    </row>
    <row r="1762">
      <c r="A1762" s="7" t="s">
        <v>3162</v>
      </c>
      <c r="B1762" s="8" t="s">
        <v>3163</v>
      </c>
      <c r="C1762" s="8">
        <v>6.0</v>
      </c>
      <c r="D1762" s="8">
        <v>8.0</v>
      </c>
      <c r="E1762" s="8">
        <v>8.0</v>
      </c>
      <c r="F1762" s="8">
        <v>9.0</v>
      </c>
      <c r="G1762" s="8" t="s">
        <v>21</v>
      </c>
      <c r="H1762" s="9"/>
      <c r="I1762" s="9"/>
      <c r="N1762" s="10" t="str">
        <f t="shared" si="2"/>
        <v>17-12a402(d) - Kansas Uniform Securities Act; Intentional violation of agent limits on employment or association; if victim was an elder person</v>
      </c>
      <c r="O1762" s="10" t="str">
        <f t="shared" si="3"/>
        <v>Kansas Uniform Securities Act</v>
      </c>
    </row>
    <row r="1763">
      <c r="A1763" s="7" t="s">
        <v>3164</v>
      </c>
      <c r="B1763" s="8" t="s">
        <v>3096</v>
      </c>
      <c r="C1763" s="8">
        <v>6.0</v>
      </c>
      <c r="D1763" s="8">
        <v>8.0</v>
      </c>
      <c r="E1763" s="8">
        <v>8.0</v>
      </c>
      <c r="F1763" s="8">
        <v>9.0</v>
      </c>
      <c r="G1763" s="8" t="s">
        <v>21</v>
      </c>
      <c r="H1763" s="9"/>
      <c r="I1763" s="9"/>
      <c r="N1763" s="10" t="str">
        <f t="shared" si="2"/>
        <v>17-12a402(a) - Kansas Uniform Securities Act; Intentional violation of agent registration requirements; at least $25,000 but less than $100,000 (presumptive imprisonment)</v>
      </c>
      <c r="O1763" s="10" t="str">
        <f t="shared" si="3"/>
        <v>Kansas Uniform Securities Act</v>
      </c>
    </row>
    <row r="1764">
      <c r="A1764" s="7" t="s">
        <v>3165</v>
      </c>
      <c r="B1764" s="8" t="s">
        <v>3096</v>
      </c>
      <c r="C1764" s="8">
        <v>6.0</v>
      </c>
      <c r="D1764" s="8">
        <v>8.0</v>
      </c>
      <c r="E1764" s="8">
        <v>8.0</v>
      </c>
      <c r="F1764" s="8">
        <v>9.0</v>
      </c>
      <c r="G1764" s="8" t="s">
        <v>21</v>
      </c>
      <c r="H1764" s="9"/>
      <c r="I1764" s="9"/>
      <c r="N1764" s="10" t="str">
        <f t="shared" si="2"/>
        <v>17-12a402(a) - Kansas Uniform Securities Act; Intentional violation of agent registration requirements; less than $25,000; if victim was an elder person</v>
      </c>
      <c r="O1764" s="10" t="str">
        <f t="shared" si="3"/>
        <v>Kansas Uniform Securities Act</v>
      </c>
    </row>
    <row r="1765">
      <c r="A1765" s="7" t="s">
        <v>3166</v>
      </c>
      <c r="B1765" s="8" t="s">
        <v>3134</v>
      </c>
      <c r="C1765" s="8">
        <v>6.0</v>
      </c>
      <c r="D1765" s="8">
        <v>8.0</v>
      </c>
      <c r="E1765" s="8">
        <v>8.0</v>
      </c>
      <c r="F1765" s="8">
        <v>9.0</v>
      </c>
      <c r="G1765" s="8" t="s">
        <v>21</v>
      </c>
      <c r="H1765" s="9"/>
      <c r="I1765" s="9"/>
      <c r="N1765" s="10" t="str">
        <f t="shared" si="2"/>
        <v>17-12a401(c) - Kansas Uniform Securities Act; Intentional violation of broker-dealer limits on employment or association</v>
      </c>
      <c r="O1765" s="10" t="str">
        <f t="shared" si="3"/>
        <v>Kansas Uniform Securities Act</v>
      </c>
    </row>
    <row r="1766">
      <c r="A1766" s="7" t="s">
        <v>3167</v>
      </c>
      <c r="B1766" s="8" t="s">
        <v>3098</v>
      </c>
      <c r="C1766" s="8">
        <v>6.0</v>
      </c>
      <c r="D1766" s="8">
        <v>8.0</v>
      </c>
      <c r="E1766" s="8">
        <v>8.0</v>
      </c>
      <c r="F1766" s="8">
        <v>9.0</v>
      </c>
      <c r="G1766" s="8" t="s">
        <v>21</v>
      </c>
      <c r="H1766" s="9"/>
      <c r="I1766" s="9"/>
      <c r="N1766" s="10" t="str">
        <f t="shared" si="2"/>
        <v>17-12a401(a) - Kansas Uniform Securities Act; Intentional violation of broker-dealer registration requirements; at least $25,000 but less than $100,000 (presumptive imprisonment)</v>
      </c>
      <c r="O1766" s="10" t="str">
        <f t="shared" si="3"/>
        <v>Kansas Uniform Securities Act</v>
      </c>
    </row>
    <row r="1767">
      <c r="A1767" s="7" t="s">
        <v>3168</v>
      </c>
      <c r="B1767" s="8" t="s">
        <v>3098</v>
      </c>
      <c r="C1767" s="8">
        <v>6.0</v>
      </c>
      <c r="D1767" s="8">
        <v>8.0</v>
      </c>
      <c r="E1767" s="8">
        <v>8.0</v>
      </c>
      <c r="F1767" s="8">
        <v>9.0</v>
      </c>
      <c r="G1767" s="8" t="s">
        <v>21</v>
      </c>
      <c r="H1767" s="9"/>
      <c r="I1767" s="9"/>
      <c r="N1767" s="10" t="str">
        <f t="shared" si="2"/>
        <v>17-12a401(a) - Kansas Uniform Securities Act; Intentional violation of broker-dealer registration requirements; less than $25,000; if victim was an elder person</v>
      </c>
      <c r="O1767" s="10" t="str">
        <f t="shared" si="3"/>
        <v>Kansas Uniform Securities Act</v>
      </c>
    </row>
    <row r="1768">
      <c r="A1768" s="7" t="s">
        <v>3169</v>
      </c>
      <c r="B1768" s="8" t="s">
        <v>3138</v>
      </c>
      <c r="C1768" s="8">
        <v>6.0</v>
      </c>
      <c r="D1768" s="8">
        <v>8.0</v>
      </c>
      <c r="E1768" s="8">
        <v>8.0</v>
      </c>
      <c r="F1768" s="8">
        <v>9.0</v>
      </c>
      <c r="G1768" s="8" t="s">
        <v>21</v>
      </c>
      <c r="H1768" s="9"/>
      <c r="I1768" s="9"/>
      <c r="N1768" s="10" t="str">
        <f t="shared" si="2"/>
        <v>17-12a403(c) - Kansas Uniform Securities Act; Intentional violation of investment adviser limits on employment or association</v>
      </c>
      <c r="O1768" s="10" t="str">
        <f t="shared" si="3"/>
        <v>Kansas Uniform Securities Act</v>
      </c>
    </row>
    <row r="1769">
      <c r="A1769" s="7" t="s">
        <v>3170</v>
      </c>
      <c r="B1769" s="8" t="s">
        <v>3100</v>
      </c>
      <c r="C1769" s="8">
        <v>6.0</v>
      </c>
      <c r="D1769" s="8">
        <v>8.0</v>
      </c>
      <c r="E1769" s="8">
        <v>8.0</v>
      </c>
      <c r="F1769" s="8">
        <v>9.0</v>
      </c>
      <c r="G1769" s="8" t="s">
        <v>21</v>
      </c>
      <c r="H1769" s="9"/>
      <c r="I1769" s="9"/>
      <c r="N1769" s="10" t="str">
        <f t="shared" si="2"/>
        <v>17-12a403(a) - Kansas Uniform Securities Act; Intentional violation of investment adviser registration requirements; at least $25,000 but less than $100,000 (presumptive imprisonment)</v>
      </c>
      <c r="O1769" s="10" t="str">
        <f t="shared" si="3"/>
        <v>Kansas Uniform Securities Act</v>
      </c>
    </row>
    <row r="1770">
      <c r="A1770" s="7" t="s">
        <v>3171</v>
      </c>
      <c r="B1770" s="8" t="s">
        <v>3100</v>
      </c>
      <c r="C1770" s="8">
        <v>6.0</v>
      </c>
      <c r="D1770" s="8">
        <v>8.0</v>
      </c>
      <c r="E1770" s="8">
        <v>8.0</v>
      </c>
      <c r="F1770" s="8">
        <v>9.0</v>
      </c>
      <c r="G1770" s="8" t="s">
        <v>21</v>
      </c>
      <c r="H1770" s="9"/>
      <c r="I1770" s="9"/>
      <c r="N1770" s="10" t="str">
        <f t="shared" si="2"/>
        <v>17-12a403(a) - Kansas Uniform Securities Act; Intentional violation of investment adviser registration requirements; less than $25,000; if victim was an elder person</v>
      </c>
      <c r="O1770" s="10" t="str">
        <f t="shared" si="3"/>
        <v>Kansas Uniform Securities Act</v>
      </c>
    </row>
    <row r="1771">
      <c r="A1771" s="7" t="s">
        <v>3172</v>
      </c>
      <c r="B1771" s="8" t="s">
        <v>3104</v>
      </c>
      <c r="C1771" s="8">
        <v>6.0</v>
      </c>
      <c r="D1771" s="8">
        <v>8.0</v>
      </c>
      <c r="E1771" s="8">
        <v>8.0</v>
      </c>
      <c r="F1771" s="8">
        <v>9.0</v>
      </c>
      <c r="G1771" s="8" t="s">
        <v>21</v>
      </c>
      <c r="H1771" s="9"/>
      <c r="I1771" s="9"/>
      <c r="N1771" s="10" t="str">
        <f t="shared" si="2"/>
        <v>17-12a404(a) - Kansas Uniform Securities Act; Intentional violation of investment adviser representative registration requirements; at least $25,000 but less than $100,000 (presumptive imprisonment)</v>
      </c>
      <c r="O1771" s="10" t="str">
        <f t="shared" si="3"/>
        <v>Kansas Uniform Securities Act</v>
      </c>
    </row>
    <row r="1772">
      <c r="A1772" s="7" t="s">
        <v>3173</v>
      </c>
      <c r="B1772" s="8" t="s">
        <v>3104</v>
      </c>
      <c r="C1772" s="8">
        <v>6.0</v>
      </c>
      <c r="D1772" s="8">
        <v>8.0</v>
      </c>
      <c r="E1772" s="8">
        <v>8.0</v>
      </c>
      <c r="F1772" s="8">
        <v>9.0</v>
      </c>
      <c r="G1772" s="8" t="s">
        <v>21</v>
      </c>
      <c r="H1772" s="9"/>
      <c r="I1772" s="9"/>
      <c r="N1772" s="10" t="str">
        <f t="shared" si="2"/>
        <v>17-12a404(a) - Kansas Uniform Securities Act; Intentional violation of investment adviser representative registration requirements; less than $25,000; if victim was an elder person</v>
      </c>
      <c r="O1772" s="10" t="str">
        <f t="shared" si="3"/>
        <v>Kansas Uniform Securities Act</v>
      </c>
    </row>
    <row r="1773">
      <c r="A1773" s="7" t="s">
        <v>3174</v>
      </c>
      <c r="B1773" s="8" t="s">
        <v>3175</v>
      </c>
      <c r="C1773" s="8">
        <v>6.0</v>
      </c>
      <c r="D1773" s="8">
        <v>8.0</v>
      </c>
      <c r="E1773" s="8">
        <v>8.0</v>
      </c>
      <c r="F1773" s="8">
        <v>9.0</v>
      </c>
      <c r="G1773" s="8" t="s">
        <v>21</v>
      </c>
      <c r="H1773" s="9"/>
      <c r="I1773" s="9"/>
      <c r="N1773" s="10" t="str">
        <f t="shared" si="2"/>
        <v>17-12a403(d) - Kansas Uniform Securities Act; Intentional violation of investment adviser representative registration; if victim was an elder person</v>
      </c>
      <c r="O1773" s="10" t="str">
        <f t="shared" si="3"/>
        <v>Kansas Uniform Securities Act</v>
      </c>
    </row>
    <row r="1774">
      <c r="A1774" s="7" t="s">
        <v>3176</v>
      </c>
      <c r="B1774" s="8" t="s">
        <v>3106</v>
      </c>
      <c r="C1774" s="8">
        <v>6.0</v>
      </c>
      <c r="D1774" s="8">
        <v>8.0</v>
      </c>
      <c r="E1774" s="8">
        <v>8.0</v>
      </c>
      <c r="F1774" s="8">
        <v>9.0</v>
      </c>
      <c r="G1774" s="8" t="s">
        <v>21</v>
      </c>
      <c r="H1774" s="9"/>
      <c r="I1774" s="9"/>
      <c r="N1774" s="10" t="str">
        <f t="shared" si="2"/>
        <v>17-12a301(1) - Kansas Uniform Securities Act; Intentional, unlawful offering or selling security in this state; security not a federally covered security; at least $25,000 but less than $100,000 (presumptive imprisonment)</v>
      </c>
      <c r="O1774" s="10" t="str">
        <f t="shared" si="3"/>
        <v>Kansas Uniform Securities Act</v>
      </c>
    </row>
    <row r="1775">
      <c r="A1775" s="7" t="s">
        <v>3177</v>
      </c>
      <c r="B1775" s="8" t="s">
        <v>3106</v>
      </c>
      <c r="C1775" s="8">
        <v>6.0</v>
      </c>
      <c r="D1775" s="8">
        <v>8.0</v>
      </c>
      <c r="E1775" s="8">
        <v>8.0</v>
      </c>
      <c r="F1775" s="8">
        <v>9.0</v>
      </c>
      <c r="G1775" s="8" t="s">
        <v>21</v>
      </c>
      <c r="H1775" s="9"/>
      <c r="I1775" s="9"/>
      <c r="N1775" s="10" t="str">
        <f t="shared" si="2"/>
        <v>17-12a301(1) - Kansas Uniform Securities Act; Intentional, unlawful offering or selling security in this state; security not a federally covered security; less than $25,000; if victim was an elder person</v>
      </c>
      <c r="O1775" s="10" t="str">
        <f t="shared" si="3"/>
        <v>Kansas Uniform Securities Act</v>
      </c>
    </row>
    <row r="1776">
      <c r="A1776" s="7" t="s">
        <v>3178</v>
      </c>
      <c r="B1776" s="8" t="s">
        <v>3108</v>
      </c>
      <c r="C1776" s="8">
        <v>6.0</v>
      </c>
      <c r="D1776" s="8">
        <v>8.0</v>
      </c>
      <c r="E1776" s="8">
        <v>8.0</v>
      </c>
      <c r="F1776" s="8">
        <v>9.0</v>
      </c>
      <c r="G1776" s="8" t="s">
        <v>21</v>
      </c>
      <c r="H1776" s="9"/>
      <c r="I1776" s="9"/>
      <c r="N1776" s="10" t="str">
        <f t="shared" si="2"/>
        <v>17-12a301(2) - Kansas Uniform Securities Act; Intentional, unlawful offering or selling security in this state; security not exempt from registration; at least $25,000 but less than $100,000 (presumptive imprisonment)</v>
      </c>
      <c r="O1776" s="10" t="str">
        <f t="shared" si="3"/>
        <v>Kansas Uniform Securities Act</v>
      </c>
    </row>
    <row r="1777">
      <c r="A1777" s="7" t="s">
        <v>3179</v>
      </c>
      <c r="B1777" s="8" t="s">
        <v>3108</v>
      </c>
      <c r="C1777" s="8">
        <v>6.0</v>
      </c>
      <c r="D1777" s="8">
        <v>8.0</v>
      </c>
      <c r="E1777" s="8">
        <v>8.0</v>
      </c>
      <c r="F1777" s="8">
        <v>9.0</v>
      </c>
      <c r="G1777" s="8" t="s">
        <v>21</v>
      </c>
      <c r="H1777" s="9"/>
      <c r="I1777" s="9"/>
      <c r="N1777" s="10" t="str">
        <f t="shared" si="2"/>
        <v>17-12a301(2) - Kansas Uniform Securities Act; Intentional, unlawful offering or selling security in this state; security not exempt from registration; less than $25,000; if victim was an elder person</v>
      </c>
      <c r="O1777" s="10" t="str">
        <f t="shared" si="3"/>
        <v>Kansas Uniform Securities Act</v>
      </c>
    </row>
    <row r="1778">
      <c r="A1778" s="7" t="s">
        <v>3180</v>
      </c>
      <c r="B1778" s="8" t="s">
        <v>3110</v>
      </c>
      <c r="C1778" s="8">
        <v>6.0</v>
      </c>
      <c r="D1778" s="8">
        <v>8.0</v>
      </c>
      <c r="E1778" s="8">
        <v>8.0</v>
      </c>
      <c r="F1778" s="8">
        <v>9.0</v>
      </c>
      <c r="G1778" s="8" t="s">
        <v>21</v>
      </c>
      <c r="H1778" s="9"/>
      <c r="I1778" s="9"/>
      <c r="N1778" s="10" t="str">
        <f t="shared" si="2"/>
        <v>17-12a301(3) - Kansas Uniform Securities Act; Intentional, unlawful offering or selling security in this state; security not registered; at least $25,000 but less than $100,000 (presumptive imprisonment)</v>
      </c>
      <c r="O1778" s="10" t="str">
        <f t="shared" si="3"/>
        <v>Kansas Uniform Securities Act</v>
      </c>
    </row>
    <row r="1779">
      <c r="A1779" s="7" t="s">
        <v>3181</v>
      </c>
      <c r="B1779" s="8" t="s">
        <v>3110</v>
      </c>
      <c r="C1779" s="8">
        <v>6.0</v>
      </c>
      <c r="D1779" s="8">
        <v>8.0</v>
      </c>
      <c r="E1779" s="8">
        <v>8.0</v>
      </c>
      <c r="F1779" s="8">
        <v>9.0</v>
      </c>
      <c r="G1779" s="8" t="s">
        <v>21</v>
      </c>
      <c r="H1779" s="9"/>
      <c r="I1779" s="9"/>
      <c r="N1779" s="10" t="str">
        <f t="shared" si="2"/>
        <v>17-12a301(3) - Kansas Uniform Securities Act; Intentional, unlawful offering or selling security in this state; security not registered; less than $25,000; if victim was an elder person</v>
      </c>
      <c r="O1779" s="10" t="str">
        <f t="shared" si="3"/>
        <v>Kansas Uniform Securities Act</v>
      </c>
    </row>
    <row r="1780">
      <c r="A1780" s="7" t="s">
        <v>3182</v>
      </c>
      <c r="B1780" s="8" t="s">
        <v>3183</v>
      </c>
      <c r="C1780" s="8">
        <v>6.0</v>
      </c>
      <c r="D1780" s="8">
        <v>8.0</v>
      </c>
      <c r="E1780" s="8">
        <v>8.0</v>
      </c>
      <c r="F1780" s="8">
        <v>9.0</v>
      </c>
      <c r="G1780" s="8" t="s">
        <v>21</v>
      </c>
      <c r="H1780" s="9"/>
      <c r="I1780" s="9"/>
      <c r="N1780" s="10" t="str">
        <f t="shared" si="2"/>
        <v>17-12a506 - Kansas Uniform Securities Act; Misrepresentations concerning registration</v>
      </c>
      <c r="O1780" s="10" t="str">
        <f t="shared" si="3"/>
        <v>Kansas Uniform Securities Act</v>
      </c>
    </row>
    <row r="1781">
      <c r="A1781" s="7" t="s">
        <v>3184</v>
      </c>
      <c r="B1781" s="8" t="s">
        <v>3156</v>
      </c>
      <c r="C1781" s="8">
        <v>7.0</v>
      </c>
      <c r="D1781" s="8">
        <v>9.0</v>
      </c>
      <c r="E1781" s="8">
        <v>9.0</v>
      </c>
      <c r="F1781" s="8">
        <v>10.0</v>
      </c>
      <c r="G1781" s="8" t="s">
        <v>21</v>
      </c>
      <c r="H1781" s="9"/>
      <c r="I1781" s="9"/>
      <c r="N1781" s="10" t="str">
        <f t="shared" si="2"/>
        <v>17-12a101 et. seq. - Kansas Uniform Securities Act; Criminal Penalties; Intentional violation of this act, or rule adopted or order issued under this act, except as provided in subsections (a) (2) through (a) (4) of K.S.A. 17-12a508, K.S.A. 2005 Supp. 17-12a504, (filing requirement) and amendments thereto, or the notice filing requirements of K.S.A. 2005 Supp. 17-12a302, (required filing of record) or 17-12a405, (notice filing requirement) and amendments thereto.  An individual may be fined, but not imprisoned, if the individual did not have knowledge of the rule or order</v>
      </c>
      <c r="O1781" s="10" t="str">
        <f t="shared" si="3"/>
        <v>Kansas Uniform Securities Act</v>
      </c>
    </row>
    <row r="1782">
      <c r="A1782" s="7" t="s">
        <v>3185</v>
      </c>
      <c r="B1782" s="8" t="s">
        <v>3163</v>
      </c>
      <c r="C1782" s="8">
        <v>7.0</v>
      </c>
      <c r="D1782" s="8">
        <v>9.0</v>
      </c>
      <c r="E1782" s="8">
        <v>9.0</v>
      </c>
      <c r="F1782" s="8">
        <v>10.0</v>
      </c>
      <c r="G1782" s="8" t="s">
        <v>21</v>
      </c>
      <c r="H1782" s="9"/>
      <c r="I1782" s="9"/>
      <c r="N1782" s="10" t="str">
        <f t="shared" si="2"/>
        <v>17-12a402(d) - Kansas Uniform Securities Act; Intentional violation of agent limits on employment or association</v>
      </c>
      <c r="O1782" s="10" t="str">
        <f t="shared" si="3"/>
        <v>Kansas Uniform Securities Act</v>
      </c>
    </row>
    <row r="1783">
      <c r="A1783" s="7" t="s">
        <v>3186</v>
      </c>
      <c r="B1783" s="8" t="s">
        <v>3096</v>
      </c>
      <c r="C1783" s="8">
        <v>7.0</v>
      </c>
      <c r="D1783" s="8">
        <v>9.0</v>
      </c>
      <c r="E1783" s="8">
        <v>9.0</v>
      </c>
      <c r="F1783" s="8">
        <v>10.0</v>
      </c>
      <c r="G1783" s="8" t="s">
        <v>21</v>
      </c>
      <c r="H1783" s="9"/>
      <c r="I1783" s="9"/>
      <c r="N1783" s="10" t="str">
        <f t="shared" si="2"/>
        <v>17-12a402(a) - Kansas Uniform Securities Act; Intentional violation of agent registration requirements; less than $25,000</v>
      </c>
      <c r="O1783" s="10" t="str">
        <f t="shared" si="3"/>
        <v>Kansas Uniform Securities Act</v>
      </c>
    </row>
    <row r="1784">
      <c r="A1784" s="7" t="s">
        <v>3187</v>
      </c>
      <c r="B1784" s="8" t="s">
        <v>3098</v>
      </c>
      <c r="C1784" s="8">
        <v>7.0</v>
      </c>
      <c r="D1784" s="8">
        <v>9.0</v>
      </c>
      <c r="E1784" s="8">
        <v>9.0</v>
      </c>
      <c r="F1784" s="8">
        <v>10.0</v>
      </c>
      <c r="G1784" s="8" t="s">
        <v>21</v>
      </c>
      <c r="H1784" s="9"/>
      <c r="I1784" s="9"/>
      <c r="N1784" s="10" t="str">
        <f t="shared" si="2"/>
        <v>17-12a401(a) - Kansas Uniform Securities Act; Intentional violation of broker-dealer registration requirements; less than $25,000</v>
      </c>
      <c r="O1784" s="10" t="str">
        <f t="shared" si="3"/>
        <v>Kansas Uniform Securities Act</v>
      </c>
    </row>
    <row r="1785">
      <c r="A1785" s="7" t="s">
        <v>3188</v>
      </c>
      <c r="B1785" s="8" t="s">
        <v>3100</v>
      </c>
      <c r="C1785" s="8">
        <v>7.0</v>
      </c>
      <c r="D1785" s="8">
        <v>9.0</v>
      </c>
      <c r="E1785" s="8">
        <v>9.0</v>
      </c>
      <c r="F1785" s="8">
        <v>10.0</v>
      </c>
      <c r="G1785" s="8" t="s">
        <v>21</v>
      </c>
      <c r="H1785" s="9"/>
      <c r="I1785" s="9"/>
      <c r="N1785" s="10" t="str">
        <f t="shared" si="2"/>
        <v>17-12a403(a) - Kansas Uniform Securities Act; Intentional violation of investment adviser registration requirements; less than $25,000</v>
      </c>
      <c r="O1785" s="10" t="str">
        <f t="shared" si="3"/>
        <v>Kansas Uniform Securities Act</v>
      </c>
    </row>
    <row r="1786">
      <c r="A1786" s="7" t="s">
        <v>3189</v>
      </c>
      <c r="B1786" s="8" t="s">
        <v>3175</v>
      </c>
      <c r="C1786" s="8">
        <v>7.0</v>
      </c>
      <c r="D1786" s="8">
        <v>9.0</v>
      </c>
      <c r="E1786" s="8">
        <v>9.0</v>
      </c>
      <c r="F1786" s="8">
        <v>10.0</v>
      </c>
      <c r="G1786" s="8" t="s">
        <v>21</v>
      </c>
      <c r="H1786" s="9"/>
      <c r="I1786" s="9"/>
      <c r="N1786" s="10" t="str">
        <f t="shared" si="2"/>
        <v>17-12a403(d) - Kansas Uniform Securities Act; Intentional violation of investment adviser representative registration</v>
      </c>
      <c r="O1786" s="10" t="str">
        <f t="shared" si="3"/>
        <v>Kansas Uniform Securities Act</v>
      </c>
    </row>
    <row r="1787">
      <c r="A1787" s="7" t="s">
        <v>3190</v>
      </c>
      <c r="B1787" s="8" t="s">
        <v>3104</v>
      </c>
      <c r="C1787" s="8">
        <v>7.0</v>
      </c>
      <c r="D1787" s="8">
        <v>9.0</v>
      </c>
      <c r="E1787" s="8">
        <v>9.0</v>
      </c>
      <c r="F1787" s="8">
        <v>10.0</v>
      </c>
      <c r="G1787" s="8" t="s">
        <v>21</v>
      </c>
      <c r="H1787" s="9"/>
      <c r="I1787" s="9"/>
      <c r="N1787" s="10" t="str">
        <f t="shared" si="2"/>
        <v>17-12a404(a) - Kansas Uniform Securities Act; Intentional violation of investment adviser representative registration requirements; less than $25,000</v>
      </c>
      <c r="O1787" s="10" t="str">
        <f t="shared" si="3"/>
        <v>Kansas Uniform Securities Act</v>
      </c>
    </row>
    <row r="1788">
      <c r="A1788" s="7" t="s">
        <v>3191</v>
      </c>
      <c r="B1788" s="8" t="s">
        <v>3106</v>
      </c>
      <c r="C1788" s="8">
        <v>7.0</v>
      </c>
      <c r="D1788" s="8">
        <v>9.0</v>
      </c>
      <c r="E1788" s="8">
        <v>9.0</v>
      </c>
      <c r="F1788" s="8">
        <v>10.0</v>
      </c>
      <c r="G1788" s="8" t="s">
        <v>21</v>
      </c>
      <c r="H1788" s="9"/>
      <c r="I1788" s="9"/>
      <c r="N1788" s="10" t="str">
        <f t="shared" si="2"/>
        <v>17-12a301(1) - Kansas Uniform Securities Act; Intentional, unlawful offering or selling security in this state; security not a federally covered security; less than $25,000</v>
      </c>
      <c r="O1788" s="10" t="str">
        <f t="shared" si="3"/>
        <v>Kansas Uniform Securities Act</v>
      </c>
    </row>
    <row r="1789">
      <c r="A1789" s="7" t="s">
        <v>3192</v>
      </c>
      <c r="B1789" s="8" t="s">
        <v>3108</v>
      </c>
      <c r="C1789" s="8">
        <v>7.0</v>
      </c>
      <c r="D1789" s="8">
        <v>9.0</v>
      </c>
      <c r="E1789" s="8">
        <v>9.0</v>
      </c>
      <c r="F1789" s="8">
        <v>10.0</v>
      </c>
      <c r="G1789" s="8" t="s">
        <v>21</v>
      </c>
      <c r="H1789" s="9"/>
      <c r="I1789" s="9"/>
      <c r="N1789" s="10" t="str">
        <f t="shared" si="2"/>
        <v>17-12a301(2) - Kansas Uniform Securities Act; Intentional, unlawful offering or selling security in this state; security not exempt from registration; less than $25,000</v>
      </c>
      <c r="O1789" s="10" t="str">
        <f t="shared" si="3"/>
        <v>Kansas Uniform Securities Act</v>
      </c>
    </row>
    <row r="1790">
      <c r="A1790" s="7" t="s">
        <v>3193</v>
      </c>
      <c r="B1790" s="8" t="s">
        <v>3110</v>
      </c>
      <c r="C1790" s="8">
        <v>7.0</v>
      </c>
      <c r="D1790" s="8">
        <v>9.0</v>
      </c>
      <c r="E1790" s="8">
        <v>9.0</v>
      </c>
      <c r="F1790" s="8">
        <v>10.0</v>
      </c>
      <c r="G1790" s="8" t="s">
        <v>21</v>
      </c>
      <c r="H1790" s="9"/>
      <c r="I1790" s="9"/>
      <c r="N1790" s="10" t="str">
        <f t="shared" si="2"/>
        <v>17-12a301(3) - Kansas Uniform Securities Act; Intentional, unlawful offering or selling security in this state; security not registered; less than $25,000</v>
      </c>
      <c r="O1790" s="10" t="str">
        <f t="shared" si="3"/>
        <v>Kansas Uniform Securities Act</v>
      </c>
    </row>
    <row r="1791">
      <c r="A1791" s="7" t="s">
        <v>3194</v>
      </c>
      <c r="B1791" s="8" t="s">
        <v>3195</v>
      </c>
      <c r="C1791" s="8" t="s">
        <v>28</v>
      </c>
      <c r="D1791" s="8" t="s">
        <v>19</v>
      </c>
      <c r="E1791" s="8" t="s">
        <v>19</v>
      </c>
      <c r="F1791" s="8" t="s">
        <v>20</v>
      </c>
      <c r="G1791" s="8" t="s">
        <v>21</v>
      </c>
      <c r="H1791" s="9"/>
      <c r="I1791" s="9"/>
      <c r="J1791" s="10">
        <f t="shared" ref="J1791:M1791" si="1017">ifs(OR($H1791="R",$I1791="N"),"N/A",OR(C1791="A",C1791="B",C1791="C",C1791="U"),3,TRUE,"FLAG")</f>
        <v>3</v>
      </c>
      <c r="K1791" s="10">
        <f t="shared" si="1017"/>
        <v>3</v>
      </c>
      <c r="L1791" s="10">
        <f t="shared" si="1017"/>
        <v>3</v>
      </c>
      <c r="M1791" s="10" t="str">
        <f t="shared" si="1017"/>
        <v>FLAG</v>
      </c>
      <c r="N1791" s="10" t="str">
        <f t="shared" si="2"/>
        <v>41-2905(d)(2) - Keg Registration Act; Deface beer keg ID number by person not a retailer</v>
      </c>
      <c r="O1791" s="10" t="str">
        <f t="shared" si="3"/>
        <v>Keg Registration Act</v>
      </c>
    </row>
    <row r="1792">
      <c r="A1792" s="7" t="s">
        <v>3196</v>
      </c>
      <c r="B1792" s="8" t="s">
        <v>3197</v>
      </c>
      <c r="C1792" s="8" t="s">
        <v>28</v>
      </c>
      <c r="D1792" s="8" t="s">
        <v>19</v>
      </c>
      <c r="E1792" s="8" t="s">
        <v>19</v>
      </c>
      <c r="F1792" s="8" t="s">
        <v>20</v>
      </c>
      <c r="G1792" s="8" t="s">
        <v>21</v>
      </c>
      <c r="H1792" s="9"/>
      <c r="I1792" s="9"/>
      <c r="J1792" s="10">
        <f t="shared" ref="J1792:M1792" si="1018">ifs(OR($H1792="R",$I1792="N"),"N/A",OR(C1792="A",C1792="B",C1792="C",C1792="U"),3,TRUE,"FLAG")</f>
        <v>3</v>
      </c>
      <c r="K1792" s="10">
        <f t="shared" si="1018"/>
        <v>3</v>
      </c>
      <c r="L1792" s="10">
        <f t="shared" si="1018"/>
        <v>3</v>
      </c>
      <c r="M1792" s="10" t="str">
        <f t="shared" si="1018"/>
        <v>FLAG</v>
      </c>
      <c r="N1792" s="10" t="str">
        <f t="shared" si="2"/>
        <v>41-2906(d)(2) - Keg Registration Act; Deface CMB keg ID number by person not a retailer</v>
      </c>
      <c r="O1792" s="10" t="str">
        <f t="shared" si="3"/>
        <v>Keg Registration Act</v>
      </c>
    </row>
    <row r="1793">
      <c r="A1793" s="7" t="s">
        <v>3198</v>
      </c>
      <c r="B1793" s="8" t="s">
        <v>3199</v>
      </c>
      <c r="C1793" s="8" t="s">
        <v>28</v>
      </c>
      <c r="D1793" s="8" t="s">
        <v>19</v>
      </c>
      <c r="E1793" s="8" t="s">
        <v>19</v>
      </c>
      <c r="F1793" s="8" t="s">
        <v>20</v>
      </c>
      <c r="G1793" s="8" t="s">
        <v>21</v>
      </c>
      <c r="H1793" s="9"/>
      <c r="I1793" s="9"/>
      <c r="J1793" s="10">
        <f t="shared" ref="J1793:M1793" si="1019">ifs(OR($H1793="R",$I1793="N"),"N/A",OR(C1793="A",C1793="B",C1793="C",C1793="U"),3,TRUE,"FLAG")</f>
        <v>3</v>
      </c>
      <c r="K1793" s="10">
        <f t="shared" si="1019"/>
        <v>3</v>
      </c>
      <c r="L1793" s="10">
        <f t="shared" si="1019"/>
        <v>3</v>
      </c>
      <c r="M1793" s="10" t="str">
        <f t="shared" si="1019"/>
        <v>FLAG</v>
      </c>
      <c r="N1793" s="10" t="str">
        <f t="shared" si="2"/>
        <v>41-2905(d)(3) - Keg Registration Act; Possession of beer keg without ID number by person not a retailer</v>
      </c>
      <c r="O1793" s="10" t="str">
        <f t="shared" si="3"/>
        <v>Keg Registration Act</v>
      </c>
    </row>
    <row r="1794">
      <c r="A1794" s="7" t="s">
        <v>3200</v>
      </c>
      <c r="B1794" s="8" t="s">
        <v>3201</v>
      </c>
      <c r="C1794" s="8" t="s">
        <v>28</v>
      </c>
      <c r="D1794" s="8" t="s">
        <v>19</v>
      </c>
      <c r="E1794" s="8" t="s">
        <v>19</v>
      </c>
      <c r="F1794" s="8" t="s">
        <v>20</v>
      </c>
      <c r="G1794" s="8" t="s">
        <v>21</v>
      </c>
      <c r="H1794" s="9"/>
      <c r="I1794" s="9"/>
      <c r="J1794" s="10">
        <f t="shared" ref="J1794:M1794" si="1020">ifs(OR($H1794="R",$I1794="N"),"N/A",OR(C1794="A",C1794="B",C1794="C",C1794="U"),3,TRUE,"FLAG")</f>
        <v>3</v>
      </c>
      <c r="K1794" s="10">
        <f t="shared" si="1020"/>
        <v>3</v>
      </c>
      <c r="L1794" s="10">
        <f t="shared" si="1020"/>
        <v>3</v>
      </c>
      <c r="M1794" s="10" t="str">
        <f t="shared" si="1020"/>
        <v>FLAG</v>
      </c>
      <c r="N1794" s="10" t="str">
        <f t="shared" si="2"/>
        <v>41-2906(d)(3) - Keg Registration Act; Possession of CMB keg without ID number by person not a retailer</v>
      </c>
      <c r="O1794" s="10" t="str">
        <f t="shared" si="3"/>
        <v>Keg Registration Act</v>
      </c>
    </row>
    <row r="1795">
      <c r="A1795" s="7" t="s">
        <v>3202</v>
      </c>
      <c r="B1795" s="8" t="s">
        <v>3203</v>
      </c>
      <c r="C1795" s="8" t="s">
        <v>28</v>
      </c>
      <c r="D1795" s="8" t="s">
        <v>19</v>
      </c>
      <c r="E1795" s="8" t="s">
        <v>19</v>
      </c>
      <c r="F1795" s="8" t="s">
        <v>20</v>
      </c>
      <c r="G1795" s="8" t="s">
        <v>21</v>
      </c>
      <c r="H1795" s="9"/>
      <c r="I1795" s="9"/>
      <c r="J1795" s="10">
        <f t="shared" ref="J1795:M1795" si="1021">ifs(OR($H1795="R",$I1795="N"),"N/A",OR(C1795="A",C1795="B",C1795="C",C1795="U"),3,TRUE,"FLAG")</f>
        <v>3</v>
      </c>
      <c r="K1795" s="10">
        <f t="shared" si="1021"/>
        <v>3</v>
      </c>
      <c r="L1795" s="10">
        <f t="shared" si="1021"/>
        <v>3</v>
      </c>
      <c r="M1795" s="10" t="str">
        <f t="shared" si="1021"/>
        <v>FLAG</v>
      </c>
      <c r="N1795" s="10" t="str">
        <f t="shared" si="2"/>
        <v>41-2905(d)(1) - Keg Registration Act; Removal of beer keg ID number by person who is not a retailer</v>
      </c>
      <c r="O1795" s="10" t="str">
        <f t="shared" si="3"/>
        <v>Keg Registration Act</v>
      </c>
    </row>
    <row r="1796">
      <c r="A1796" s="7" t="s">
        <v>3204</v>
      </c>
      <c r="B1796" s="8" t="s">
        <v>3205</v>
      </c>
      <c r="C1796" s="8" t="s">
        <v>28</v>
      </c>
      <c r="D1796" s="8" t="s">
        <v>19</v>
      </c>
      <c r="E1796" s="8" t="s">
        <v>19</v>
      </c>
      <c r="F1796" s="8" t="s">
        <v>20</v>
      </c>
      <c r="G1796" s="8" t="s">
        <v>21</v>
      </c>
      <c r="H1796" s="9"/>
      <c r="I1796" s="9"/>
      <c r="J1796" s="10">
        <f t="shared" ref="J1796:M1796" si="1022">ifs(OR($H1796="R",$I1796="N"),"N/A",OR(C1796="A",C1796="B",C1796="C",C1796="U"),3,TRUE,"FLAG")</f>
        <v>3</v>
      </c>
      <c r="K1796" s="10">
        <f t="shared" si="1022"/>
        <v>3</v>
      </c>
      <c r="L1796" s="10">
        <f t="shared" si="1022"/>
        <v>3</v>
      </c>
      <c r="M1796" s="10" t="str">
        <f t="shared" si="1022"/>
        <v>FLAG</v>
      </c>
      <c r="N1796" s="10" t="str">
        <f t="shared" si="2"/>
        <v>41-2906(d)(1) - Keg Registration Act; Removal of CMB keg ID number by person not a retailer</v>
      </c>
      <c r="O1796" s="10" t="str">
        <f t="shared" si="3"/>
        <v>Keg Registration Act</v>
      </c>
    </row>
    <row r="1797">
      <c r="A1797" s="7" t="s">
        <v>3206</v>
      </c>
      <c r="B1797" s="8" t="s">
        <v>3207</v>
      </c>
      <c r="C1797" s="8">
        <v>3.0</v>
      </c>
      <c r="D1797" s="8">
        <v>5.0</v>
      </c>
      <c r="E1797" s="8">
        <v>5.0</v>
      </c>
      <c r="F1797" s="8">
        <v>6.0</v>
      </c>
      <c r="G1797" s="8" t="s">
        <v>24</v>
      </c>
      <c r="H1797" s="8" t="s">
        <v>109</v>
      </c>
      <c r="I1797" s="9"/>
      <c r="N1797" s="10" t="str">
        <f t="shared" si="2"/>
        <v>21-5408(a)(1) - Kidnapping; For ransom, or as a shield or hostage</v>
      </c>
      <c r="O1797" s="10" t="str">
        <f t="shared" si="3"/>
        <v>Kidnapping</v>
      </c>
    </row>
    <row r="1798">
      <c r="A1798" s="7" t="s">
        <v>3208</v>
      </c>
      <c r="B1798" s="8" t="s">
        <v>3209</v>
      </c>
      <c r="C1798" s="8">
        <v>3.0</v>
      </c>
      <c r="D1798" s="8">
        <v>5.0</v>
      </c>
      <c r="E1798" s="8">
        <v>5.0</v>
      </c>
      <c r="F1798" s="8">
        <v>6.0</v>
      </c>
      <c r="G1798" s="8" t="s">
        <v>24</v>
      </c>
      <c r="H1798" s="8" t="s">
        <v>109</v>
      </c>
      <c r="I1798" s="9"/>
      <c r="N1798" s="10" t="str">
        <f t="shared" si="2"/>
        <v>21-5408(a)(2) - Kidnapping; To facilitate flight or the commission of any crime</v>
      </c>
      <c r="O1798" s="10" t="str">
        <f t="shared" si="3"/>
        <v>Kidnapping</v>
      </c>
    </row>
    <row r="1799">
      <c r="A1799" s="7" t="s">
        <v>3210</v>
      </c>
      <c r="B1799" s="8" t="s">
        <v>3211</v>
      </c>
      <c r="C1799" s="8">
        <v>3.0</v>
      </c>
      <c r="D1799" s="8">
        <v>5.0</v>
      </c>
      <c r="E1799" s="8">
        <v>5.0</v>
      </c>
      <c r="F1799" s="8">
        <v>6.0</v>
      </c>
      <c r="G1799" s="8" t="s">
        <v>24</v>
      </c>
      <c r="H1799" s="8" t="s">
        <v>109</v>
      </c>
      <c r="I1799" s="9"/>
      <c r="N1799" s="10" t="str">
        <f t="shared" si="2"/>
        <v>21-5408(a)(3) - Kidnapping; To inflict bodily injury or to terrorize the victim or another</v>
      </c>
      <c r="O1799" s="10" t="str">
        <f t="shared" si="3"/>
        <v>Kidnapping</v>
      </c>
    </row>
    <row r="1800">
      <c r="A1800" s="7" t="s">
        <v>3212</v>
      </c>
      <c r="B1800" s="8" t="s">
        <v>3213</v>
      </c>
      <c r="C1800" s="8">
        <v>3.0</v>
      </c>
      <c r="D1800" s="8">
        <v>5.0</v>
      </c>
      <c r="E1800" s="8">
        <v>5.0</v>
      </c>
      <c r="F1800" s="8">
        <v>6.0</v>
      </c>
      <c r="G1800" s="8" t="s">
        <v>24</v>
      </c>
      <c r="H1800" s="8" t="s">
        <v>109</v>
      </c>
      <c r="I1800" s="9"/>
      <c r="N1800" s="10" t="str">
        <f t="shared" si="2"/>
        <v>21-5408(a)(4) - Kidnapping; To interfere with the performance of any governmental or political function</v>
      </c>
      <c r="O1800" s="10" t="str">
        <f t="shared" si="3"/>
        <v>Kidnapping</v>
      </c>
    </row>
    <row r="1801">
      <c r="A1801" s="7" t="s">
        <v>3214</v>
      </c>
      <c r="B1801" s="12">
        <v>147225.0</v>
      </c>
      <c r="C1801" s="8" t="s">
        <v>18</v>
      </c>
      <c r="D1801" s="8" t="s">
        <v>18</v>
      </c>
      <c r="E1801" s="8" t="s">
        <v>19</v>
      </c>
      <c r="F1801" s="8" t="s">
        <v>20</v>
      </c>
      <c r="G1801" s="8" t="s">
        <v>21</v>
      </c>
      <c r="H1801" s="9"/>
      <c r="I1801" s="9"/>
      <c r="J1801" s="10">
        <f t="shared" ref="J1801:M1801" si="1023">ifs(OR($H1801="R",$I1801="N"),"N/A",OR(C1801="A",C1801="B",C1801="C",C1801="U"),3,TRUE,"FLAG")</f>
        <v>3</v>
      </c>
      <c r="K1801" s="10">
        <f t="shared" si="1023"/>
        <v>3</v>
      </c>
      <c r="L1801" s="10">
        <f t="shared" si="1023"/>
        <v>3</v>
      </c>
      <c r="M1801" s="10" t="str">
        <f t="shared" si="1023"/>
        <v>FLAG</v>
      </c>
      <c r="N1801" s="10" t="str">
        <f t="shared" si="2"/>
        <v>147225 - Labeling of Ag. Products; Grade any agricultural product, and identify it or its container, with a false established standard</v>
      </c>
      <c r="O1801" s="10" t="str">
        <f t="shared" si="3"/>
        <v>Labeling of Ag. Products</v>
      </c>
    </row>
    <row r="1802">
      <c r="A1802" s="7" t="s">
        <v>3215</v>
      </c>
      <c r="B1802" s="8" t="s">
        <v>3216</v>
      </c>
      <c r="C1802" s="8" t="s">
        <v>18</v>
      </c>
      <c r="D1802" s="8" t="s">
        <v>18</v>
      </c>
      <c r="E1802" s="8" t="s">
        <v>19</v>
      </c>
      <c r="F1802" s="8" t="s">
        <v>20</v>
      </c>
      <c r="G1802" s="8" t="s">
        <v>21</v>
      </c>
      <c r="H1802" s="9"/>
      <c r="I1802" s="9"/>
      <c r="J1802" s="10">
        <f t="shared" ref="J1802:M1802" si="1024">ifs(OR($H1802="R",$I1802="N"),"N/A",OR(C1802="A",C1802="B",C1802="C",C1802="U"),3,TRUE,"FLAG")</f>
        <v>3</v>
      </c>
      <c r="K1802" s="10">
        <f t="shared" si="1024"/>
        <v>3</v>
      </c>
      <c r="L1802" s="10">
        <f t="shared" si="1024"/>
        <v>3</v>
      </c>
      <c r="M1802" s="10" t="str">
        <f t="shared" si="1024"/>
        <v>FLAG</v>
      </c>
      <c r="N1802" s="10" t="str">
        <f t="shared" si="2"/>
        <v>2-2302(a) - Labeling of Ag. Products; Misleading labeling</v>
      </c>
      <c r="O1802" s="10" t="str">
        <f t="shared" si="3"/>
        <v>Labeling of Ag. Products</v>
      </c>
    </row>
    <row r="1803">
      <c r="A1803" s="7" t="s">
        <v>3217</v>
      </c>
      <c r="B1803" s="8" t="s">
        <v>3218</v>
      </c>
      <c r="C1803" s="8" t="s">
        <v>18</v>
      </c>
      <c r="D1803" s="8" t="s">
        <v>18</v>
      </c>
      <c r="E1803" s="8" t="s">
        <v>19</v>
      </c>
      <c r="F1803" s="8" t="s">
        <v>20</v>
      </c>
      <c r="G1803" s="8" t="s">
        <v>21</v>
      </c>
      <c r="H1803" s="9"/>
      <c r="I1803" s="9"/>
      <c r="J1803" s="10">
        <f t="shared" ref="J1803:M1803" si="1025">ifs(OR($H1803="R",$I1803="N"),"N/A",OR(C1803="A",C1803="B",C1803="C",C1803="U"),3,TRUE,"FLAG")</f>
        <v>3</v>
      </c>
      <c r="K1803" s="10">
        <f t="shared" si="1025"/>
        <v>3</v>
      </c>
      <c r="L1803" s="10">
        <f t="shared" si="1025"/>
        <v>3</v>
      </c>
      <c r="M1803" s="10" t="str">
        <f t="shared" si="1025"/>
        <v>FLAG</v>
      </c>
      <c r="N1803" s="10" t="str">
        <f t="shared" si="2"/>
        <v>2-2302(b) - Labeling of Ag. Products; Misleading representations</v>
      </c>
      <c r="O1803" s="10" t="str">
        <f t="shared" si="3"/>
        <v>Labeling of Ag. Products</v>
      </c>
    </row>
    <row r="1804">
      <c r="A1804" s="7" t="s">
        <v>3219</v>
      </c>
      <c r="B1804" s="8" t="s">
        <v>3220</v>
      </c>
      <c r="C1804" s="8" t="s">
        <v>18</v>
      </c>
      <c r="D1804" s="8" t="s">
        <v>18</v>
      </c>
      <c r="E1804" s="8" t="s">
        <v>19</v>
      </c>
      <c r="F1804" s="8" t="s">
        <v>20</v>
      </c>
      <c r="G1804" s="8" t="s">
        <v>21</v>
      </c>
      <c r="H1804" s="9"/>
      <c r="I1804" s="9"/>
      <c r="J1804" s="10">
        <f t="shared" ref="J1804:M1804" si="1026">ifs(OR($H1804="R",$I1804="N"),"N/A",OR(C1804="A",C1804="B",C1804="C",C1804="U"),3,TRUE,"FLAG")</f>
        <v>3</v>
      </c>
      <c r="K1804" s="10">
        <f t="shared" si="1026"/>
        <v>3</v>
      </c>
      <c r="L1804" s="10">
        <f t="shared" si="1026"/>
        <v>3</v>
      </c>
      <c r="M1804" s="10" t="str">
        <f t="shared" si="1026"/>
        <v>FLAG</v>
      </c>
      <c r="N1804" s="10" t="str">
        <f t="shared" si="2"/>
        <v>2-2302(c) - Labeling of Ag. Products; Move into KS for sale, have possession for sale, or sale of, any agricultural product labeled or represented in a misleading manner</v>
      </c>
      <c r="O1804" s="10" t="str">
        <f t="shared" si="3"/>
        <v>Labeling of Ag. Products</v>
      </c>
    </row>
    <row r="1805">
      <c r="A1805" s="7" t="s">
        <v>3221</v>
      </c>
      <c r="B1805" s="8" t="s">
        <v>3222</v>
      </c>
      <c r="C1805" s="8" t="s">
        <v>18</v>
      </c>
      <c r="D1805" s="8" t="s">
        <v>18</v>
      </c>
      <c r="E1805" s="8" t="s">
        <v>19</v>
      </c>
      <c r="F1805" s="8" t="s">
        <v>20</v>
      </c>
      <c r="G1805" s="8" t="s">
        <v>21</v>
      </c>
      <c r="H1805" s="9"/>
      <c r="I1805" s="9"/>
      <c r="J1805" s="10">
        <f t="shared" ref="J1805:M1805" si="1027">ifs(OR($H1805="R",$I1805="N"),"N/A",OR(C1805="A",C1805="B",C1805="C",C1805="U"),3,TRUE,"FLAG")</f>
        <v>3</v>
      </c>
      <c r="K1805" s="10">
        <f t="shared" si="1027"/>
        <v>3</v>
      </c>
      <c r="L1805" s="10">
        <f t="shared" si="1027"/>
        <v>3</v>
      </c>
      <c r="M1805" s="10" t="str">
        <f t="shared" si="1027"/>
        <v>FLAG</v>
      </c>
      <c r="N1805" s="10" t="str">
        <f t="shared" si="2"/>
        <v>44-640 - Labor &amp; Industries; Conditions of employment detrimental to health and welfare unlawful</v>
      </c>
      <c r="O1805" s="10" t="str">
        <f t="shared" si="3"/>
        <v>Labor &amp; Industries</v>
      </c>
    </row>
    <row r="1806">
      <c r="A1806" s="7" t="s">
        <v>3223</v>
      </c>
      <c r="B1806" s="8" t="s">
        <v>3224</v>
      </c>
      <c r="C1806" s="8" t="s">
        <v>18</v>
      </c>
      <c r="D1806" s="8" t="s">
        <v>18</v>
      </c>
      <c r="E1806" s="8" t="s">
        <v>19</v>
      </c>
      <c r="F1806" s="8" t="s">
        <v>20</v>
      </c>
      <c r="G1806" s="8" t="s">
        <v>21</v>
      </c>
      <c r="H1806" s="9"/>
      <c r="I1806" s="9"/>
      <c r="J1806" s="10">
        <f t="shared" ref="J1806:M1806" si="1028">ifs(OR($H1806="R",$I1806="N"),"N/A",OR(C1806="A",C1806="B",C1806="C",C1806="U"),3,TRUE,"FLAG")</f>
        <v>3</v>
      </c>
      <c r="K1806" s="10">
        <f t="shared" si="1028"/>
        <v>3</v>
      </c>
      <c r="L1806" s="10">
        <f t="shared" si="1028"/>
        <v>3</v>
      </c>
      <c r="M1806" s="10" t="str">
        <f t="shared" si="1028"/>
        <v>FLAG</v>
      </c>
      <c r="N1806" s="10" t="str">
        <f t="shared" si="2"/>
        <v>44-636(f) - Labor &amp; Industries; Discharge or discriminate against employee because employee filed a complaint with, or furnished information to, the secretary of labor concerning unsafe or hazardous working conditions</v>
      </c>
      <c r="O1806" s="10" t="str">
        <f t="shared" si="3"/>
        <v>Labor &amp; Industries</v>
      </c>
    </row>
    <row r="1807">
      <c r="A1807" s="7" t="s">
        <v>3225</v>
      </c>
      <c r="B1807" s="8" t="s">
        <v>3226</v>
      </c>
      <c r="C1807" s="8" t="s">
        <v>18</v>
      </c>
      <c r="D1807" s="8" t="s">
        <v>18</v>
      </c>
      <c r="E1807" s="8" t="s">
        <v>19</v>
      </c>
      <c r="F1807" s="8" t="s">
        <v>20</v>
      </c>
      <c r="G1807" s="8" t="s">
        <v>21</v>
      </c>
      <c r="H1807" s="9"/>
      <c r="I1807" s="9"/>
      <c r="J1807" s="10">
        <f t="shared" ref="J1807:M1807" si="1029">ifs(OR($H1807="R",$I1807="N"),"N/A",OR(C1807="A",C1807="B",C1807="C",C1807="U"),3,TRUE,"FLAG")</f>
        <v>3</v>
      </c>
      <c r="K1807" s="10">
        <f t="shared" si="1029"/>
        <v>3</v>
      </c>
      <c r="L1807" s="10">
        <f t="shared" si="1029"/>
        <v>3</v>
      </c>
      <c r="M1807" s="10" t="str">
        <f t="shared" si="1029"/>
        <v>FLAG</v>
      </c>
      <c r="N1807" s="10" t="str">
        <f t="shared" si="2"/>
        <v>44-117 - Labor &amp; Industries; Employer preventing discharged employee from obtaining employment</v>
      </c>
      <c r="O1807" s="10" t="str">
        <f t="shared" si="3"/>
        <v>Labor &amp; Industries</v>
      </c>
    </row>
    <row r="1808">
      <c r="A1808" s="7" t="s">
        <v>3227</v>
      </c>
      <c r="B1808" s="8" t="s">
        <v>3228</v>
      </c>
      <c r="C1808" s="8" t="s">
        <v>19</v>
      </c>
      <c r="D1808" s="8" t="s">
        <v>19</v>
      </c>
      <c r="E1808" s="8" t="s">
        <v>19</v>
      </c>
      <c r="F1808" s="8" t="s">
        <v>20</v>
      </c>
      <c r="G1808" s="8" t="s">
        <v>21</v>
      </c>
      <c r="H1808" s="9"/>
      <c r="I1808" s="9"/>
      <c r="J1808" s="10">
        <f t="shared" ref="J1808:M1808" si="1030">ifs(OR($H1808="R",$I1808="N"),"N/A",OR(C1808="A",C1808="B",C1808="C",C1808="U"),3,TRUE,"FLAG")</f>
        <v>3</v>
      </c>
      <c r="K1808" s="10">
        <f t="shared" si="1030"/>
        <v>3</v>
      </c>
      <c r="L1808" s="10">
        <f t="shared" si="1030"/>
        <v>3</v>
      </c>
      <c r="M1808" s="10" t="str">
        <f t="shared" si="1030"/>
        <v>FLAG</v>
      </c>
      <c r="N1808" s="10" t="str">
        <f t="shared" si="2"/>
        <v>44-766(a) - Labor &amp; Industries; Employment Security Law; Knowingly and intentionally misclassify an employee as an independent contractor for sole or primary purpose to avoid state income tax withholding and reporting requirements or state unemployment insurance contributions reporting requirements; 2nd violation</v>
      </c>
      <c r="O1808" s="10" t="str">
        <f t="shared" si="3"/>
        <v>Labor &amp; Industries</v>
      </c>
    </row>
    <row r="1809">
      <c r="A1809" s="7" t="s">
        <v>3229</v>
      </c>
      <c r="B1809" s="8" t="s">
        <v>3228</v>
      </c>
      <c r="C1809" s="8" t="s">
        <v>27</v>
      </c>
      <c r="D1809" s="8" t="s">
        <v>28</v>
      </c>
      <c r="E1809" s="8" t="s">
        <v>19</v>
      </c>
      <c r="F1809" s="8" t="s">
        <v>20</v>
      </c>
      <c r="G1809" s="8" t="s">
        <v>21</v>
      </c>
      <c r="H1809" s="9"/>
      <c r="I1809" s="9"/>
      <c r="J1809" s="10">
        <f t="shared" ref="J1809:M1809" si="1031">ifs(OR($H1809="R",$I1809="N"),"N/A",OR(C1809="A",C1809="B",C1809="C",C1809="U"),3,TRUE,"FLAG")</f>
        <v>3</v>
      </c>
      <c r="K1809" s="10">
        <f t="shared" si="1031"/>
        <v>3</v>
      </c>
      <c r="L1809" s="10">
        <f t="shared" si="1031"/>
        <v>3</v>
      </c>
      <c r="M1809" s="10" t="str">
        <f t="shared" si="1031"/>
        <v>FLAG</v>
      </c>
      <c r="N1809" s="10" t="str">
        <f t="shared" si="2"/>
        <v>44-766(a) - Labor &amp; Industries; Employment Security Law; Knowingly and intentionally misclassify an employee as an independent contractor for sole or primary purpose to avoid state income tax withholding and reporting requirements or state unemployment insurance contributions reporting requirements; 3rd or subs. violation</v>
      </c>
      <c r="O1809" s="10" t="str">
        <f t="shared" si="3"/>
        <v>Labor &amp; Industries</v>
      </c>
    </row>
    <row r="1810">
      <c r="A1810" s="7" t="s">
        <v>3230</v>
      </c>
      <c r="B1810" s="8" t="s">
        <v>3231</v>
      </c>
      <c r="C1810" s="8" t="s">
        <v>19</v>
      </c>
      <c r="D1810" s="8" t="s">
        <v>19</v>
      </c>
      <c r="E1810" s="8" t="s">
        <v>19</v>
      </c>
      <c r="F1810" s="8" t="s">
        <v>20</v>
      </c>
      <c r="G1810" s="8" t="s">
        <v>21</v>
      </c>
      <c r="H1810" s="9"/>
      <c r="I1810" s="9"/>
      <c r="J1810" s="10">
        <f t="shared" ref="J1810:M1810" si="1032">ifs(OR($H1810="R",$I1810="N"),"N/A",OR(C1810="A",C1810="B",C1810="C",C1810="U"),3,TRUE,"FLAG")</f>
        <v>3</v>
      </c>
      <c r="K1810" s="10">
        <f t="shared" si="1032"/>
        <v>3</v>
      </c>
      <c r="L1810" s="10">
        <f t="shared" si="1032"/>
        <v>3</v>
      </c>
      <c r="M1810" s="10" t="str">
        <f t="shared" si="1032"/>
        <v>FLAG</v>
      </c>
      <c r="N1810" s="10" t="str">
        <f t="shared" si="2"/>
        <v>44-410 - Labor &amp; Industries; Penalty for any violation of K.S.A. 44-401 through 44-412, inclusive</v>
      </c>
      <c r="O1810" s="10" t="str">
        <f t="shared" si="3"/>
        <v>Labor &amp; Industries</v>
      </c>
    </row>
    <row r="1811">
      <c r="A1811" s="7" t="s">
        <v>3232</v>
      </c>
      <c r="B1811" s="8" t="s">
        <v>3233</v>
      </c>
      <c r="C1811" s="8" t="s">
        <v>18</v>
      </c>
      <c r="D1811" s="8" t="s">
        <v>18</v>
      </c>
      <c r="E1811" s="8" t="s">
        <v>19</v>
      </c>
      <c r="F1811" s="8" t="s">
        <v>20</v>
      </c>
      <c r="G1811" s="8" t="s">
        <v>21</v>
      </c>
      <c r="H1811" s="9"/>
      <c r="I1811" s="9"/>
      <c r="J1811" s="10">
        <f t="shared" ref="J1811:M1811" si="1033">ifs(OR($H1811="R",$I1811="N"),"N/A",OR(C1811="A",C1811="B",C1811="C",C1811="U"),3,TRUE,"FLAG")</f>
        <v>3</v>
      </c>
      <c r="K1811" s="10">
        <f t="shared" si="1033"/>
        <v>3</v>
      </c>
      <c r="L1811" s="10">
        <f t="shared" si="1033"/>
        <v>3</v>
      </c>
      <c r="M1811" s="10" t="str">
        <f t="shared" si="1033"/>
        <v>FLAG</v>
      </c>
      <c r="N1811" s="10" t="str">
        <f t="shared" si="2"/>
        <v>44-635 - Labor &amp; Industries; Penalty for failure to testify when subpoenaed</v>
      </c>
      <c r="O1811" s="10" t="str">
        <f t="shared" si="3"/>
        <v>Labor &amp; Industries</v>
      </c>
    </row>
    <row r="1812">
      <c r="A1812" s="7" t="s">
        <v>3234</v>
      </c>
      <c r="B1812" s="8" t="s">
        <v>3235</v>
      </c>
      <c r="C1812" s="8" t="s">
        <v>19</v>
      </c>
      <c r="D1812" s="8" t="s">
        <v>19</v>
      </c>
      <c r="E1812" s="8" t="s">
        <v>19</v>
      </c>
      <c r="F1812" s="8" t="s">
        <v>20</v>
      </c>
      <c r="G1812" s="8" t="s">
        <v>21</v>
      </c>
      <c r="H1812" s="9"/>
      <c r="I1812" s="9"/>
      <c r="J1812" s="10">
        <f t="shared" ref="J1812:M1812" si="1034">ifs(OR($H1812="R",$I1812="N"),"N/A",OR(C1812="A",C1812="B",C1812="C",C1812="U"),3,TRUE,"FLAG")</f>
        <v>3</v>
      </c>
      <c r="K1812" s="10">
        <f t="shared" si="1034"/>
        <v>3</v>
      </c>
      <c r="L1812" s="10">
        <f t="shared" si="1034"/>
        <v>3</v>
      </c>
      <c r="M1812" s="10" t="str">
        <f t="shared" si="1034"/>
        <v>FLAG</v>
      </c>
      <c r="N1812" s="10" t="str">
        <f t="shared" si="2"/>
        <v>44-129 - Labor &amp; Industries; Penalty for Violation of Act</v>
      </c>
      <c r="O1812" s="10" t="str">
        <f t="shared" si="3"/>
        <v>Labor &amp; Industries</v>
      </c>
    </row>
    <row r="1813">
      <c r="A1813" s="7" t="s">
        <v>3236</v>
      </c>
      <c r="B1813" s="8" t="s">
        <v>3237</v>
      </c>
      <c r="C1813" s="8" t="s">
        <v>18</v>
      </c>
      <c r="D1813" s="8" t="s">
        <v>18</v>
      </c>
      <c r="E1813" s="8" t="s">
        <v>19</v>
      </c>
      <c r="F1813" s="8" t="s">
        <v>20</v>
      </c>
      <c r="G1813" s="8" t="s">
        <v>21</v>
      </c>
      <c r="H1813" s="9"/>
      <c r="I1813" s="9"/>
      <c r="J1813" s="10">
        <f t="shared" ref="J1813:M1813" si="1035">ifs(OR($H1813="R",$I1813="N"),"N/A",OR(C1813="A",C1813="B",C1813="C",C1813="U"),3,TRUE,"FLAG")</f>
        <v>3</v>
      </c>
      <c r="K1813" s="10">
        <f t="shared" si="1035"/>
        <v>3</v>
      </c>
      <c r="L1813" s="10">
        <f t="shared" si="1035"/>
        <v>3</v>
      </c>
      <c r="M1813" s="10" t="str">
        <f t="shared" si="1035"/>
        <v>FLAG</v>
      </c>
      <c r="N1813" s="10" t="str">
        <f t="shared" si="2"/>
        <v>44-648 - Labor &amp; Industries; Penalty for violation of act</v>
      </c>
      <c r="O1813" s="10" t="str">
        <f t="shared" si="3"/>
        <v>Labor &amp; Industries</v>
      </c>
    </row>
    <row r="1814">
      <c r="A1814" s="7" t="s">
        <v>3238</v>
      </c>
      <c r="B1814" s="8" t="s">
        <v>3239</v>
      </c>
      <c r="C1814" s="8" t="s">
        <v>18</v>
      </c>
      <c r="D1814" s="8" t="s">
        <v>18</v>
      </c>
      <c r="E1814" s="8" t="s">
        <v>19</v>
      </c>
      <c r="F1814" s="8" t="s">
        <v>20</v>
      </c>
      <c r="G1814" s="8" t="s">
        <v>21</v>
      </c>
      <c r="H1814" s="9"/>
      <c r="I1814" s="9"/>
      <c r="J1814" s="10">
        <f t="shared" ref="J1814:M1814" si="1036">ifs(OR($H1814="R",$I1814="N"),"N/A",OR(C1814="A",C1814="B",C1814="C",C1814="U"),3,TRUE,"FLAG")</f>
        <v>3</v>
      </c>
      <c r="K1814" s="10">
        <f t="shared" si="1036"/>
        <v>3</v>
      </c>
      <c r="L1814" s="10">
        <f t="shared" si="1036"/>
        <v>3</v>
      </c>
      <c r="M1814" s="10" t="str">
        <f t="shared" si="1036"/>
        <v>FLAG</v>
      </c>
      <c r="N1814" s="10" t="str">
        <f t="shared" si="2"/>
        <v>44-618 - Labor &amp; Industries; Penalty for violation of K.S.A. 44-601 to 44-628</v>
      </c>
      <c r="O1814" s="10" t="str">
        <f t="shared" si="3"/>
        <v>Labor &amp; Industries</v>
      </c>
    </row>
    <row r="1815">
      <c r="A1815" s="7" t="s">
        <v>3240</v>
      </c>
      <c r="B1815" s="8" t="s">
        <v>3241</v>
      </c>
      <c r="C1815" s="8" t="s">
        <v>18</v>
      </c>
      <c r="D1815" s="8" t="s">
        <v>18</v>
      </c>
      <c r="E1815" s="8" t="s">
        <v>19</v>
      </c>
      <c r="F1815" s="8" t="s">
        <v>20</v>
      </c>
      <c r="G1815" s="8" t="s">
        <v>21</v>
      </c>
      <c r="H1815" s="9"/>
      <c r="I1815" s="9"/>
      <c r="J1815" s="10">
        <f t="shared" ref="J1815:M1815" si="1037">ifs(OR($H1815="R",$I1815="N"),"N/A",OR(C1815="A",C1815="B",C1815="C",C1815="U"),3,TRUE,"FLAG")</f>
        <v>3</v>
      </c>
      <c r="K1815" s="10">
        <f t="shared" si="1037"/>
        <v>3</v>
      </c>
      <c r="L1815" s="10">
        <f t="shared" si="1037"/>
        <v>3</v>
      </c>
      <c r="M1815" s="10" t="str">
        <f t="shared" si="1037"/>
        <v>FLAG</v>
      </c>
      <c r="N1815" s="10" t="str">
        <f t="shared" si="2"/>
        <v>44-636(c) - Labor &amp; Industries; Remove or require to be removed, or made ineffective any practical safeguard around or safety attachment to any machinery, vats, pan, or other apparatus or device mentioned in this section while the same is in use; require or permit the operation of, or operate, the dangerous machine, apparatus or device without the required safeguards or safety attachments</v>
      </c>
      <c r="O1815" s="10" t="str">
        <f t="shared" si="3"/>
        <v>Labor &amp; Industries</v>
      </c>
    </row>
    <row r="1816">
      <c r="A1816" s="7" t="s">
        <v>3242</v>
      </c>
      <c r="B1816" s="8" t="s">
        <v>3243</v>
      </c>
      <c r="C1816" s="8" t="s">
        <v>18</v>
      </c>
      <c r="D1816" s="8" t="s">
        <v>18</v>
      </c>
      <c r="E1816" s="8" t="s">
        <v>19</v>
      </c>
      <c r="F1816" s="8" t="s">
        <v>20</v>
      </c>
      <c r="G1816" s="8" t="s">
        <v>21</v>
      </c>
      <c r="H1816" s="9"/>
      <c r="I1816" s="9"/>
      <c r="J1816" s="10">
        <f t="shared" ref="J1816:M1816" si="1038">ifs(OR($H1816="R",$I1816="N"),"N/A",OR(C1816="A",C1816="B",C1816="C",C1816="U"),3,TRUE,"FLAG")</f>
        <v>3</v>
      </c>
      <c r="K1816" s="10">
        <f t="shared" si="1038"/>
        <v>3</v>
      </c>
      <c r="L1816" s="10">
        <f t="shared" si="1038"/>
        <v>3</v>
      </c>
      <c r="M1816" s="10" t="str">
        <f t="shared" si="1038"/>
        <v>FLAG</v>
      </c>
      <c r="N1816" s="10" t="str">
        <f t="shared" si="2"/>
        <v>44-615 - Labor &amp; Industries; Unlawful acts against witnesses and litigants</v>
      </c>
      <c r="O1816" s="10" t="str">
        <f t="shared" si="3"/>
        <v>Labor &amp; Industries</v>
      </c>
    </row>
    <row r="1817">
      <c r="A1817" s="7" t="s">
        <v>3244</v>
      </c>
      <c r="B1817" s="8" t="s">
        <v>3245</v>
      </c>
      <c r="C1817" s="8" t="s">
        <v>19</v>
      </c>
      <c r="D1817" s="8" t="s">
        <v>19</v>
      </c>
      <c r="E1817" s="8" t="s">
        <v>19</v>
      </c>
      <c r="F1817" s="8" t="s">
        <v>20</v>
      </c>
      <c r="G1817" s="8" t="s">
        <v>21</v>
      </c>
      <c r="H1817" s="9"/>
      <c r="I1817" s="9"/>
      <c r="J1817" s="10">
        <f t="shared" ref="J1817:M1817" si="1039">ifs(OR($H1817="R",$I1817="N"),"N/A",OR(C1817="A",C1817="B",C1817="C",C1817="U"),3,TRUE,"FLAG")</f>
        <v>3</v>
      </c>
      <c r="K1817" s="10">
        <f t="shared" si="1039"/>
        <v>3</v>
      </c>
      <c r="L1817" s="10">
        <f t="shared" si="1039"/>
        <v>3</v>
      </c>
      <c r="M1817" s="10" t="str">
        <f t="shared" si="1039"/>
        <v>FLAG</v>
      </c>
      <c r="N1817" s="10" t="str">
        <f t="shared" si="2"/>
        <v>44-925(c) - Labor &amp; Industries; Unlawful installation or operation of any boiler or pressure vessel in this state; construction of any boiler or pressure vessel for use in this state in violation of this act, or rules and regulations hereunder</v>
      </c>
      <c r="O1817" s="10" t="str">
        <f t="shared" si="3"/>
        <v>Labor &amp; Industries</v>
      </c>
    </row>
    <row r="1818">
      <c r="A1818" s="7" t="s">
        <v>3246</v>
      </c>
      <c r="B1818" s="8" t="s">
        <v>3247</v>
      </c>
      <c r="C1818" s="8" t="s">
        <v>18</v>
      </c>
      <c r="D1818" s="8" t="s">
        <v>18</v>
      </c>
      <c r="E1818" s="8" t="s">
        <v>19</v>
      </c>
      <c r="F1818" s="8" t="s">
        <v>20</v>
      </c>
      <c r="G1818" s="8" t="s">
        <v>21</v>
      </c>
      <c r="H1818" s="9"/>
      <c r="I1818" s="9"/>
      <c r="J1818" s="10">
        <f t="shared" ref="J1818:M1818" si="1040">ifs(OR($H1818="R",$I1818="N"),"N/A",OR(C1818="A",C1818="B",C1818="C",C1818="U"),3,TRUE,"FLAG")</f>
        <v>3</v>
      </c>
      <c r="K1818" s="10">
        <f t="shared" si="1040"/>
        <v>3</v>
      </c>
      <c r="L1818" s="10">
        <f t="shared" si="1040"/>
        <v>3</v>
      </c>
      <c r="M1818" s="10" t="str">
        <f t="shared" si="1040"/>
        <v>FLAG</v>
      </c>
      <c r="N1818" s="10" t="str">
        <f t="shared" si="2"/>
        <v>44-616 - Labor &amp; Industries; Unlawful limitation or cessation of business operations</v>
      </c>
      <c r="O1818" s="10" t="str">
        <f t="shared" si="3"/>
        <v>Labor &amp; Industries</v>
      </c>
    </row>
    <row r="1819">
      <c r="A1819" s="7" t="s">
        <v>3248</v>
      </c>
      <c r="B1819" s="8" t="s">
        <v>3249</v>
      </c>
      <c r="C1819" s="8" t="s">
        <v>19</v>
      </c>
      <c r="D1819" s="8" t="s">
        <v>19</v>
      </c>
      <c r="E1819" s="8" t="s">
        <v>19</v>
      </c>
      <c r="F1819" s="8" t="s">
        <v>20</v>
      </c>
      <c r="G1819" s="8" t="s">
        <v>21</v>
      </c>
      <c r="H1819" s="9"/>
      <c r="I1819" s="9"/>
      <c r="J1819" s="10">
        <f t="shared" ref="J1819:M1819" si="1041">ifs(OR($H1819="R",$I1819="N"),"N/A",OR(C1819="A",C1819="B",C1819="C",C1819="U"),3,TRUE,"FLAG")</f>
        <v>3</v>
      </c>
      <c r="K1819" s="10">
        <f t="shared" si="1041"/>
        <v>3</v>
      </c>
      <c r="L1819" s="10">
        <f t="shared" si="1041"/>
        <v>3</v>
      </c>
      <c r="M1819" s="10" t="str">
        <f t="shared" si="1041"/>
        <v>FLAG</v>
      </c>
      <c r="N1819" s="10" t="str">
        <f t="shared" si="2"/>
        <v>44-925(a) - Labor &amp; Industries; Unlawful operation of a pressure vessel installed after January 1, 1999, or a boiler without valid inspection certificate, and the operation of a pressure vessel installed after January 1, 1999, or a boiler without such inspection certificate or at a pressure exceeding that specified in such inspection certificate</v>
      </c>
      <c r="O1819" s="10" t="str">
        <f t="shared" si="3"/>
        <v>Labor &amp; Industries</v>
      </c>
    </row>
    <row r="1820">
      <c r="A1820" s="7" t="s">
        <v>3250</v>
      </c>
      <c r="B1820" s="8" t="s">
        <v>3251</v>
      </c>
      <c r="C1820" s="8" t="s">
        <v>18</v>
      </c>
      <c r="D1820" s="8" t="s">
        <v>18</v>
      </c>
      <c r="E1820" s="8" t="s">
        <v>19</v>
      </c>
      <c r="F1820" s="8" t="s">
        <v>20</v>
      </c>
      <c r="G1820" s="8" t="s">
        <v>21</v>
      </c>
      <c r="H1820" s="9"/>
      <c r="I1820" s="9"/>
      <c r="J1820" s="10">
        <f t="shared" ref="J1820:M1820" si="1042">ifs(OR($H1820="R",$I1820="N"),"N/A",OR(C1820="A",C1820="B",C1820="C",C1820="U"),3,TRUE,"FLAG")</f>
        <v>3</v>
      </c>
      <c r="K1820" s="10">
        <f t="shared" si="1042"/>
        <v>3</v>
      </c>
      <c r="L1820" s="10">
        <f t="shared" si="1042"/>
        <v>3</v>
      </c>
      <c r="M1820" s="10" t="str">
        <f t="shared" si="1042"/>
        <v>FLAG</v>
      </c>
      <c r="N1820" s="10" t="str">
        <f t="shared" si="2"/>
        <v>44-617 - Labor &amp; Industries; Violations of Act; quitting employment; picketing; intimidation</v>
      </c>
      <c r="O1820" s="10" t="str">
        <f t="shared" si="3"/>
        <v>Labor &amp; Industries</v>
      </c>
    </row>
    <row r="1821">
      <c r="A1821" s="7" t="s">
        <v>3252</v>
      </c>
      <c r="B1821" s="8" t="s">
        <v>3253</v>
      </c>
      <c r="C1821" s="8" t="s">
        <v>27</v>
      </c>
      <c r="D1821" s="8" t="s">
        <v>28</v>
      </c>
      <c r="E1821" s="8" t="s">
        <v>19</v>
      </c>
      <c r="F1821" s="8" t="s">
        <v>20</v>
      </c>
      <c r="G1821" s="8" t="s">
        <v>21</v>
      </c>
      <c r="H1821" s="9"/>
      <c r="I1821" s="9"/>
      <c r="J1821" s="10">
        <f t="shared" ref="J1821:M1821" si="1043">ifs(OR($H1821="R",$I1821="N"),"N/A",OR(C1821="A",C1821="B",C1821="C",C1821="U"),3,TRUE,"FLAG")</f>
        <v>3</v>
      </c>
      <c r="K1821" s="10">
        <f t="shared" si="1043"/>
        <v>3</v>
      </c>
      <c r="L1821" s="10">
        <f t="shared" si="1043"/>
        <v>3</v>
      </c>
      <c r="M1821" s="10" t="str">
        <f t="shared" si="1043"/>
        <v>FLAG</v>
      </c>
      <c r="N1821" s="10" t="str">
        <f t="shared" si="2"/>
        <v>46-1116 - Legislative Post Audit; Failure to make records available for post audit</v>
      </c>
      <c r="O1821" s="10" t="str">
        <f t="shared" si="3"/>
        <v>Legislative Post Audit</v>
      </c>
    </row>
    <row r="1822">
      <c r="A1822" s="7" t="s">
        <v>3254</v>
      </c>
      <c r="B1822" s="8" t="s">
        <v>3255</v>
      </c>
      <c r="C1822" s="8" t="s">
        <v>18</v>
      </c>
      <c r="D1822" s="8" t="s">
        <v>18</v>
      </c>
      <c r="E1822" s="8" t="s">
        <v>19</v>
      </c>
      <c r="F1822" s="8" t="s">
        <v>20</v>
      </c>
      <c r="G1822" s="8" t="s">
        <v>21</v>
      </c>
      <c r="H1822" s="9"/>
      <c r="I1822" s="9"/>
      <c r="J1822" s="10">
        <f t="shared" ref="J1822:M1822" si="1044">ifs(OR($H1822="R",$I1822="N"),"N/A",OR(C1822="A",C1822="B",C1822="C",C1822="U"),3,TRUE,"FLAG")</f>
        <v>3</v>
      </c>
      <c r="K1822" s="10">
        <f t="shared" si="1044"/>
        <v>3</v>
      </c>
      <c r="L1822" s="10">
        <f t="shared" si="1044"/>
        <v>3</v>
      </c>
      <c r="M1822" s="10" t="str">
        <f t="shared" si="1044"/>
        <v>FLAG</v>
      </c>
      <c r="N1822" s="10" t="str">
        <f t="shared" si="2"/>
        <v>24-811 - Levees; Summoning labor for emergency work on levee; refusing summons</v>
      </c>
      <c r="O1822" s="10" t="str">
        <f t="shared" si="3"/>
        <v>Levees</v>
      </c>
    </row>
    <row r="1823">
      <c r="A1823" s="7" t="s">
        <v>3256</v>
      </c>
      <c r="B1823" s="8" t="s">
        <v>3257</v>
      </c>
      <c r="C1823" s="8" t="s">
        <v>18</v>
      </c>
      <c r="D1823" s="8" t="s">
        <v>18</v>
      </c>
      <c r="E1823" s="8" t="s">
        <v>19</v>
      </c>
      <c r="F1823" s="8" t="s">
        <v>20</v>
      </c>
      <c r="G1823" s="8" t="s">
        <v>21</v>
      </c>
      <c r="H1823" s="9"/>
      <c r="I1823" s="9"/>
      <c r="J1823" s="10">
        <f t="shared" ref="J1823:M1823" si="1045">ifs(OR($H1823="R",$I1823="N"),"N/A",OR(C1823="A",C1823="B",C1823="C",C1823="U"),3,TRUE,"FLAG")</f>
        <v>3</v>
      </c>
      <c r="K1823" s="10">
        <f t="shared" si="1045"/>
        <v>3</v>
      </c>
      <c r="L1823" s="10">
        <f t="shared" si="1045"/>
        <v>3</v>
      </c>
      <c r="M1823" s="10" t="str">
        <f t="shared" si="1045"/>
        <v>FLAG</v>
      </c>
      <c r="N1823" s="10" t="str">
        <f t="shared" si="2"/>
        <v>24-815 - Levees; Willfully cut, break, damage or make a leak in levee; build any cross-levee, dike or embankment, to prevent the flow of the surface water in its natural course to the sewer pipes or openings provided for the escape of such surface water, or otherwise change the contour of such levee districts by building cross-levees or embankments, or by any other act render the protection afforded by said levee to all parties less effective and complete</v>
      </c>
      <c r="O1823" s="10" t="str">
        <f t="shared" si="3"/>
        <v>Levees</v>
      </c>
    </row>
    <row r="1824">
      <c r="A1824" s="7" t="s">
        <v>3258</v>
      </c>
      <c r="B1824" s="8" t="s">
        <v>3259</v>
      </c>
      <c r="C1824" s="8" t="s">
        <v>28</v>
      </c>
      <c r="D1824" s="8" t="s">
        <v>19</v>
      </c>
      <c r="E1824" s="8" t="s">
        <v>19</v>
      </c>
      <c r="F1824" s="8" t="s">
        <v>20</v>
      </c>
      <c r="G1824" s="8" t="s">
        <v>21</v>
      </c>
      <c r="H1824" s="8" t="s">
        <v>109</v>
      </c>
      <c r="I1824" s="9"/>
      <c r="J1824" s="10" t="str">
        <f t="shared" ref="J1824:M1824" si="1046">ifs(OR($H1824="R",$I1824="N"),"N/A",OR(C1824="A",C1824="B",C1824="C",C1824="U"),3,TRUE,"FLAG")</f>
        <v>N/A</v>
      </c>
      <c r="K1824" s="10" t="str">
        <f t="shared" si="1046"/>
        <v>N/A</v>
      </c>
      <c r="L1824" s="10" t="str">
        <f t="shared" si="1046"/>
        <v>N/A</v>
      </c>
      <c r="M1824" s="10" t="str">
        <f t="shared" si="1046"/>
        <v>N/A</v>
      </c>
      <c r="N1824" s="10" t="str">
        <f t="shared" si="2"/>
        <v>21-5513(a)(1) - Lewd and Lascivious Behavior; Publicly engage sexual intercourse or sodomy with knowledge or reasonable anticipation of being viewed by others; if done in presence of persons 16 or older</v>
      </c>
      <c r="O1824" s="10" t="str">
        <f t="shared" si="3"/>
        <v>Lewd and Lascivious Behavior</v>
      </c>
    </row>
    <row r="1825">
      <c r="A1825" s="7" t="s">
        <v>3260</v>
      </c>
      <c r="B1825" s="8" t="s">
        <v>3259</v>
      </c>
      <c r="C1825" s="8">
        <v>9.0</v>
      </c>
      <c r="D1825" s="8">
        <v>10.0</v>
      </c>
      <c r="E1825" s="8">
        <v>10.0</v>
      </c>
      <c r="F1825" s="8">
        <v>10.0</v>
      </c>
      <c r="G1825" s="8" t="s">
        <v>24</v>
      </c>
      <c r="H1825" s="8" t="s">
        <v>109</v>
      </c>
      <c r="I1825" s="9"/>
      <c r="N1825" s="10" t="str">
        <f t="shared" si="2"/>
        <v>21-5513(a)(1) - Lewd and Lascivious Behavior; Publicly engaging in sexual intercourse or sodomy; In presence of person under 16</v>
      </c>
      <c r="O1825" s="10" t="str">
        <f t="shared" si="3"/>
        <v>Lewd and Lascivious Behavior</v>
      </c>
    </row>
    <row r="1826">
      <c r="A1826" s="7" t="s">
        <v>3261</v>
      </c>
      <c r="B1826" s="8" t="s">
        <v>3262</v>
      </c>
      <c r="C1826" s="8" t="s">
        <v>28</v>
      </c>
      <c r="D1826" s="8" t="s">
        <v>19</v>
      </c>
      <c r="E1826" s="8" t="s">
        <v>19</v>
      </c>
      <c r="F1826" s="8" t="s">
        <v>20</v>
      </c>
      <c r="G1826" s="8" t="s">
        <v>21</v>
      </c>
      <c r="H1826" s="8" t="s">
        <v>109</v>
      </c>
      <c r="I1826" s="9"/>
      <c r="J1826" s="10" t="str">
        <f t="shared" ref="J1826:M1826" si="1047">ifs(OR($H1826="R",$I1826="N"),"N/A",OR(C1826="A",C1826="B",C1826="C",C1826="U"),3,TRUE,"FLAG")</f>
        <v>N/A</v>
      </c>
      <c r="K1826" s="10" t="str">
        <f t="shared" si="1047"/>
        <v>N/A</v>
      </c>
      <c r="L1826" s="10" t="str">
        <f t="shared" si="1047"/>
        <v>N/A</v>
      </c>
      <c r="M1826" s="10" t="str">
        <f t="shared" si="1047"/>
        <v>N/A</v>
      </c>
      <c r="N1826" s="10" t="str">
        <f t="shared" si="2"/>
        <v>21-5513(a)(2) - Lewd and Lascivious Behavior; Publicly expose a sex organ or expose a sex organ in presence of one not the spouse of offender without consent, with intent to arouse or gratify the sexual desires of the offender or another; if done in presence of person 16 or older</v>
      </c>
      <c r="O1826" s="10" t="str">
        <f t="shared" si="3"/>
        <v>Lewd and Lascivious Behavior</v>
      </c>
    </row>
    <row r="1827">
      <c r="A1827" s="7" t="s">
        <v>3263</v>
      </c>
      <c r="B1827" s="8" t="s">
        <v>3262</v>
      </c>
      <c r="C1827" s="8">
        <v>9.0</v>
      </c>
      <c r="D1827" s="8">
        <v>10.0</v>
      </c>
      <c r="E1827" s="8">
        <v>10.0</v>
      </c>
      <c r="F1827" s="8">
        <v>10.0</v>
      </c>
      <c r="G1827" s="8" t="s">
        <v>24</v>
      </c>
      <c r="H1827" s="8" t="s">
        <v>109</v>
      </c>
      <c r="I1827" s="9"/>
      <c r="N1827" s="10" t="str">
        <f t="shared" si="2"/>
        <v>21-5513(a)(2) - Lewd and Lascivious Behavior; Publicly exposing a sex organ or exposing a sex organ to one other than spouse; committed in presence of person under 16</v>
      </c>
      <c r="O1827" s="10" t="str">
        <f t="shared" si="3"/>
        <v>Lewd and Lascivious Behavior</v>
      </c>
    </row>
    <row r="1828">
      <c r="A1828" s="7" t="s">
        <v>3264</v>
      </c>
      <c r="B1828" s="8" t="s">
        <v>3265</v>
      </c>
      <c r="C1828" s="8" t="s">
        <v>18</v>
      </c>
      <c r="D1828" s="8" t="s">
        <v>18</v>
      </c>
      <c r="E1828" s="8" t="s">
        <v>19</v>
      </c>
      <c r="F1828" s="8" t="s">
        <v>20</v>
      </c>
      <c r="G1828" s="8" t="s">
        <v>21</v>
      </c>
      <c r="H1828" s="9"/>
      <c r="I1828" s="9"/>
      <c r="J1828" s="10">
        <f t="shared" ref="J1828:M1828" si="1048">ifs(OR($H1828="R",$I1828="N"),"N/A",OR(C1828="A",C1828="B",C1828="C",C1828="U"),3,TRUE,"FLAG")</f>
        <v>3</v>
      </c>
      <c r="K1828" s="10">
        <f t="shared" si="1048"/>
        <v>3</v>
      </c>
      <c r="L1828" s="10">
        <f t="shared" si="1048"/>
        <v>3</v>
      </c>
      <c r="M1828" s="10" t="str">
        <f t="shared" si="1048"/>
        <v>FLAG</v>
      </c>
      <c r="N1828" s="10" t="str">
        <f t="shared" si="2"/>
        <v>55-1102(a)(1) - Liquefied Petroleum Gas; Unlawful for any person except owner or a person authorized in writing by him or her to fill or refill such container</v>
      </c>
      <c r="O1828" s="10" t="str">
        <f t="shared" si="3"/>
        <v>Liquefied Petroleum Gas</v>
      </c>
    </row>
    <row r="1829">
      <c r="A1829" s="7" t="s">
        <v>3266</v>
      </c>
      <c r="B1829" s="8" t="s">
        <v>3267</v>
      </c>
      <c r="C1829" s="8" t="s">
        <v>18</v>
      </c>
      <c r="D1829" s="8" t="s">
        <v>18</v>
      </c>
      <c r="E1829" s="8" t="s">
        <v>19</v>
      </c>
      <c r="F1829" s="8" t="s">
        <v>20</v>
      </c>
      <c r="G1829" s="8" t="s">
        <v>21</v>
      </c>
      <c r="H1829" s="9"/>
      <c r="I1829" s="9"/>
      <c r="J1829" s="10">
        <f t="shared" ref="J1829:M1829" si="1049">ifs(OR($H1829="R",$I1829="N"),"N/A",OR(C1829="A",C1829="B",C1829="C",C1829="U"),3,TRUE,"FLAG")</f>
        <v>3</v>
      </c>
      <c r="K1829" s="10">
        <f t="shared" si="1049"/>
        <v>3</v>
      </c>
      <c r="L1829" s="10">
        <f t="shared" si="1049"/>
        <v>3</v>
      </c>
      <c r="M1829" s="10" t="str">
        <f t="shared" si="1049"/>
        <v>FLAG</v>
      </c>
      <c r="N1829" s="10" t="str">
        <f t="shared" si="2"/>
        <v>55-1102(b) - Liquefied Petroleum Gas; Unlawful for any person to place the name, mark, initials or other identifying device of any person other than the owner on any liquefied petroleum gas container</v>
      </c>
      <c r="O1829" s="10" t="str">
        <f t="shared" si="3"/>
        <v>Liquefied Petroleum Gas</v>
      </c>
    </row>
    <row r="1830">
      <c r="A1830" s="7" t="s">
        <v>3268</v>
      </c>
      <c r="B1830" s="8" t="s">
        <v>3269</v>
      </c>
      <c r="C1830" s="8" t="s">
        <v>18</v>
      </c>
      <c r="D1830" s="8" t="s">
        <v>18</v>
      </c>
      <c r="E1830" s="8" t="s">
        <v>19</v>
      </c>
      <c r="F1830" s="8" t="s">
        <v>20</v>
      </c>
      <c r="G1830" s="8" t="s">
        <v>21</v>
      </c>
      <c r="H1830" s="9"/>
      <c r="I1830" s="9"/>
      <c r="J1830" s="10">
        <f t="shared" ref="J1830:M1830" si="1050">ifs(OR($H1830="R",$I1830="N"),"N/A",OR(C1830="A",C1830="B",C1830="C",C1830="U"),3,TRUE,"FLAG")</f>
        <v>3</v>
      </c>
      <c r="K1830" s="10">
        <f t="shared" si="1050"/>
        <v>3</v>
      </c>
      <c r="L1830" s="10">
        <f t="shared" si="1050"/>
        <v>3</v>
      </c>
      <c r="M1830" s="10" t="str">
        <f t="shared" si="1050"/>
        <v>FLAG</v>
      </c>
      <c r="N1830" s="10" t="str">
        <f t="shared" si="2"/>
        <v>55-1102(a)(2) - Liquefied Petroleum Gas; Unlawful for person other than owner or owner's agent to buy, sell, offer for sale, give, take, loan, deliver or permit to be delivered, or otherwise use, dispose of, or traffic in any such container</v>
      </c>
      <c r="O1830" s="10" t="str">
        <f t="shared" si="3"/>
        <v>Liquefied Petroleum Gas</v>
      </c>
    </row>
    <row r="1831">
      <c r="A1831" s="7" t="s">
        <v>3270</v>
      </c>
      <c r="B1831" s="8" t="s">
        <v>3271</v>
      </c>
      <c r="C1831" s="8" t="s">
        <v>18</v>
      </c>
      <c r="D1831" s="8" t="s">
        <v>18</v>
      </c>
      <c r="E1831" s="8" t="s">
        <v>19</v>
      </c>
      <c r="F1831" s="8" t="s">
        <v>20</v>
      </c>
      <c r="G1831" s="8" t="s">
        <v>21</v>
      </c>
      <c r="H1831" s="9"/>
      <c r="I1831" s="9"/>
      <c r="J1831" s="10">
        <f t="shared" ref="J1831:M1831" si="1051">ifs(OR($H1831="R",$I1831="N"),"N/A",OR(C1831="A",C1831="B",C1831="C",C1831="U"),3,TRUE,"FLAG")</f>
        <v>3</v>
      </c>
      <c r="K1831" s="10">
        <f t="shared" si="1051"/>
        <v>3</v>
      </c>
      <c r="L1831" s="10">
        <f t="shared" si="1051"/>
        <v>3</v>
      </c>
      <c r="M1831" s="10" t="str">
        <f t="shared" si="1051"/>
        <v>FLAG</v>
      </c>
      <c r="N1831" s="10" t="str">
        <f t="shared" si="2"/>
        <v>55-1102(a)(3) - Liquefied Petroleum Gas; Unlawful for person other than owner or owner's agent to deface, erase, obliterate, cover up or otherwise remove or conceal or change any such name, mark, initials or other identifying device of the owner or to place the name, mark, initials or other identifying device of any person other than the owner on such container</v>
      </c>
      <c r="O1831" s="10" t="str">
        <f t="shared" si="3"/>
        <v>Liquefied Petroleum Gas</v>
      </c>
    </row>
    <row r="1832">
      <c r="A1832" s="7" t="s">
        <v>3272</v>
      </c>
      <c r="B1832" s="8" t="s">
        <v>3273</v>
      </c>
      <c r="C1832" s="8" t="s">
        <v>18</v>
      </c>
      <c r="D1832" s="8" t="s">
        <v>18</v>
      </c>
      <c r="E1832" s="8" t="s">
        <v>19</v>
      </c>
      <c r="F1832" s="8" t="s">
        <v>20</v>
      </c>
      <c r="G1832" s="8" t="s">
        <v>21</v>
      </c>
      <c r="H1832" s="9"/>
      <c r="I1832" s="9"/>
      <c r="J1832" s="10">
        <f t="shared" ref="J1832:M1832" si="1052">ifs(OR($H1832="R",$I1832="N"),"N/A",OR(C1832="A",C1832="B",C1832="C",C1832="U"),3,TRUE,"FLAG")</f>
        <v>3</v>
      </c>
      <c r="K1832" s="10">
        <f t="shared" si="1052"/>
        <v>3</v>
      </c>
      <c r="L1832" s="10">
        <f t="shared" si="1052"/>
        <v>3</v>
      </c>
      <c r="M1832" s="10" t="str">
        <f t="shared" si="1052"/>
        <v>FLAG</v>
      </c>
      <c r="N1832" s="10" t="str">
        <f t="shared" si="2"/>
        <v>55-1103 - Liquefied Petroleum Gas; Unlawful to fill or refill unmarked containers if notified by owner</v>
      </c>
      <c r="O1832" s="10" t="str">
        <f t="shared" si="3"/>
        <v>Liquefied Petroleum Gas</v>
      </c>
    </row>
    <row r="1833">
      <c r="A1833" s="7" t="s">
        <v>3274</v>
      </c>
      <c r="B1833" s="8" t="s">
        <v>3275</v>
      </c>
      <c r="C1833" s="8" t="s">
        <v>18</v>
      </c>
      <c r="D1833" s="8" t="s">
        <v>18</v>
      </c>
      <c r="E1833" s="8" t="s">
        <v>19</v>
      </c>
      <c r="F1833" s="8" t="s">
        <v>20</v>
      </c>
      <c r="G1833" s="8" t="s">
        <v>21</v>
      </c>
      <c r="H1833" s="9"/>
      <c r="I1833" s="9"/>
      <c r="J1833" s="10">
        <f t="shared" ref="J1833:M1833" si="1053">ifs(OR($H1833="R",$I1833="N"),"N/A",OR(C1833="A",C1833="B",C1833="C",C1833="U"),3,TRUE,"FLAG")</f>
        <v>3</v>
      </c>
      <c r="K1833" s="10">
        <f t="shared" si="1053"/>
        <v>3</v>
      </c>
      <c r="L1833" s="10">
        <f t="shared" si="1053"/>
        <v>3</v>
      </c>
      <c r="M1833" s="10" t="str">
        <f t="shared" si="1053"/>
        <v>FLAG</v>
      </c>
      <c r="N1833" s="10" t="str">
        <f t="shared" si="2"/>
        <v>41-717 - Liquor Control Act; Certain sales on credit, in trade or by check prohibited</v>
      </c>
      <c r="O1833" s="10" t="str">
        <f t="shared" si="3"/>
        <v>Liquor Control Act</v>
      </c>
    </row>
    <row r="1834">
      <c r="A1834" s="7" t="s">
        <v>3276</v>
      </c>
      <c r="B1834" s="8" t="s">
        <v>3277</v>
      </c>
      <c r="C1834" s="8" t="s">
        <v>18</v>
      </c>
      <c r="D1834" s="8" t="s">
        <v>18</v>
      </c>
      <c r="E1834" s="8" t="s">
        <v>19</v>
      </c>
      <c r="F1834" s="8" t="s">
        <v>20</v>
      </c>
      <c r="G1834" s="8" t="s">
        <v>21</v>
      </c>
      <c r="H1834" s="9"/>
      <c r="I1834" s="9"/>
      <c r="J1834" s="10">
        <f t="shared" ref="J1834:M1834" si="1054">ifs(OR($H1834="R",$I1834="N"),"N/A",OR(C1834="A",C1834="B",C1834="C",C1834="U"),3,TRUE,"FLAG")</f>
        <v>3</v>
      </c>
      <c r="K1834" s="10">
        <f t="shared" si="1054"/>
        <v>3</v>
      </c>
      <c r="L1834" s="10">
        <f t="shared" si="1054"/>
        <v>3</v>
      </c>
      <c r="M1834" s="10" t="str">
        <f t="shared" si="1054"/>
        <v>FLAG</v>
      </c>
      <c r="N1834" s="10" t="str">
        <f t="shared" si="2"/>
        <v>41-725 - Liquor Control Act; Common carriers; must deliver only to consignee</v>
      </c>
      <c r="O1834" s="10" t="str">
        <f t="shared" si="3"/>
        <v>Liquor Control Act</v>
      </c>
    </row>
    <row r="1835">
      <c r="A1835" s="7" t="s">
        <v>3278</v>
      </c>
      <c r="B1835" s="8" t="s">
        <v>3279</v>
      </c>
      <c r="C1835" s="8" t="s">
        <v>18</v>
      </c>
      <c r="D1835" s="8" t="s">
        <v>18</v>
      </c>
      <c r="E1835" s="8" t="s">
        <v>19</v>
      </c>
      <c r="F1835" s="8" t="s">
        <v>20</v>
      </c>
      <c r="G1835" s="8" t="s">
        <v>21</v>
      </c>
      <c r="H1835" s="9"/>
      <c r="I1835" s="9"/>
      <c r="J1835" s="10">
        <f t="shared" ref="J1835:M1835" si="1055">ifs(OR($H1835="R",$I1835="N"),"N/A",OR(C1835="A",C1835="B",C1835="C",C1835="U"),3,TRUE,"FLAG")</f>
        <v>3</v>
      </c>
      <c r="K1835" s="10">
        <f t="shared" si="1055"/>
        <v>3</v>
      </c>
      <c r="L1835" s="10">
        <f t="shared" si="1055"/>
        <v>3</v>
      </c>
      <c r="M1835" s="10" t="str">
        <f t="shared" si="1055"/>
        <v>FLAG</v>
      </c>
      <c r="N1835" s="10" t="str">
        <f t="shared" si="2"/>
        <v>41-206(a) - Liquor Control Act; Division of Alcoholic Beverage Control; conflict of interest</v>
      </c>
      <c r="O1835" s="10" t="str">
        <f t="shared" si="3"/>
        <v>Liquor Control Act</v>
      </c>
    </row>
    <row r="1836">
      <c r="A1836" s="7" t="s">
        <v>3280</v>
      </c>
      <c r="B1836" s="8" t="s">
        <v>3281</v>
      </c>
      <c r="C1836" s="8" t="s">
        <v>18</v>
      </c>
      <c r="D1836" s="8" t="s">
        <v>18</v>
      </c>
      <c r="E1836" s="8" t="s">
        <v>19</v>
      </c>
      <c r="F1836" s="8" t="s">
        <v>20</v>
      </c>
      <c r="G1836" s="8" t="s">
        <v>21</v>
      </c>
      <c r="H1836" s="9"/>
      <c r="I1836" s="9"/>
      <c r="J1836" s="10">
        <f t="shared" ref="J1836:M1836" si="1056">ifs(OR($H1836="R",$I1836="N"),"N/A",OR(C1836="A",C1836="B",C1836="C",C1836="U"),3,TRUE,"FLAG")</f>
        <v>3</v>
      </c>
      <c r="K1836" s="10">
        <f t="shared" si="1056"/>
        <v>3</v>
      </c>
      <c r="L1836" s="10">
        <f t="shared" si="1056"/>
        <v>3</v>
      </c>
      <c r="M1836" s="10" t="str">
        <f t="shared" si="1056"/>
        <v>FLAG</v>
      </c>
      <c r="N1836" s="10" t="str">
        <f t="shared" si="2"/>
        <v>41-719(a) - Liquor Control Act; Drink or consume alcoholic liquor on the public streets, alleys, roads or highways or inside vehicles while on the public streets, alleys, roads or highways</v>
      </c>
      <c r="O1836" s="10" t="str">
        <f t="shared" si="3"/>
        <v>Liquor Control Act</v>
      </c>
    </row>
    <row r="1837">
      <c r="A1837" s="7" t="s">
        <v>3282</v>
      </c>
      <c r="B1837" s="8" t="s">
        <v>3283</v>
      </c>
      <c r="C1837" s="8" t="s">
        <v>18</v>
      </c>
      <c r="D1837" s="8" t="s">
        <v>18</v>
      </c>
      <c r="E1837" s="8" t="s">
        <v>19</v>
      </c>
      <c r="F1837" s="8" t="s">
        <v>20</v>
      </c>
      <c r="G1837" s="8" t="s">
        <v>21</v>
      </c>
      <c r="H1837" s="9"/>
      <c r="I1837" s="9"/>
      <c r="J1837" s="10">
        <f t="shared" ref="J1837:M1837" si="1057">ifs(OR($H1837="R",$I1837="N"),"N/A",OR(C1837="A",C1837="B",C1837="C",C1837="U"),3,TRUE,"FLAG")</f>
        <v>3</v>
      </c>
      <c r="K1837" s="10">
        <f t="shared" si="1057"/>
        <v>3</v>
      </c>
      <c r="L1837" s="10">
        <f t="shared" si="1057"/>
        <v>3</v>
      </c>
      <c r="M1837" s="10" t="str">
        <f t="shared" si="1057"/>
        <v>FLAG</v>
      </c>
      <c r="N1837" s="10" t="str">
        <f t="shared" si="2"/>
        <v>41-1107 - Liquor Control Act; Duty of county attorney; penalty for neglect; duty of attorney general</v>
      </c>
      <c r="O1837" s="10" t="str">
        <f t="shared" si="3"/>
        <v>Liquor Control Act</v>
      </c>
    </row>
    <row r="1838">
      <c r="A1838" s="7" t="s">
        <v>3284</v>
      </c>
      <c r="B1838" s="8" t="s">
        <v>3285</v>
      </c>
      <c r="C1838" s="8" t="s">
        <v>18</v>
      </c>
      <c r="D1838" s="8" t="s">
        <v>18</v>
      </c>
      <c r="E1838" s="8" t="s">
        <v>19</v>
      </c>
      <c r="F1838" s="8" t="s">
        <v>20</v>
      </c>
      <c r="G1838" s="8" t="s">
        <v>21</v>
      </c>
      <c r="H1838" s="9"/>
      <c r="I1838" s="9"/>
      <c r="J1838" s="10">
        <f t="shared" ref="J1838:M1838" si="1058">ifs(OR($H1838="R",$I1838="N"),"N/A",OR(C1838="A",C1838="B",C1838="C",C1838="U"),3,TRUE,"FLAG")</f>
        <v>3</v>
      </c>
      <c r="K1838" s="10">
        <f t="shared" si="1058"/>
        <v>3</v>
      </c>
      <c r="L1838" s="10">
        <f t="shared" si="1058"/>
        <v>3</v>
      </c>
      <c r="M1838" s="10" t="str">
        <f t="shared" si="1058"/>
        <v>FLAG</v>
      </c>
      <c r="N1838" s="10" t="str">
        <f t="shared" si="2"/>
        <v>41-407(a)(1) - Liquor Control Act; Evasion or attempt to evade payment of liquor tax</v>
      </c>
      <c r="O1838" s="10" t="str">
        <f t="shared" si="3"/>
        <v>Liquor Control Act</v>
      </c>
    </row>
    <row r="1839">
      <c r="A1839" s="7" t="s">
        <v>3286</v>
      </c>
      <c r="B1839" s="8" t="s">
        <v>3287</v>
      </c>
      <c r="C1839" s="8" t="s">
        <v>18</v>
      </c>
      <c r="D1839" s="8" t="s">
        <v>18</v>
      </c>
      <c r="E1839" s="8" t="s">
        <v>19</v>
      </c>
      <c r="F1839" s="8" t="s">
        <v>20</v>
      </c>
      <c r="G1839" s="8" t="s">
        <v>21</v>
      </c>
      <c r="H1839" s="9"/>
      <c r="I1839" s="9"/>
      <c r="J1839" s="10">
        <f t="shared" ref="J1839:M1839" si="1059">ifs(OR($H1839="R",$I1839="N"),"N/A",OR(C1839="A",C1839="B",C1839="C",C1839="U"),3,TRUE,"FLAG")</f>
        <v>3</v>
      </c>
      <c r="K1839" s="10">
        <f t="shared" si="1059"/>
        <v>3</v>
      </c>
      <c r="L1839" s="10">
        <f t="shared" si="1059"/>
        <v>3</v>
      </c>
      <c r="M1839" s="10" t="str">
        <f t="shared" si="1059"/>
        <v>FLAG</v>
      </c>
      <c r="N1839" s="10" t="str">
        <f t="shared" si="2"/>
        <v>41-905 - Liquor Control Act; False branding</v>
      </c>
      <c r="O1839" s="10" t="str">
        <f t="shared" si="3"/>
        <v>Liquor Control Act</v>
      </c>
    </row>
    <row r="1840">
      <c r="A1840" s="7" t="s">
        <v>3288</v>
      </c>
      <c r="B1840" s="8" t="s">
        <v>3289</v>
      </c>
      <c r="C1840" s="8" t="s">
        <v>18</v>
      </c>
      <c r="D1840" s="8" t="s">
        <v>18</v>
      </c>
      <c r="E1840" s="8" t="s">
        <v>19</v>
      </c>
      <c r="F1840" s="8" t="s">
        <v>20</v>
      </c>
      <c r="G1840" s="8" t="s">
        <v>21</v>
      </c>
      <c r="H1840" s="9"/>
      <c r="I1840" s="9"/>
      <c r="J1840" s="10">
        <f t="shared" ref="J1840:M1840" si="1060">ifs(OR($H1840="R",$I1840="N"),"N/A",OR(C1840="A",C1840="B",C1840="C",C1840="U"),3,TRUE,"FLAG")</f>
        <v>3</v>
      </c>
      <c r="K1840" s="10">
        <f t="shared" si="1060"/>
        <v>3</v>
      </c>
      <c r="L1840" s="10">
        <f t="shared" si="1060"/>
        <v>3</v>
      </c>
      <c r="M1840" s="10" t="str">
        <f t="shared" si="1060"/>
        <v>FLAG</v>
      </c>
      <c r="N1840" s="10" t="str">
        <f t="shared" si="2"/>
        <v>41-726 - Liquor Control Act; False statements to common carriers unlawful</v>
      </c>
      <c r="O1840" s="10" t="str">
        <f t="shared" si="3"/>
        <v>Liquor Control Act</v>
      </c>
    </row>
    <row r="1841">
      <c r="A1841" s="7" t="s">
        <v>3290</v>
      </c>
      <c r="B1841" s="8" t="s">
        <v>3291</v>
      </c>
      <c r="C1841" s="8" t="s">
        <v>18</v>
      </c>
      <c r="D1841" s="8" t="s">
        <v>18</v>
      </c>
      <c r="E1841" s="8" t="s">
        <v>19</v>
      </c>
      <c r="F1841" s="8" t="s">
        <v>20</v>
      </c>
      <c r="G1841" s="8" t="s">
        <v>21</v>
      </c>
      <c r="H1841" s="9"/>
      <c r="I1841" s="9"/>
      <c r="J1841" s="10">
        <f t="shared" ref="J1841:M1841" si="1061">ifs(OR($H1841="R",$I1841="N"),"N/A",OR(C1841="A",C1841="B",C1841="C",C1841="U"),3,TRUE,"FLAG")</f>
        <v>3</v>
      </c>
      <c r="K1841" s="10">
        <f t="shared" si="1061"/>
        <v>3</v>
      </c>
      <c r="L1841" s="10">
        <f t="shared" si="1061"/>
        <v>3</v>
      </c>
      <c r="M1841" s="10" t="str">
        <f t="shared" si="1061"/>
        <v>FLAG</v>
      </c>
      <c r="N1841" s="10" t="str">
        <f t="shared" si="2"/>
        <v>41-722 - Liquor Control Act; Giving or selling liquor to evade law declared unlawful</v>
      </c>
      <c r="O1841" s="10" t="str">
        <f t="shared" si="3"/>
        <v>Liquor Control Act</v>
      </c>
    </row>
    <row r="1842">
      <c r="A1842" s="7" t="s">
        <v>3292</v>
      </c>
      <c r="B1842" s="8" t="s">
        <v>3293</v>
      </c>
      <c r="C1842" s="8" t="s">
        <v>18</v>
      </c>
      <c r="D1842" s="8" t="s">
        <v>18</v>
      </c>
      <c r="E1842" s="8" t="s">
        <v>19</v>
      </c>
      <c r="F1842" s="8" t="s">
        <v>20</v>
      </c>
      <c r="G1842" s="8" t="s">
        <v>21</v>
      </c>
      <c r="H1842" s="9"/>
      <c r="I1842" s="9"/>
      <c r="J1842" s="10">
        <f t="shared" ref="J1842:M1842" si="1062">ifs(OR($H1842="R",$I1842="N"),"N/A",OR(C1842="A",C1842="B",C1842="C",C1842="U"),3,TRUE,"FLAG")</f>
        <v>3</v>
      </c>
      <c r="K1842" s="10">
        <f t="shared" si="1062"/>
        <v>3</v>
      </c>
      <c r="L1842" s="10">
        <f t="shared" si="1062"/>
        <v>3</v>
      </c>
      <c r="M1842" s="10" t="str">
        <f t="shared" si="1062"/>
        <v>FLAG</v>
      </c>
      <c r="N1842" s="10" t="str">
        <f t="shared" si="2"/>
        <v>41-903 - Liquor Control Act; Knowingly permitting licensee to unlawfully use premises</v>
      </c>
      <c r="O1842" s="10" t="str">
        <f t="shared" si="3"/>
        <v>Liquor Control Act</v>
      </c>
    </row>
    <row r="1843">
      <c r="A1843" s="7" t="s">
        <v>3294</v>
      </c>
      <c r="B1843" s="8" t="s">
        <v>3295</v>
      </c>
      <c r="C1843" s="8" t="s">
        <v>18</v>
      </c>
      <c r="D1843" s="8" t="s">
        <v>18</v>
      </c>
      <c r="E1843" s="8" t="s">
        <v>19</v>
      </c>
      <c r="F1843" s="8" t="s">
        <v>20</v>
      </c>
      <c r="G1843" s="8" t="s">
        <v>21</v>
      </c>
      <c r="H1843" s="9"/>
      <c r="I1843" s="9"/>
      <c r="J1843" s="10">
        <f t="shared" ref="J1843:M1843" si="1063">ifs(OR($H1843="R",$I1843="N"),"N/A",OR(C1843="A",C1843="B",C1843="C",C1843="U"),3,TRUE,"FLAG")</f>
        <v>3</v>
      </c>
      <c r="K1843" s="10">
        <f t="shared" si="1063"/>
        <v>3</v>
      </c>
      <c r="L1843" s="10">
        <f t="shared" si="1063"/>
        <v>3</v>
      </c>
      <c r="M1843" s="10" t="str">
        <f t="shared" si="1063"/>
        <v>FLAG</v>
      </c>
      <c r="N1843" s="10" t="str">
        <f t="shared" si="2"/>
        <v>41-302(a) - Liquor Control Act; Licensing &amp; Related Provisions; city option; knowingly signing a petition authorized by this section when not a qualified voter; aiding or abetting any other in the same; bribe, give or pay any money or thing of value to any person to induce such person to sign such petition</v>
      </c>
      <c r="O1843" s="10" t="str">
        <f t="shared" si="3"/>
        <v>Liquor Control Act</v>
      </c>
    </row>
    <row r="1844">
      <c r="A1844" s="7" t="s">
        <v>3296</v>
      </c>
      <c r="B1844" s="8" t="s">
        <v>3297</v>
      </c>
      <c r="C1844" s="8" t="s">
        <v>18</v>
      </c>
      <c r="D1844" s="8" t="s">
        <v>18</v>
      </c>
      <c r="E1844" s="8" t="s">
        <v>19</v>
      </c>
      <c r="F1844" s="8" t="s">
        <v>20</v>
      </c>
      <c r="G1844" s="8" t="s">
        <v>21</v>
      </c>
      <c r="H1844" s="9"/>
      <c r="I1844" s="9"/>
      <c r="J1844" s="10">
        <f t="shared" ref="J1844:M1844" si="1064">ifs(OR($H1844="R",$I1844="N"),"N/A",OR(C1844="A",C1844="B",C1844="C",C1844="U"),3,TRUE,"FLAG")</f>
        <v>3</v>
      </c>
      <c r="K1844" s="10">
        <f t="shared" si="1064"/>
        <v>3</v>
      </c>
      <c r="L1844" s="10">
        <f t="shared" si="1064"/>
        <v>3</v>
      </c>
      <c r="M1844" s="10" t="str">
        <f t="shared" si="1064"/>
        <v>FLAG</v>
      </c>
      <c r="N1844" s="10" t="str">
        <f t="shared" si="2"/>
        <v>41-710 - Liquor Control Act; Location of retail store, microbrewery or farm winery; restrictions</v>
      </c>
      <c r="O1844" s="10" t="str">
        <f t="shared" si="3"/>
        <v>Liquor Control Act</v>
      </c>
    </row>
    <row r="1845">
      <c r="A1845" s="7" t="s">
        <v>3298</v>
      </c>
      <c r="B1845" s="8" t="s">
        <v>3299</v>
      </c>
      <c r="C1845" s="8" t="s">
        <v>18</v>
      </c>
      <c r="D1845" s="8" t="s">
        <v>18</v>
      </c>
      <c r="E1845" s="8" t="s">
        <v>19</v>
      </c>
      <c r="F1845" s="8" t="s">
        <v>20</v>
      </c>
      <c r="G1845" s="8" t="s">
        <v>21</v>
      </c>
      <c r="H1845" s="9"/>
      <c r="I1845" s="9"/>
      <c r="J1845" s="10">
        <f t="shared" ref="J1845:M1845" si="1065">ifs(OR($H1845="R",$I1845="N"),"N/A",OR(C1845="A",C1845="B",C1845="C",C1845="U"),3,TRUE,"FLAG")</f>
        <v>3</v>
      </c>
      <c r="K1845" s="10">
        <f t="shared" si="1065"/>
        <v>3</v>
      </c>
      <c r="L1845" s="10">
        <f t="shared" si="1065"/>
        <v>3</v>
      </c>
      <c r="M1845" s="10" t="str">
        <f t="shared" si="1065"/>
        <v>FLAG</v>
      </c>
      <c r="N1845" s="10" t="str">
        <f t="shared" si="2"/>
        <v>41-401 - Liquor Control Act; Manufacturers/distributors provide bonded warehouses</v>
      </c>
      <c r="O1845" s="10" t="str">
        <f t="shared" si="3"/>
        <v>Liquor Control Act</v>
      </c>
    </row>
    <row r="1846">
      <c r="A1846" s="7" t="s">
        <v>3300</v>
      </c>
      <c r="B1846" s="8" t="s">
        <v>3301</v>
      </c>
      <c r="C1846" s="8" t="s">
        <v>18</v>
      </c>
      <c r="D1846" s="8" t="s">
        <v>18</v>
      </c>
      <c r="E1846" s="8" t="s">
        <v>19</v>
      </c>
      <c r="F1846" s="8" t="s">
        <v>20</v>
      </c>
      <c r="G1846" s="8" t="s">
        <v>21</v>
      </c>
      <c r="H1846" s="9"/>
      <c r="I1846" s="9"/>
      <c r="J1846" s="10">
        <f t="shared" ref="J1846:M1846" si="1066">ifs(OR($H1846="R",$I1846="N"),"N/A",OR(C1846="A",C1846="B",C1846="C",C1846="U"),3,TRUE,"FLAG")</f>
        <v>3</v>
      </c>
      <c r="K1846" s="10">
        <f t="shared" si="1066"/>
        <v>3</v>
      </c>
      <c r="L1846" s="10">
        <f t="shared" si="1066"/>
        <v>3</v>
      </c>
      <c r="M1846" s="10" t="str">
        <f t="shared" si="1066"/>
        <v>FLAG</v>
      </c>
      <c r="N1846" s="10" t="str">
        <f t="shared" si="2"/>
        <v>41-721 - Liquor Control Act; No retail licenses to issue in cities where electors voted contrary</v>
      </c>
      <c r="O1846" s="10" t="str">
        <f t="shared" si="3"/>
        <v>Liquor Control Act</v>
      </c>
    </row>
    <row r="1847">
      <c r="A1847" s="7" t="s">
        <v>3302</v>
      </c>
      <c r="B1847" s="8" t="s">
        <v>3303</v>
      </c>
      <c r="C1847" s="8" t="s">
        <v>18</v>
      </c>
      <c r="D1847" s="8" t="s">
        <v>18</v>
      </c>
      <c r="E1847" s="8" t="s">
        <v>19</v>
      </c>
      <c r="F1847" s="8" t="s">
        <v>20</v>
      </c>
      <c r="G1847" s="8" t="s">
        <v>21</v>
      </c>
      <c r="H1847" s="9"/>
      <c r="I1847" s="9"/>
      <c r="J1847" s="10">
        <f t="shared" ref="J1847:M1847" si="1067">ifs(OR($H1847="R",$I1847="N"),"N/A",OR(C1847="A",C1847="B",C1847="C",C1847="U"),3,TRUE,"FLAG")</f>
        <v>3</v>
      </c>
      <c r="K1847" s="10">
        <f t="shared" si="1067"/>
        <v>3</v>
      </c>
      <c r="L1847" s="10">
        <f t="shared" si="1067"/>
        <v>3</v>
      </c>
      <c r="M1847" s="10" t="str">
        <f t="shared" si="1067"/>
        <v>FLAG</v>
      </c>
      <c r="N1847" s="10" t="str">
        <f t="shared" si="2"/>
        <v>41-701(f) - Liquor Control Act; No supplier, wholesaler, distributor, manufacturer or importer shall by oral or written contract or agreement, expressly or impliedly fix, maintain, coerce or control the resale price of alcoholic liquor, beer or cereal malt beverage to be resold by such wholesaler, distributor, manufacturer or importer</v>
      </c>
      <c r="O1847" s="10" t="str">
        <f t="shared" si="3"/>
        <v>Liquor Control Act</v>
      </c>
    </row>
    <row r="1848">
      <c r="A1848" s="7" t="s">
        <v>3304</v>
      </c>
      <c r="B1848" s="8" t="s">
        <v>3305</v>
      </c>
      <c r="C1848" s="8" t="s">
        <v>18</v>
      </c>
      <c r="D1848" s="8" t="s">
        <v>18</v>
      </c>
      <c r="E1848" s="8" t="s">
        <v>19</v>
      </c>
      <c r="F1848" s="8" t="s">
        <v>20</v>
      </c>
      <c r="G1848" s="8" t="s">
        <v>21</v>
      </c>
      <c r="H1848" s="9"/>
      <c r="I1848" s="9"/>
      <c r="J1848" s="10">
        <f t="shared" ref="J1848:M1848" si="1068">ifs(OR($H1848="R",$I1848="N"),"N/A",OR(C1848="A",C1848="B",C1848="C",C1848="U"),3,TRUE,"FLAG")</f>
        <v>3</v>
      </c>
      <c r="K1848" s="10">
        <f t="shared" si="1068"/>
        <v>3</v>
      </c>
      <c r="L1848" s="10">
        <f t="shared" si="1068"/>
        <v>3</v>
      </c>
      <c r="M1848" s="10" t="str">
        <f t="shared" si="1068"/>
        <v>FLAG</v>
      </c>
      <c r="N1848" s="10" t="str">
        <f t="shared" si="2"/>
        <v>41-720 - Liquor Control Act; Nonbeverage licensee forbidden to give or sell alcoholic liquors</v>
      </c>
      <c r="O1848" s="10" t="str">
        <f t="shared" si="3"/>
        <v>Liquor Control Act</v>
      </c>
    </row>
    <row r="1849">
      <c r="A1849" s="7" t="s">
        <v>3306</v>
      </c>
      <c r="B1849" s="8" t="s">
        <v>3307</v>
      </c>
      <c r="C1849" s="8" t="s">
        <v>18</v>
      </c>
      <c r="D1849" s="8" t="s">
        <v>18</v>
      </c>
      <c r="E1849" s="8" t="s">
        <v>19</v>
      </c>
      <c r="F1849" s="8" t="s">
        <v>20</v>
      </c>
      <c r="G1849" s="8" t="s">
        <v>21</v>
      </c>
      <c r="H1849" s="9"/>
      <c r="I1849" s="9"/>
      <c r="J1849" s="10">
        <f t="shared" ref="J1849:M1849" si="1069">ifs(OR($H1849="R",$I1849="N"),"N/A",OR(C1849="A",C1849="B",C1849="C",C1849="U"),3,TRUE,"FLAG")</f>
        <v>3</v>
      </c>
      <c r="K1849" s="10">
        <f t="shared" si="1069"/>
        <v>3</v>
      </c>
      <c r="L1849" s="10">
        <f t="shared" si="1069"/>
        <v>3</v>
      </c>
      <c r="M1849" s="10" t="str">
        <f t="shared" si="1069"/>
        <v>FLAG</v>
      </c>
      <c r="N1849" s="10" t="str">
        <f t="shared" si="2"/>
        <v>41-803(a) - Liquor Control Act; Open Saloon</v>
      </c>
      <c r="O1849" s="10" t="str">
        <f t="shared" si="3"/>
        <v>Liquor Control Act</v>
      </c>
    </row>
    <row r="1850">
      <c r="A1850" s="7" t="s">
        <v>3308</v>
      </c>
      <c r="B1850" s="8" t="s">
        <v>3309</v>
      </c>
      <c r="C1850" s="8" t="s">
        <v>18</v>
      </c>
      <c r="D1850" s="8" t="s">
        <v>18</v>
      </c>
      <c r="E1850" s="8" t="s">
        <v>19</v>
      </c>
      <c r="F1850" s="8" t="s">
        <v>20</v>
      </c>
      <c r="G1850" s="8" t="s">
        <v>21</v>
      </c>
      <c r="H1850" s="9"/>
      <c r="I1850" s="9"/>
      <c r="J1850" s="10">
        <f t="shared" ref="J1850:M1850" si="1070">ifs(OR($H1850="R",$I1850="N"),"N/A",OR(C1850="A",C1850="B",C1850="C",C1850="U"),3,TRUE,"FLAG")</f>
        <v>3</v>
      </c>
      <c r="K1850" s="10">
        <f t="shared" si="1070"/>
        <v>3</v>
      </c>
      <c r="L1850" s="10">
        <f t="shared" si="1070"/>
        <v>3</v>
      </c>
      <c r="M1850" s="10" t="str">
        <f t="shared" si="1070"/>
        <v>FLAG</v>
      </c>
      <c r="N1850" s="10" t="str">
        <f t="shared" si="2"/>
        <v>41-805(1) - Liquor Control Act; Places and properties operated or used in violation of act</v>
      </c>
      <c r="O1850" s="10" t="str">
        <f t="shared" si="3"/>
        <v>Liquor Control Act</v>
      </c>
    </row>
    <row r="1851">
      <c r="A1851" s="7" t="s">
        <v>3310</v>
      </c>
      <c r="B1851" s="8" t="s">
        <v>3311</v>
      </c>
      <c r="C1851" s="8" t="s">
        <v>18</v>
      </c>
      <c r="D1851" s="8" t="s">
        <v>18</v>
      </c>
      <c r="E1851" s="8" t="s">
        <v>19</v>
      </c>
      <c r="F1851" s="8" t="s">
        <v>20</v>
      </c>
      <c r="G1851" s="8" t="s">
        <v>21</v>
      </c>
      <c r="H1851" s="9"/>
      <c r="I1851" s="9"/>
      <c r="J1851" s="10">
        <f t="shared" ref="J1851:M1851" si="1071">ifs(OR($H1851="R",$I1851="N"),"N/A",OR(C1851="A",C1851="B",C1851="C",C1851="U"),3,TRUE,"FLAG")</f>
        <v>3</v>
      </c>
      <c r="K1851" s="10">
        <f t="shared" si="1071"/>
        <v>3</v>
      </c>
      <c r="L1851" s="10">
        <f t="shared" si="1071"/>
        <v>3</v>
      </c>
      <c r="M1851" s="10" t="str">
        <f t="shared" si="1071"/>
        <v>FLAG</v>
      </c>
      <c r="N1851" s="10" t="str">
        <f t="shared" si="2"/>
        <v>41-407(a)(2) - Liquor Control Act; Possession of alcoholic liquor, without mark indicating payment of liquor tax</v>
      </c>
      <c r="O1851" s="10" t="str">
        <f t="shared" si="3"/>
        <v>Liquor Control Act</v>
      </c>
    </row>
    <row r="1852">
      <c r="A1852" s="7" t="s">
        <v>3312</v>
      </c>
      <c r="B1852" s="8" t="s">
        <v>3313</v>
      </c>
      <c r="C1852" s="8" t="s">
        <v>18</v>
      </c>
      <c r="D1852" s="8" t="s">
        <v>18</v>
      </c>
      <c r="E1852" s="8" t="s">
        <v>19</v>
      </c>
      <c r="F1852" s="8" t="s">
        <v>20</v>
      </c>
      <c r="G1852" s="8" t="s">
        <v>21</v>
      </c>
      <c r="H1852" s="9"/>
      <c r="I1852" s="9"/>
      <c r="J1852" s="10">
        <f t="shared" ref="J1852:M1852" si="1072">ifs(OR($H1852="R",$I1852="N"),"N/A",OR(C1852="A",C1852="B",C1852="C",C1852="U"),3,TRUE,"FLAG")</f>
        <v>3</v>
      </c>
      <c r="K1852" s="10">
        <f t="shared" si="1072"/>
        <v>3</v>
      </c>
      <c r="L1852" s="10">
        <f t="shared" si="1072"/>
        <v>3</v>
      </c>
      <c r="M1852" s="10" t="str">
        <f t="shared" si="1072"/>
        <v>FLAG</v>
      </c>
      <c r="N1852" s="10" t="str">
        <f t="shared" si="2"/>
        <v>41-508 - Liquor Control Act; Possession of untaxed liquor by retailer</v>
      </c>
      <c r="O1852" s="10" t="str">
        <f t="shared" si="3"/>
        <v>Liquor Control Act</v>
      </c>
    </row>
    <row r="1853">
      <c r="A1853" s="7" t="s">
        <v>3314</v>
      </c>
      <c r="B1853" s="8" t="s">
        <v>3315</v>
      </c>
      <c r="C1853" s="8" t="s">
        <v>19</v>
      </c>
      <c r="D1853" s="8" t="s">
        <v>19</v>
      </c>
      <c r="E1853" s="8" t="s">
        <v>19</v>
      </c>
      <c r="F1853" s="8" t="s">
        <v>20</v>
      </c>
      <c r="G1853" s="8" t="s">
        <v>21</v>
      </c>
      <c r="H1853" s="9"/>
      <c r="I1853" s="9"/>
      <c r="J1853" s="10">
        <f t="shared" ref="J1853:M1853" si="1073">ifs(OR($H1853="R",$I1853="N"),"N/A",OR(C1853="A",C1853="B",C1853="C",C1853="U"),3,TRUE,"FLAG")</f>
        <v>3</v>
      </c>
      <c r="K1853" s="10">
        <f t="shared" si="1073"/>
        <v>3</v>
      </c>
      <c r="L1853" s="10">
        <f t="shared" si="1073"/>
        <v>3</v>
      </c>
      <c r="M1853" s="10" t="str">
        <f t="shared" si="1073"/>
        <v>FLAG</v>
      </c>
      <c r="N1853" s="10" t="str">
        <f t="shared" si="2"/>
        <v>41-727(a) - Liquor Control Act; Purchase/consumption of alcoholic beverage by minor; violation by 1 18-20 yrs of age</v>
      </c>
      <c r="O1853" s="10" t="str">
        <f t="shared" si="3"/>
        <v>Liquor Control Act</v>
      </c>
    </row>
    <row r="1854">
      <c r="A1854" s="7" t="s">
        <v>3316</v>
      </c>
      <c r="B1854" s="8" t="s">
        <v>3317</v>
      </c>
      <c r="C1854" s="8" t="s">
        <v>18</v>
      </c>
      <c r="D1854" s="8" t="s">
        <v>18</v>
      </c>
      <c r="E1854" s="8" t="s">
        <v>19</v>
      </c>
      <c r="F1854" s="8" t="s">
        <v>20</v>
      </c>
      <c r="G1854" s="8" t="s">
        <v>21</v>
      </c>
      <c r="H1854" s="9"/>
      <c r="I1854" s="9"/>
      <c r="J1854" s="10">
        <f t="shared" ref="J1854:M1854" si="1074">ifs(OR($H1854="R",$I1854="N"),"N/A",OR(C1854="A",C1854="B",C1854="C",C1854="U"),3,TRUE,"FLAG")</f>
        <v>3</v>
      </c>
      <c r="K1854" s="10">
        <f t="shared" si="1074"/>
        <v>3</v>
      </c>
      <c r="L1854" s="10">
        <f t="shared" si="1074"/>
        <v>3</v>
      </c>
      <c r="M1854" s="10" t="str">
        <f t="shared" si="1074"/>
        <v>FLAG</v>
      </c>
      <c r="N1854" s="10" t="str">
        <f t="shared" si="2"/>
        <v>41-729(a) - Liquor Control Act; Retail sales at less than cost</v>
      </c>
      <c r="O1854" s="10" t="str">
        <f t="shared" si="3"/>
        <v>Liquor Control Act</v>
      </c>
    </row>
    <row r="1855">
      <c r="A1855" s="7" t="s">
        <v>3318</v>
      </c>
      <c r="B1855" s="8" t="s">
        <v>3319</v>
      </c>
      <c r="C1855" s="8" t="s">
        <v>18</v>
      </c>
      <c r="D1855" s="8" t="s">
        <v>18</v>
      </c>
      <c r="E1855" s="8" t="s">
        <v>19</v>
      </c>
      <c r="F1855" s="8" t="s">
        <v>20</v>
      </c>
      <c r="G1855" s="8" t="s">
        <v>21</v>
      </c>
      <c r="H1855" s="9"/>
      <c r="I1855" s="9"/>
      <c r="J1855" s="10">
        <f t="shared" ref="J1855:M1855" si="1075">ifs(OR($H1855="R",$I1855="N"),"N/A",OR(C1855="A",C1855="B",C1855="C",C1855="U"),3,TRUE,"FLAG")</f>
        <v>3</v>
      </c>
      <c r="K1855" s="10">
        <f t="shared" si="1075"/>
        <v>3</v>
      </c>
      <c r="L1855" s="10">
        <f t="shared" si="1075"/>
        <v>3</v>
      </c>
      <c r="M1855" s="10" t="str">
        <f t="shared" si="1075"/>
        <v>FLAG</v>
      </c>
      <c r="N1855" s="10" t="str">
        <f t="shared" si="2"/>
        <v>41-708 - Liquor Control Act; Retailer must obtain from licensed distributor</v>
      </c>
      <c r="O1855" s="10" t="str">
        <f t="shared" si="3"/>
        <v>Liquor Control Act</v>
      </c>
    </row>
    <row r="1856">
      <c r="A1856" s="7" t="s">
        <v>3320</v>
      </c>
      <c r="B1856" s="8" t="s">
        <v>3321</v>
      </c>
      <c r="C1856" s="8" t="s">
        <v>18</v>
      </c>
      <c r="D1856" s="8" t="s">
        <v>18</v>
      </c>
      <c r="E1856" s="8" t="s">
        <v>19</v>
      </c>
      <c r="F1856" s="8" t="s">
        <v>20</v>
      </c>
      <c r="G1856" s="8" t="s">
        <v>21</v>
      </c>
      <c r="H1856" s="9"/>
      <c r="I1856" s="9"/>
      <c r="J1856" s="10">
        <f t="shared" ref="J1856:M1856" si="1076">ifs(OR($H1856="R",$I1856="N"),"N/A",OR(C1856="A",C1856="B",C1856="C",C1856="U"),3,TRUE,"FLAG")</f>
        <v>3</v>
      </c>
      <c r="K1856" s="10">
        <f t="shared" si="1076"/>
        <v>3</v>
      </c>
      <c r="L1856" s="10">
        <f t="shared" si="1076"/>
        <v>3</v>
      </c>
      <c r="M1856" s="10" t="str">
        <f t="shared" si="1076"/>
        <v>FLAG</v>
      </c>
      <c r="N1856" s="10" t="str">
        <f t="shared" si="2"/>
        <v>41-713 - Liquor Control Act; Retailers; mixing drinks on premises and employment of certain persons prohibited</v>
      </c>
      <c r="O1856" s="10" t="str">
        <f t="shared" si="3"/>
        <v>Liquor Control Act</v>
      </c>
    </row>
    <row r="1857">
      <c r="A1857" s="7" t="s">
        <v>3322</v>
      </c>
      <c r="B1857" s="8" t="s">
        <v>3323</v>
      </c>
      <c r="C1857" s="8" t="s">
        <v>18</v>
      </c>
      <c r="D1857" s="8" t="s">
        <v>18</v>
      </c>
      <c r="E1857" s="8" t="s">
        <v>19</v>
      </c>
      <c r="F1857" s="8" t="s">
        <v>20</v>
      </c>
      <c r="G1857" s="8" t="s">
        <v>21</v>
      </c>
      <c r="H1857" s="9"/>
      <c r="I1857" s="9"/>
      <c r="J1857" s="10">
        <f t="shared" ref="J1857:M1857" si="1077">ifs(OR($H1857="R",$I1857="N"),"N/A",OR(C1857="A",C1857="B",C1857="C",C1857="U"),3,TRUE,"FLAG")</f>
        <v>3</v>
      </c>
      <c r="K1857" s="10">
        <f t="shared" si="1077"/>
        <v>3</v>
      </c>
      <c r="L1857" s="10">
        <f t="shared" si="1077"/>
        <v>3</v>
      </c>
      <c r="M1857" s="10" t="str">
        <f t="shared" si="1077"/>
        <v>FLAG</v>
      </c>
      <c r="N1857" s="10" t="str">
        <f t="shared" si="2"/>
        <v>41-711 - Liquor Control Act; Sale at retail forbidden on certain premises</v>
      </c>
      <c r="O1857" s="10" t="str">
        <f t="shared" si="3"/>
        <v>Liquor Control Act</v>
      </c>
    </row>
    <row r="1858">
      <c r="A1858" s="7" t="s">
        <v>3324</v>
      </c>
      <c r="B1858" s="8" t="s">
        <v>3325</v>
      </c>
      <c r="C1858" s="8" t="s">
        <v>18</v>
      </c>
      <c r="D1858" s="8" t="s">
        <v>18</v>
      </c>
      <c r="E1858" s="8" t="s">
        <v>19</v>
      </c>
      <c r="F1858" s="8" t="s">
        <v>20</v>
      </c>
      <c r="G1858" s="8" t="s">
        <v>21</v>
      </c>
      <c r="H1858" s="9"/>
      <c r="I1858" s="9"/>
      <c r="J1858" s="10">
        <f t="shared" ref="J1858:M1858" si="1078">ifs(OR($H1858="R",$I1858="N"),"N/A",OR(C1858="A",C1858="B",C1858="C",C1858="U"),3,TRUE,"FLAG")</f>
        <v>3</v>
      </c>
      <c r="K1858" s="10">
        <f t="shared" si="1078"/>
        <v>3</v>
      </c>
      <c r="L1858" s="10">
        <f t="shared" si="1078"/>
        <v>3</v>
      </c>
      <c r="M1858" s="10" t="str">
        <f t="shared" si="1078"/>
        <v>FLAG</v>
      </c>
      <c r="N1858" s="10" t="str">
        <f t="shared" si="2"/>
        <v>41-728(a) - Liquor Control Act; Sale by distributor of alcoholic liquor or CMB to a club, drinking establishment or caterer on credit prohibited; purchase of alcoholic liquor or cereal malt beverage from a distributor by a club, drinking establishment or caterer on credit prohibited</v>
      </c>
      <c r="O1858" s="10" t="str">
        <f t="shared" si="3"/>
        <v>Liquor Control Act</v>
      </c>
    </row>
    <row r="1859">
      <c r="A1859" s="7" t="s">
        <v>3326</v>
      </c>
      <c r="B1859" s="8" t="s">
        <v>3327</v>
      </c>
      <c r="C1859" s="8" t="s">
        <v>18</v>
      </c>
      <c r="D1859" s="8" t="s">
        <v>18</v>
      </c>
      <c r="E1859" s="8" t="s">
        <v>19</v>
      </c>
      <c r="F1859" s="8" t="s">
        <v>20</v>
      </c>
      <c r="G1859" s="8" t="s">
        <v>21</v>
      </c>
      <c r="H1859" s="9"/>
      <c r="I1859" s="9"/>
      <c r="J1859" s="10">
        <f t="shared" ref="J1859:M1859" si="1079">ifs(OR($H1859="R",$I1859="N"),"N/A",OR(C1859="A",C1859="B",C1859="C",C1859="U"),3,TRUE,"FLAG")</f>
        <v>3</v>
      </c>
      <c r="K1859" s="10">
        <f t="shared" si="1079"/>
        <v>3</v>
      </c>
      <c r="L1859" s="10">
        <f t="shared" si="1079"/>
        <v>3</v>
      </c>
      <c r="M1859" s="10" t="str">
        <f t="shared" si="1079"/>
        <v>FLAG</v>
      </c>
      <c r="N1859" s="10" t="str">
        <f t="shared" si="2"/>
        <v>41-712 - Liquor Control Act; Sale of liquor forbidden on certain days</v>
      </c>
      <c r="O1859" s="10" t="str">
        <f t="shared" si="3"/>
        <v>Liquor Control Act</v>
      </c>
    </row>
    <row r="1860">
      <c r="A1860" s="7" t="s">
        <v>3328</v>
      </c>
      <c r="B1860" s="8" t="s">
        <v>3329</v>
      </c>
      <c r="C1860" s="8" t="s">
        <v>18</v>
      </c>
      <c r="D1860" s="8" t="s">
        <v>18</v>
      </c>
      <c r="E1860" s="8" t="s">
        <v>19</v>
      </c>
      <c r="F1860" s="8" t="s">
        <v>20</v>
      </c>
      <c r="G1860" s="8" t="s">
        <v>21</v>
      </c>
      <c r="H1860" s="9"/>
      <c r="I1860" s="9"/>
      <c r="J1860" s="10">
        <f t="shared" ref="J1860:M1860" si="1080">ifs(OR($H1860="R",$I1860="N"),"N/A",OR(C1860="A",C1860="B",C1860="C",C1860="U"),3,TRUE,"FLAG")</f>
        <v>3</v>
      </c>
      <c r="K1860" s="10">
        <f t="shared" si="1080"/>
        <v>3</v>
      </c>
      <c r="L1860" s="10">
        <f t="shared" si="1080"/>
        <v>3</v>
      </c>
      <c r="M1860" s="10" t="str">
        <f t="shared" si="1080"/>
        <v>FLAG</v>
      </c>
      <c r="N1860" s="10" t="str">
        <f t="shared" si="2"/>
        <v>41-715(a) - Liquor Control Act; Sale of liquor to incapacitated or intoxicated person</v>
      </c>
      <c r="O1860" s="10" t="str">
        <f t="shared" si="3"/>
        <v>Liquor Control Act</v>
      </c>
    </row>
    <row r="1861">
      <c r="A1861" s="7" t="s">
        <v>3330</v>
      </c>
      <c r="B1861" s="8" t="s">
        <v>3331</v>
      </c>
      <c r="C1861" s="8" t="s">
        <v>18</v>
      </c>
      <c r="D1861" s="8" t="s">
        <v>18</v>
      </c>
      <c r="E1861" s="8" t="s">
        <v>19</v>
      </c>
      <c r="F1861" s="8" t="s">
        <v>20</v>
      </c>
      <c r="G1861" s="8" t="s">
        <v>21</v>
      </c>
      <c r="H1861" s="9"/>
      <c r="I1861" s="9"/>
      <c r="J1861" s="10">
        <f t="shared" ref="J1861:M1861" si="1081">ifs(OR($H1861="R",$I1861="N"),"N/A",OR(C1861="A",C1861="B",C1861="C",C1861="U"),3,TRUE,"FLAG")</f>
        <v>3</v>
      </c>
      <c r="K1861" s="10">
        <f t="shared" si="1081"/>
        <v>3</v>
      </c>
      <c r="L1861" s="10">
        <f t="shared" si="1081"/>
        <v>3</v>
      </c>
      <c r="M1861" s="10" t="str">
        <f t="shared" si="1081"/>
        <v>FLAG</v>
      </c>
      <c r="N1861" s="10" t="str">
        <f t="shared" si="2"/>
        <v>41-718 - Liquor Control Act; Sale only in original package; refilling prohibited</v>
      </c>
      <c r="O1861" s="10" t="str">
        <f t="shared" si="3"/>
        <v>Liquor Control Act</v>
      </c>
    </row>
    <row r="1862">
      <c r="A1862" s="7" t="s">
        <v>3332</v>
      </c>
      <c r="B1862" s="8" t="s">
        <v>3333</v>
      </c>
      <c r="C1862" s="8" t="s">
        <v>18</v>
      </c>
      <c r="D1862" s="8" t="s">
        <v>18</v>
      </c>
      <c r="E1862" s="8" t="s">
        <v>19</v>
      </c>
      <c r="F1862" s="8" t="s">
        <v>20</v>
      </c>
      <c r="G1862" s="8" t="s">
        <v>21</v>
      </c>
      <c r="H1862" s="9"/>
      <c r="I1862" s="9"/>
      <c r="J1862" s="10">
        <f t="shared" ref="J1862:M1862" si="1082">ifs(OR($H1862="R",$I1862="N"),"N/A",OR(C1862="A",C1862="B",C1862="C",C1862="U"),3,TRUE,"FLAG")</f>
        <v>3</v>
      </c>
      <c r="K1862" s="10">
        <f t="shared" si="1082"/>
        <v>3</v>
      </c>
      <c r="L1862" s="10">
        <f t="shared" si="1082"/>
        <v>3</v>
      </c>
      <c r="M1862" s="10" t="str">
        <f t="shared" si="1082"/>
        <v>FLAG</v>
      </c>
      <c r="N1862" s="10" t="str">
        <f t="shared" si="2"/>
        <v>41-728(b) - Liquor Control Act; Sales of alcoholic liquor or CMB by a distributor to a club, drinking establishment, caterer or retailer licensed under the Kansas liquor control act or under K.S.A. 41-2702 shall be separate from sales to any other club, drinking establishment, caterer or retailer even if the licensee is the same</v>
      </c>
      <c r="O1862" s="10" t="str">
        <f t="shared" si="3"/>
        <v>Liquor Control Act</v>
      </c>
    </row>
    <row r="1863">
      <c r="A1863" s="7" t="s">
        <v>3334</v>
      </c>
      <c r="B1863" s="8" t="s">
        <v>3335</v>
      </c>
      <c r="C1863" s="8" t="s">
        <v>18</v>
      </c>
      <c r="D1863" s="8" t="s">
        <v>18</v>
      </c>
      <c r="E1863" s="8" t="s">
        <v>19</v>
      </c>
      <c r="F1863" s="8" t="s">
        <v>20</v>
      </c>
      <c r="G1863" s="8" t="s">
        <v>21</v>
      </c>
      <c r="H1863" s="9"/>
      <c r="I1863" s="9"/>
      <c r="J1863" s="10">
        <f t="shared" ref="J1863:M1863" si="1083">ifs(OR($H1863="R",$I1863="N"),"N/A",OR(C1863="A",C1863="B",C1863="C",C1863="U"),3,TRUE,"FLAG")</f>
        <v>3</v>
      </c>
      <c r="K1863" s="10">
        <f t="shared" si="1083"/>
        <v>3</v>
      </c>
      <c r="L1863" s="10">
        <f t="shared" si="1083"/>
        <v>3</v>
      </c>
      <c r="M1863" s="10" t="str">
        <f t="shared" si="1083"/>
        <v>FLAG</v>
      </c>
      <c r="N1863" s="10" t="str">
        <f t="shared" si="2"/>
        <v>41-719(b) - Liquor Control Act; Unauthorized drinking / consuming alcoholic liquor on private property</v>
      </c>
      <c r="O1863" s="10" t="str">
        <f t="shared" si="3"/>
        <v>Liquor Control Act</v>
      </c>
    </row>
    <row r="1864">
      <c r="A1864" s="7" t="s">
        <v>3336</v>
      </c>
      <c r="B1864" s="8" t="s">
        <v>3337</v>
      </c>
      <c r="C1864" s="8" t="s">
        <v>18</v>
      </c>
      <c r="D1864" s="8" t="s">
        <v>18</v>
      </c>
      <c r="E1864" s="8" t="s">
        <v>19</v>
      </c>
      <c r="F1864" s="8" t="s">
        <v>20</v>
      </c>
      <c r="G1864" s="8" t="s">
        <v>21</v>
      </c>
      <c r="H1864" s="9"/>
      <c r="I1864" s="9"/>
      <c r="J1864" s="10">
        <f t="shared" ref="J1864:M1864" si="1084">ifs(OR($H1864="R",$I1864="N"),"N/A",OR(C1864="A",C1864="B",C1864="C",C1864="U"),3,TRUE,"FLAG")</f>
        <v>3</v>
      </c>
      <c r="K1864" s="10">
        <f t="shared" si="1084"/>
        <v>3</v>
      </c>
      <c r="L1864" s="10">
        <f t="shared" si="1084"/>
        <v>3</v>
      </c>
      <c r="M1864" s="10" t="str">
        <f t="shared" si="1084"/>
        <v>FLAG</v>
      </c>
      <c r="N1864" s="10" t="str">
        <f t="shared" si="2"/>
        <v>41-719(c) - Liquor Control Act; Unauthorized drinking / consuming alcoholic liquor on public property</v>
      </c>
      <c r="O1864" s="10" t="str">
        <f t="shared" si="3"/>
        <v>Liquor Control Act</v>
      </c>
    </row>
    <row r="1865">
      <c r="A1865" s="7" t="s">
        <v>3338</v>
      </c>
      <c r="B1865" s="8" t="s">
        <v>3339</v>
      </c>
      <c r="C1865" s="8" t="s">
        <v>18</v>
      </c>
      <c r="D1865" s="8" t="s">
        <v>18</v>
      </c>
      <c r="E1865" s="8" t="s">
        <v>19</v>
      </c>
      <c r="F1865" s="8" t="s">
        <v>20</v>
      </c>
      <c r="G1865" s="8" t="s">
        <v>21</v>
      </c>
      <c r="H1865" s="9"/>
      <c r="I1865" s="9"/>
      <c r="J1865" s="10">
        <f t="shared" ref="J1865:M1865" si="1085">ifs(OR($H1865="R",$I1865="N"),"N/A",OR(C1865="A",C1865="B",C1865="C",C1865="U"),3,TRUE,"FLAG")</f>
        <v>3</v>
      </c>
      <c r="K1865" s="10">
        <f t="shared" si="1085"/>
        <v>3</v>
      </c>
      <c r="L1865" s="10">
        <f t="shared" si="1085"/>
        <v>3</v>
      </c>
      <c r="M1865" s="10" t="str">
        <f t="shared" si="1085"/>
        <v>FLAG</v>
      </c>
      <c r="N1865" s="10" t="str">
        <f t="shared" si="2"/>
        <v>41-104 - Liquor Control Act; Unauthorized manufacturing, bottling, blending, selling, bartering, transporting, delivering, furnishing or possessing any alcoholic liquor for beverage purposes</v>
      </c>
      <c r="O1865" s="10" t="str">
        <f t="shared" si="3"/>
        <v>Liquor Control Act</v>
      </c>
    </row>
    <row r="1866">
      <c r="A1866" s="7" t="s">
        <v>3340</v>
      </c>
      <c r="B1866" s="8" t="s">
        <v>3341</v>
      </c>
      <c r="C1866" s="8" t="s">
        <v>18</v>
      </c>
      <c r="D1866" s="8" t="s">
        <v>18</v>
      </c>
      <c r="E1866" s="8" t="s">
        <v>19</v>
      </c>
      <c r="F1866" s="8" t="s">
        <v>20</v>
      </c>
      <c r="G1866" s="8" t="s">
        <v>21</v>
      </c>
      <c r="H1866" s="9"/>
      <c r="I1866" s="9"/>
      <c r="J1866" s="10">
        <f t="shared" ref="J1866:M1866" si="1086">ifs(OR($H1866="R",$I1866="N"),"N/A",OR(C1866="A",C1866="B",C1866="C",C1866="U"),3,TRUE,"FLAG")</f>
        <v>3</v>
      </c>
      <c r="K1866" s="10">
        <f t="shared" si="1086"/>
        <v>3</v>
      </c>
      <c r="L1866" s="10">
        <f t="shared" si="1086"/>
        <v>3</v>
      </c>
      <c r="M1866" s="10" t="str">
        <f t="shared" si="1086"/>
        <v>FLAG</v>
      </c>
      <c r="N1866" s="10" t="str">
        <f t="shared" si="2"/>
        <v>41-701(e) - Liquor Control Act; Unauthorized sale or attempted sale of alcoholic liquor or CMB by manufacturer of alcoholic liquor or cereal malt beverage</v>
      </c>
      <c r="O1866" s="10" t="str">
        <f t="shared" si="3"/>
        <v>Liquor Control Act</v>
      </c>
    </row>
    <row r="1867">
      <c r="A1867" s="7" t="s">
        <v>3342</v>
      </c>
      <c r="B1867" s="8" t="s">
        <v>3343</v>
      </c>
      <c r="C1867" s="8" t="s">
        <v>18</v>
      </c>
      <c r="D1867" s="8" t="s">
        <v>18</v>
      </c>
      <c r="E1867" s="8" t="s">
        <v>19</v>
      </c>
      <c r="F1867" s="8" t="s">
        <v>20</v>
      </c>
      <c r="G1867" s="8" t="s">
        <v>21</v>
      </c>
      <c r="H1867" s="9"/>
      <c r="I1867" s="9"/>
      <c r="J1867" s="10">
        <f t="shared" ref="J1867:M1867" si="1087">ifs(OR($H1867="R",$I1867="N"),"N/A",OR(C1867="A",C1867="B",C1867="C",C1867="U"),3,TRUE,"FLAG")</f>
        <v>3</v>
      </c>
      <c r="K1867" s="10">
        <f t="shared" si="1087"/>
        <v>3</v>
      </c>
      <c r="L1867" s="10">
        <f t="shared" si="1087"/>
        <v>3</v>
      </c>
      <c r="M1867" s="10" t="str">
        <f t="shared" si="1087"/>
        <v>FLAG</v>
      </c>
      <c r="N1867" s="10" t="str">
        <f t="shared" si="2"/>
        <v>41-701(c) - Liquor Control Act; Unauthorized sale or attempted sale of beer or CMB beverage by distributor</v>
      </c>
      <c r="O1867" s="10" t="str">
        <f t="shared" si="3"/>
        <v>Liquor Control Act</v>
      </c>
    </row>
    <row r="1868">
      <c r="A1868" s="7" t="s">
        <v>3344</v>
      </c>
      <c r="B1868" s="8" t="s">
        <v>3345</v>
      </c>
      <c r="C1868" s="8" t="s">
        <v>18</v>
      </c>
      <c r="D1868" s="8" t="s">
        <v>18</v>
      </c>
      <c r="E1868" s="8" t="s">
        <v>19</v>
      </c>
      <c r="F1868" s="8" t="s">
        <v>20</v>
      </c>
      <c r="G1868" s="8" t="s">
        <v>21</v>
      </c>
      <c r="H1868" s="9"/>
      <c r="I1868" s="9"/>
      <c r="J1868" s="10">
        <f t="shared" ref="J1868:M1868" si="1088">ifs(OR($H1868="R",$I1868="N"),"N/A",OR(C1868="A",C1868="B",C1868="C",C1868="U"),3,TRUE,"FLAG")</f>
        <v>3</v>
      </c>
      <c r="K1868" s="10">
        <f t="shared" si="1088"/>
        <v>3</v>
      </c>
      <c r="L1868" s="10">
        <f t="shared" si="1088"/>
        <v>3</v>
      </c>
      <c r="M1868" s="10" t="str">
        <f t="shared" si="1088"/>
        <v>FLAG</v>
      </c>
      <c r="N1868" s="10" t="str">
        <f t="shared" si="2"/>
        <v>41-701(a) - Liquor Control Act; Unauthorized sale or attempted sale of spirits by distributor</v>
      </c>
      <c r="O1868" s="10" t="str">
        <f t="shared" si="3"/>
        <v>Liquor Control Act</v>
      </c>
    </row>
    <row r="1869">
      <c r="A1869" s="7" t="s">
        <v>3346</v>
      </c>
      <c r="B1869" s="8" t="s">
        <v>3347</v>
      </c>
      <c r="C1869" s="8" t="s">
        <v>18</v>
      </c>
      <c r="D1869" s="8" t="s">
        <v>18</v>
      </c>
      <c r="E1869" s="8" t="s">
        <v>19</v>
      </c>
      <c r="F1869" s="8" t="s">
        <v>20</v>
      </c>
      <c r="G1869" s="8" t="s">
        <v>21</v>
      </c>
      <c r="H1869" s="9"/>
      <c r="I1869" s="9"/>
      <c r="J1869" s="10">
        <f t="shared" ref="J1869:M1869" si="1089">ifs(OR($H1869="R",$I1869="N"),"N/A",OR(C1869="A",C1869="B",C1869="C",C1869="U"),3,TRUE,"FLAG")</f>
        <v>3</v>
      </c>
      <c r="K1869" s="10">
        <f t="shared" si="1089"/>
        <v>3</v>
      </c>
      <c r="L1869" s="10">
        <f t="shared" si="1089"/>
        <v>3</v>
      </c>
      <c r="M1869" s="10" t="str">
        <f t="shared" si="1089"/>
        <v>FLAG</v>
      </c>
      <c r="N1869" s="10" t="str">
        <f t="shared" si="2"/>
        <v>41-701(b) - Liquor Control Act; Unauthorized sale or attempted sale of wine by distributor</v>
      </c>
      <c r="O1869" s="10" t="str">
        <f t="shared" si="3"/>
        <v>Liquor Control Act</v>
      </c>
    </row>
    <row r="1870">
      <c r="A1870" s="7" t="s">
        <v>3348</v>
      </c>
      <c r="B1870" s="8" t="s">
        <v>3349</v>
      </c>
      <c r="C1870" s="8" t="s">
        <v>18</v>
      </c>
      <c r="D1870" s="8" t="s">
        <v>18</v>
      </c>
      <c r="E1870" s="8" t="s">
        <v>19</v>
      </c>
      <c r="F1870" s="8" t="s">
        <v>20</v>
      </c>
      <c r="G1870" s="8" t="s">
        <v>21</v>
      </c>
      <c r="H1870" s="9"/>
      <c r="I1870" s="9"/>
      <c r="J1870" s="10">
        <f t="shared" ref="J1870:M1870" si="1090">ifs(OR($H1870="R",$I1870="N"),"N/A",OR(C1870="A",C1870="B",C1870="C",C1870="U"),3,TRUE,"FLAG")</f>
        <v>3</v>
      </c>
      <c r="K1870" s="10">
        <f t="shared" si="1090"/>
        <v>3</v>
      </c>
      <c r="L1870" s="10">
        <f t="shared" si="1090"/>
        <v>3</v>
      </c>
      <c r="M1870" s="10" t="str">
        <f t="shared" si="1090"/>
        <v>FLAG</v>
      </c>
      <c r="N1870" s="10" t="str">
        <f t="shared" si="2"/>
        <v>41-709 - Liquor Control Act; Unauthorized sale or delivery by manufacturer or distributor</v>
      </c>
      <c r="O1870" s="10" t="str">
        <f t="shared" si="3"/>
        <v>Liquor Control Act</v>
      </c>
    </row>
    <row r="1871">
      <c r="A1871" s="7" t="s">
        <v>3350</v>
      </c>
      <c r="B1871" s="8" t="s">
        <v>3351</v>
      </c>
      <c r="C1871" s="8" t="s">
        <v>18</v>
      </c>
      <c r="D1871" s="8" t="s">
        <v>18</v>
      </c>
      <c r="E1871" s="8" t="s">
        <v>19</v>
      </c>
      <c r="F1871" s="8" t="s">
        <v>20</v>
      </c>
      <c r="G1871" s="8" t="s">
        <v>21</v>
      </c>
      <c r="H1871" s="9"/>
      <c r="I1871" s="9"/>
      <c r="J1871" s="10">
        <f t="shared" ref="J1871:M1871" si="1091">ifs(OR($H1871="R",$I1871="N"),"N/A",OR(C1871="A",C1871="B",C1871="C",C1871="U"),3,TRUE,"FLAG")</f>
        <v>3</v>
      </c>
      <c r="K1871" s="10">
        <f t="shared" si="1091"/>
        <v>3</v>
      </c>
      <c r="L1871" s="10">
        <f t="shared" si="1091"/>
        <v>3</v>
      </c>
      <c r="M1871" s="10" t="str">
        <f t="shared" si="1091"/>
        <v>FLAG</v>
      </c>
      <c r="N1871" s="10" t="str">
        <f t="shared" si="2"/>
        <v>41-724 - Liquor Control Act; Unauthorized transportation of liquor into state forbidden</v>
      </c>
      <c r="O1871" s="10" t="str">
        <f t="shared" si="3"/>
        <v>Liquor Control Act</v>
      </c>
    </row>
    <row r="1872">
      <c r="A1872" s="7" t="s">
        <v>3352</v>
      </c>
      <c r="B1872" s="8" t="s">
        <v>3353</v>
      </c>
      <c r="C1872" s="8" t="s">
        <v>18</v>
      </c>
      <c r="D1872" s="8" t="s">
        <v>18</v>
      </c>
      <c r="E1872" s="8" t="s">
        <v>19</v>
      </c>
      <c r="F1872" s="8" t="s">
        <v>20</v>
      </c>
      <c r="G1872" s="8" t="s">
        <v>21</v>
      </c>
      <c r="H1872" s="9"/>
      <c r="I1872" s="9"/>
      <c r="J1872" s="10">
        <f t="shared" ref="J1872:M1872" si="1092">ifs(OR($H1872="R",$I1872="N"),"N/A",OR(C1872="A",C1872="B",C1872="C",C1872="U"),3,TRUE,"FLAG")</f>
        <v>3</v>
      </c>
      <c r="K1872" s="10">
        <f t="shared" si="1092"/>
        <v>3</v>
      </c>
      <c r="L1872" s="10">
        <f t="shared" si="1092"/>
        <v>3</v>
      </c>
      <c r="M1872" s="10" t="str">
        <f t="shared" si="1092"/>
        <v>FLAG</v>
      </c>
      <c r="N1872" s="10" t="str">
        <f t="shared" si="2"/>
        <v>41-901(a) - Liquor Control Act; Violations of act by persons required to be licensed</v>
      </c>
      <c r="O1872" s="10" t="str">
        <f t="shared" si="3"/>
        <v>Liquor Control Act</v>
      </c>
    </row>
    <row r="1873">
      <c r="A1873" s="7" t="s">
        <v>3354</v>
      </c>
      <c r="B1873" s="8" t="s">
        <v>3355</v>
      </c>
      <c r="C1873" s="8" t="s">
        <v>19</v>
      </c>
      <c r="D1873" s="8" t="s">
        <v>19</v>
      </c>
      <c r="E1873" s="8" t="s">
        <v>19</v>
      </c>
      <c r="F1873" s="8" t="s">
        <v>20</v>
      </c>
      <c r="G1873" s="8" t="s">
        <v>21</v>
      </c>
      <c r="H1873" s="9"/>
      <c r="I1873" s="9"/>
      <c r="J1873" s="10">
        <f t="shared" ref="J1873:M1873" si="1093">ifs(OR($H1873="R",$I1873="N"),"N/A",OR(C1873="A",C1873="B",C1873="C",C1873="U"),3,TRUE,"FLAG")</f>
        <v>3</v>
      </c>
      <c r="K1873" s="10">
        <f t="shared" si="1093"/>
        <v>3</v>
      </c>
      <c r="L1873" s="10">
        <f t="shared" si="1093"/>
        <v>3</v>
      </c>
      <c r="M1873" s="10" t="str">
        <f t="shared" si="1093"/>
        <v>FLAG</v>
      </c>
      <c r="N1873" s="10" t="str">
        <f t="shared" si="2"/>
        <v>79-339 - Listing Property for Taxation; Failure of Owner, lessee or operator of dock to notify assessor of watercraft on dock and owners of such</v>
      </c>
      <c r="O1873" s="10" t="str">
        <f t="shared" si="3"/>
        <v>Listing Property for Taxation</v>
      </c>
    </row>
    <row r="1874">
      <c r="A1874" s="7" t="s">
        <v>3356</v>
      </c>
      <c r="B1874" s="8" t="s">
        <v>3357</v>
      </c>
      <c r="C1874" s="8" t="s">
        <v>19</v>
      </c>
      <c r="D1874" s="8" t="s">
        <v>19</v>
      </c>
      <c r="E1874" s="8" t="s">
        <v>19</v>
      </c>
      <c r="F1874" s="8" t="s">
        <v>20</v>
      </c>
      <c r="G1874" s="8" t="s">
        <v>21</v>
      </c>
      <c r="H1874" s="9"/>
      <c r="I1874" s="9"/>
      <c r="J1874" s="10">
        <f t="shared" ref="J1874:M1874" si="1094">ifs(OR($H1874="R",$I1874="N"),"N/A",OR(C1874="A",C1874="B",C1874="C",C1874="U"),3,TRUE,"FLAG")</f>
        <v>3</v>
      </c>
      <c r="K1874" s="10">
        <f t="shared" si="1094"/>
        <v>3</v>
      </c>
      <c r="L1874" s="10">
        <f t="shared" si="1094"/>
        <v>3</v>
      </c>
      <c r="M1874" s="10" t="str">
        <f t="shared" si="1094"/>
        <v>FLAG</v>
      </c>
      <c r="N1874" s="10" t="str">
        <f t="shared" si="2"/>
        <v>79-337 - Listing Property for Taxation; Failure of Owner, lessee or operator of park or land to notify assessor of all mobile and manufactured homes located in park or on land</v>
      </c>
      <c r="O1874" s="10" t="str">
        <f t="shared" si="3"/>
        <v>Listing Property for Taxation</v>
      </c>
    </row>
    <row r="1875">
      <c r="A1875" s="7" t="s">
        <v>3358</v>
      </c>
      <c r="B1875" s="8" t="s">
        <v>3359</v>
      </c>
      <c r="C1875" s="8" t="s">
        <v>18</v>
      </c>
      <c r="D1875" s="8" t="s">
        <v>18</v>
      </c>
      <c r="E1875" s="8" t="s">
        <v>19</v>
      </c>
      <c r="F1875" s="8" t="s">
        <v>20</v>
      </c>
      <c r="G1875" s="8" t="s">
        <v>21</v>
      </c>
      <c r="H1875" s="9"/>
      <c r="I1875" s="9"/>
      <c r="J1875" s="10">
        <f t="shared" ref="J1875:M1875" si="1095">ifs(OR($H1875="R",$I1875="N"),"N/A",OR(C1875="A",C1875="B",C1875="C",C1875="U"),3,TRUE,"FLAG")</f>
        <v>3</v>
      </c>
      <c r="K1875" s="10">
        <f t="shared" si="1095"/>
        <v>3</v>
      </c>
      <c r="L1875" s="10">
        <f t="shared" si="1095"/>
        <v>3</v>
      </c>
      <c r="M1875" s="10" t="str">
        <f t="shared" si="1095"/>
        <v>FLAG</v>
      </c>
      <c r="N1875" s="10" t="str">
        <f t="shared" si="2"/>
        <v>79-333 - Listing Property for Taxation; Knowingly giving a false or fraudulent list, schedule or statement; temporarily convert any taxable property into property not taxable, to prevent such property from being listed, or to evade the payment of taxes</v>
      </c>
      <c r="O1875" s="10" t="str">
        <f t="shared" si="3"/>
        <v>Listing Property for Taxation</v>
      </c>
    </row>
    <row r="1876">
      <c r="A1876" s="7" t="s">
        <v>3360</v>
      </c>
      <c r="B1876" s="8" t="s">
        <v>3361</v>
      </c>
      <c r="C1876" s="8" t="s">
        <v>18</v>
      </c>
      <c r="D1876" s="8" t="s">
        <v>18</v>
      </c>
      <c r="E1876" s="8" t="s">
        <v>19</v>
      </c>
      <c r="F1876" s="8" t="s">
        <v>20</v>
      </c>
      <c r="G1876" s="8" t="s">
        <v>21</v>
      </c>
      <c r="H1876" s="9"/>
      <c r="I1876" s="9"/>
      <c r="J1876" s="10">
        <f t="shared" ref="J1876:M1876" si="1096">ifs(OR($H1876="R",$I1876="N"),"N/A",OR(C1876="A",C1876="B",C1876="C",C1876="U"),3,TRUE,"FLAG")</f>
        <v>3</v>
      </c>
      <c r="K1876" s="10">
        <f t="shared" si="1096"/>
        <v>3</v>
      </c>
      <c r="L1876" s="10">
        <f t="shared" si="1096"/>
        <v>3</v>
      </c>
      <c r="M1876" s="10" t="str">
        <f t="shared" si="1096"/>
        <v>FLAG</v>
      </c>
      <c r="N1876" s="10" t="str">
        <f t="shared" si="2"/>
        <v>79-319a - Listing Property for Taxation; Unauthorized removal of buildings from delinquent real estate</v>
      </c>
      <c r="O1876" s="10" t="str">
        <f t="shared" si="3"/>
        <v>Listing Property for Taxation</v>
      </c>
    </row>
    <row r="1877">
      <c r="A1877" s="7" t="s">
        <v>3362</v>
      </c>
      <c r="B1877" s="8" t="s">
        <v>3363</v>
      </c>
      <c r="C1877" s="8" t="s">
        <v>27</v>
      </c>
      <c r="D1877" s="8" t="s">
        <v>28</v>
      </c>
      <c r="E1877" s="8" t="s">
        <v>19</v>
      </c>
      <c r="F1877" s="8" t="s">
        <v>20</v>
      </c>
      <c r="G1877" s="8" t="s">
        <v>21</v>
      </c>
      <c r="H1877" s="9"/>
      <c r="I1877" s="9"/>
      <c r="J1877" s="10">
        <f t="shared" ref="J1877:M1877" si="1097">ifs(OR($H1877="R",$I1877="N"),"N/A",OR(C1877="A",C1877="B",C1877="C",C1877="U"),3,TRUE,"FLAG")</f>
        <v>3</v>
      </c>
      <c r="K1877" s="10">
        <f t="shared" si="1097"/>
        <v>3</v>
      </c>
      <c r="L1877" s="10">
        <f t="shared" si="1097"/>
        <v>3</v>
      </c>
      <c r="M1877" s="10" t="str">
        <f t="shared" si="1097"/>
        <v>FLAG</v>
      </c>
      <c r="N1877" s="10" t="str">
        <f t="shared" si="2"/>
        <v>47-1808(a) - Livestock/Domestic Animals; Bonding of livestock dealers required</v>
      </c>
      <c r="O1877" s="10" t="str">
        <f t="shared" si="3"/>
        <v>Livestock/Domestic Animals</v>
      </c>
    </row>
    <row r="1878">
      <c r="A1878" s="7" t="s">
        <v>3364</v>
      </c>
      <c r="B1878" s="8" t="s">
        <v>3365</v>
      </c>
      <c r="C1878" s="8" t="s">
        <v>18</v>
      </c>
      <c r="D1878" s="8" t="s">
        <v>18</v>
      </c>
      <c r="E1878" s="8" t="s">
        <v>19</v>
      </c>
      <c r="F1878" s="8" t="s">
        <v>20</v>
      </c>
      <c r="G1878" s="8" t="s">
        <v>21</v>
      </c>
      <c r="H1878" s="9"/>
      <c r="I1878" s="9"/>
      <c r="J1878" s="10">
        <f t="shared" ref="J1878:M1878" si="1098">ifs(OR($H1878="R",$I1878="N"),"N/A",OR(C1878="A",C1878="B",C1878="C",C1878="U"),3,TRUE,"FLAG")</f>
        <v>3</v>
      </c>
      <c r="K1878" s="10">
        <f t="shared" si="1098"/>
        <v>3</v>
      </c>
      <c r="L1878" s="10">
        <f t="shared" si="1098"/>
        <v>3</v>
      </c>
      <c r="M1878" s="10" t="str">
        <f t="shared" si="1098"/>
        <v>FLAG</v>
      </c>
      <c r="N1878" s="10" t="str">
        <f t="shared" si="2"/>
        <v>47-607(b) - Livestock/Domestic Animals; Certificates of health required</v>
      </c>
      <c r="O1878" s="10" t="str">
        <f t="shared" si="3"/>
        <v>Livestock/Domestic Animals</v>
      </c>
    </row>
    <row r="1879">
      <c r="A1879" s="7" t="s">
        <v>3366</v>
      </c>
      <c r="B1879" s="8" t="s">
        <v>3367</v>
      </c>
      <c r="C1879" s="8" t="s">
        <v>18</v>
      </c>
      <c r="D1879" s="8" t="s">
        <v>18</v>
      </c>
      <c r="E1879" s="8" t="s">
        <v>19</v>
      </c>
      <c r="F1879" s="8" t="s">
        <v>20</v>
      </c>
      <c r="G1879" s="8" t="s">
        <v>21</v>
      </c>
      <c r="H1879" s="9"/>
      <c r="I1879" s="9"/>
      <c r="J1879" s="10">
        <f t="shared" ref="J1879:M1879" si="1099">ifs(OR($H1879="R",$I1879="N"),"N/A",OR(C1879="A",C1879="B",C1879="C",C1879="U"),3,TRUE,"FLAG")</f>
        <v>3</v>
      </c>
      <c r="K1879" s="10">
        <f t="shared" si="1099"/>
        <v>3</v>
      </c>
      <c r="L1879" s="10">
        <f t="shared" si="1099"/>
        <v>3</v>
      </c>
      <c r="M1879" s="10" t="str">
        <f t="shared" si="1099"/>
        <v>FLAG</v>
      </c>
      <c r="N1879" s="10" t="str">
        <f t="shared" si="2"/>
        <v>47-1102(a) - Livestock/Domestic Animals; Deliveries in Motor Vehicles; penalty for violations</v>
      </c>
      <c r="O1879" s="10" t="str">
        <f t="shared" si="3"/>
        <v>Livestock/Domestic Animals</v>
      </c>
    </row>
    <row r="1880">
      <c r="A1880" s="7" t="s">
        <v>3368</v>
      </c>
      <c r="B1880" s="8" t="s">
        <v>3369</v>
      </c>
      <c r="C1880" s="8" t="s">
        <v>18</v>
      </c>
      <c r="D1880" s="8" t="s">
        <v>18</v>
      </c>
      <c r="E1880" s="8" t="s">
        <v>19</v>
      </c>
      <c r="F1880" s="8" t="s">
        <v>20</v>
      </c>
      <c r="G1880" s="8" t="s">
        <v>21</v>
      </c>
      <c r="H1880" s="9"/>
      <c r="I1880" s="9"/>
      <c r="J1880" s="10">
        <f t="shared" ref="J1880:M1880" si="1100">ifs(OR($H1880="R",$I1880="N"),"N/A",OR(C1880="A",C1880="B",C1880="C",C1880="U"),3,TRUE,"FLAG")</f>
        <v>3</v>
      </c>
      <c r="K1880" s="10">
        <f t="shared" si="1100"/>
        <v>3</v>
      </c>
      <c r="L1880" s="10">
        <f t="shared" si="1100"/>
        <v>3</v>
      </c>
      <c r="M1880" s="10" t="str">
        <f t="shared" si="1100"/>
        <v>FLAG</v>
      </c>
      <c r="N1880" s="10" t="str">
        <f t="shared" si="2"/>
        <v>47-1217 - Livestock/Domestic Animals; Disposal of dead animals; penalty for violations of act</v>
      </c>
      <c r="O1880" s="10" t="str">
        <f t="shared" si="3"/>
        <v>Livestock/Domestic Animals</v>
      </c>
    </row>
    <row r="1881">
      <c r="A1881" s="7" t="s">
        <v>3370</v>
      </c>
      <c r="B1881" s="8" t="s">
        <v>3371</v>
      </c>
      <c r="C1881" s="8" t="s">
        <v>28</v>
      </c>
      <c r="D1881" s="8" t="s">
        <v>19</v>
      </c>
      <c r="E1881" s="8" t="s">
        <v>19</v>
      </c>
      <c r="F1881" s="8" t="s">
        <v>20</v>
      </c>
      <c r="G1881" s="8" t="s">
        <v>21</v>
      </c>
      <c r="H1881" s="9"/>
      <c r="I1881" s="9"/>
      <c r="J1881" s="10">
        <f t="shared" ref="J1881:M1881" si="1101">ifs(OR($H1881="R",$I1881="N"),"N/A",OR(C1881="A",C1881="B",C1881="C",C1881="U"),3,TRUE,"FLAG")</f>
        <v>3</v>
      </c>
      <c r="K1881" s="10">
        <f t="shared" si="1101"/>
        <v>3</v>
      </c>
      <c r="L1881" s="10">
        <f t="shared" si="1101"/>
        <v>3</v>
      </c>
      <c r="M1881" s="10" t="str">
        <f t="shared" si="1101"/>
        <v>FLAG</v>
      </c>
      <c r="N1881" s="10" t="str">
        <f t="shared" si="2"/>
        <v>47-1827(f) - Livestock/Domestic Animals; Enter or remain on an animal facility or enter any property with intent to damage</v>
      </c>
      <c r="O1881" s="10" t="str">
        <f t="shared" si="3"/>
        <v>Livestock/Domestic Animals</v>
      </c>
    </row>
    <row r="1882">
      <c r="A1882" s="7" t="s">
        <v>3372</v>
      </c>
      <c r="B1882" s="8" t="s">
        <v>3373</v>
      </c>
      <c r="C1882" s="8">
        <v>10.0</v>
      </c>
      <c r="D1882" s="8">
        <v>10.0</v>
      </c>
      <c r="E1882" s="8">
        <v>10.0</v>
      </c>
      <c r="F1882" s="8">
        <v>10.0</v>
      </c>
      <c r="G1882" s="8" t="s">
        <v>21</v>
      </c>
      <c r="H1882" s="9"/>
      <c r="I1882" s="9"/>
      <c r="N1882" s="10" t="str">
        <f t="shared" si="2"/>
        <v>47-1827(b) - Livestock/Domestic Animals; Exercise control with intent to deprive owner and damage enterprise at facility</v>
      </c>
      <c r="O1882" s="10" t="str">
        <f t="shared" si="3"/>
        <v>Livestock/Domestic Animals</v>
      </c>
    </row>
    <row r="1883">
      <c r="A1883" s="7" t="s">
        <v>3374</v>
      </c>
      <c r="B1883" s="8" t="s">
        <v>3375</v>
      </c>
      <c r="C1883" s="8" t="s">
        <v>28</v>
      </c>
      <c r="D1883" s="8" t="s">
        <v>19</v>
      </c>
      <c r="E1883" s="8" t="s">
        <v>19</v>
      </c>
      <c r="F1883" s="8" t="s">
        <v>20</v>
      </c>
      <c r="G1883" s="8" t="s">
        <v>21</v>
      </c>
      <c r="H1883" s="9"/>
      <c r="I1883" s="9"/>
      <c r="J1883" s="10">
        <f t="shared" ref="J1883:M1883" si="1102">ifs(OR($H1883="R",$I1883="N"),"N/A",OR(C1883="A",C1883="B",C1883="C",C1883="U"),3,TRUE,"FLAG")</f>
        <v>3</v>
      </c>
      <c r="K1883" s="10">
        <f t="shared" si="1102"/>
        <v>3</v>
      </c>
      <c r="L1883" s="10">
        <f t="shared" si="1102"/>
        <v>3</v>
      </c>
      <c r="M1883" s="10" t="str">
        <f t="shared" si="1102"/>
        <v>FLAG</v>
      </c>
      <c r="N1883" s="10" t="str">
        <f t="shared" si="2"/>
        <v>47-1802(a) - Livestock/Domestic Animals; Fail or refuse to make payment for livestock purchased for slaughter on the day ownership is transferred unless exception applies; requirements for check payments</v>
      </c>
      <c r="O1883" s="10" t="str">
        <f t="shared" si="3"/>
        <v>Livestock/Domestic Animals</v>
      </c>
    </row>
    <row r="1884">
      <c r="A1884" s="7" t="s">
        <v>3376</v>
      </c>
      <c r="B1884" s="8" t="s">
        <v>3377</v>
      </c>
      <c r="C1884" s="8" t="s">
        <v>19</v>
      </c>
      <c r="D1884" s="8" t="s">
        <v>19</v>
      </c>
      <c r="E1884" s="8" t="s">
        <v>19</v>
      </c>
      <c r="F1884" s="8" t="s">
        <v>20</v>
      </c>
      <c r="G1884" s="8" t="s">
        <v>21</v>
      </c>
      <c r="H1884" s="9"/>
      <c r="I1884" s="9"/>
      <c r="J1884" s="10">
        <f t="shared" ref="J1884:M1884" si="1103">ifs(OR($H1884="R",$I1884="N"),"N/A",OR(C1884="A",C1884="B",C1884="C",C1884="U"),3,TRUE,"FLAG")</f>
        <v>3</v>
      </c>
      <c r="K1884" s="10">
        <f t="shared" si="1103"/>
        <v>3</v>
      </c>
      <c r="L1884" s="10">
        <f t="shared" si="1103"/>
        <v>3</v>
      </c>
      <c r="M1884" s="10" t="str">
        <f t="shared" si="1103"/>
        <v>FLAG</v>
      </c>
      <c r="N1884" s="10" t="str">
        <f t="shared" si="2"/>
        <v>47-2101(a) - Livestock/Domestic Animals; Fail to obtain a permit to engage in the business of raising domesticated deer</v>
      </c>
      <c r="O1884" s="10" t="str">
        <f t="shared" si="3"/>
        <v>Livestock/Domestic Animals</v>
      </c>
    </row>
    <row r="1885">
      <c r="A1885" s="7" t="s">
        <v>3378</v>
      </c>
      <c r="B1885" s="8" t="s">
        <v>3379</v>
      </c>
      <c r="C1885" s="8" t="s">
        <v>18</v>
      </c>
      <c r="D1885" s="8" t="s">
        <v>18</v>
      </c>
      <c r="E1885" s="8" t="s">
        <v>19</v>
      </c>
      <c r="F1885" s="8" t="s">
        <v>20</v>
      </c>
      <c r="G1885" s="8" t="s">
        <v>21</v>
      </c>
      <c r="H1885" s="9"/>
      <c r="I1885" s="9"/>
      <c r="J1885" s="10">
        <f t="shared" ref="J1885:M1885" si="1104">ifs(OR($H1885="R",$I1885="N"),"N/A",OR(C1885="A",C1885="B",C1885="C",C1885="U"),3,TRUE,"FLAG")</f>
        <v>3</v>
      </c>
      <c r="K1885" s="10">
        <f t="shared" si="1104"/>
        <v>3</v>
      </c>
      <c r="L1885" s="10">
        <f t="shared" si="1104"/>
        <v>3</v>
      </c>
      <c r="M1885" s="10" t="str">
        <f t="shared" si="1104"/>
        <v>FLAG</v>
      </c>
      <c r="N1885" s="10" t="str">
        <f t="shared" si="2"/>
        <v>47-629 - Livestock/Domestic Animals; Injection of virulent hog-cholera virus into hogs without permit unlawful</v>
      </c>
      <c r="O1885" s="10" t="str">
        <f t="shared" si="3"/>
        <v>Livestock/Domestic Animals</v>
      </c>
    </row>
    <row r="1886">
      <c r="A1886" s="7" t="s">
        <v>3380</v>
      </c>
      <c r="B1886" s="8" t="s">
        <v>3381</v>
      </c>
      <c r="C1886" s="8">
        <v>7.0</v>
      </c>
      <c r="D1886" s="8">
        <v>9.0</v>
      </c>
      <c r="E1886" s="8">
        <v>9.0</v>
      </c>
      <c r="F1886" s="8">
        <v>10.0</v>
      </c>
      <c r="G1886" s="8" t="s">
        <v>21</v>
      </c>
      <c r="H1886" s="9"/>
      <c r="I1886" s="9"/>
      <c r="N1886" s="10" t="str">
        <f t="shared" si="2"/>
        <v>47-1827(a) - Livestock/Domestic Animals; Intent to damage and destroy enterprise at facility, property in or on the facility; damage is $25,000 or more</v>
      </c>
      <c r="O1886" s="10" t="str">
        <f t="shared" si="3"/>
        <v>Livestock/Domestic Animals</v>
      </c>
    </row>
    <row r="1887">
      <c r="A1887" s="7" t="s">
        <v>3382</v>
      </c>
      <c r="B1887" s="8" t="s">
        <v>3381</v>
      </c>
      <c r="C1887" s="8">
        <v>9.0</v>
      </c>
      <c r="D1887" s="8">
        <v>10.0</v>
      </c>
      <c r="E1887" s="8">
        <v>10.0</v>
      </c>
      <c r="F1887" s="8">
        <v>10.0</v>
      </c>
      <c r="G1887" s="8" t="s">
        <v>21</v>
      </c>
      <c r="H1887" s="9"/>
      <c r="I1887" s="9"/>
      <c r="N1887" s="10" t="str">
        <f t="shared" si="2"/>
        <v>47-1827(a) - Livestock/Domestic Animals; Intent to damage and destroy enterprise at facility, property in or on the facility; damage is at least $1,000 but less than $25,000</v>
      </c>
      <c r="O1887" s="10" t="str">
        <f t="shared" si="3"/>
        <v>Livestock/Domestic Animals</v>
      </c>
    </row>
    <row r="1888">
      <c r="A1888" s="7" t="s">
        <v>3383</v>
      </c>
      <c r="B1888" s="8" t="s">
        <v>3384</v>
      </c>
      <c r="C1888" s="8">
        <v>7.0</v>
      </c>
      <c r="D1888" s="8">
        <v>9.0</v>
      </c>
      <c r="E1888" s="8">
        <v>9.0</v>
      </c>
      <c r="F1888" s="8">
        <v>10.0</v>
      </c>
      <c r="G1888" s="8" t="s">
        <v>21</v>
      </c>
      <c r="H1888" s="9"/>
      <c r="I1888" s="9"/>
      <c r="N1888" s="10" t="str">
        <f t="shared" si="2"/>
        <v>47-1827(e) - Livestock/Domestic Animals; Intent to damage or destroy field crop; University or private research facility or federal, state or local government; damage is $25,000 or more</v>
      </c>
      <c r="O1888" s="10" t="str">
        <f t="shared" si="3"/>
        <v>Livestock/Domestic Animals</v>
      </c>
    </row>
    <row r="1889">
      <c r="A1889" s="7" t="s">
        <v>3385</v>
      </c>
      <c r="B1889" s="8" t="s">
        <v>3384</v>
      </c>
      <c r="C1889" s="8">
        <v>9.0</v>
      </c>
      <c r="D1889" s="8">
        <v>10.0</v>
      </c>
      <c r="E1889" s="8">
        <v>10.0</v>
      </c>
      <c r="F1889" s="8">
        <v>10.0</v>
      </c>
      <c r="G1889" s="8" t="s">
        <v>21</v>
      </c>
      <c r="H1889" s="9"/>
      <c r="I1889" s="9"/>
      <c r="N1889" s="10" t="str">
        <f t="shared" si="2"/>
        <v>47-1827(e) - Livestock/Domestic Animals; Intent to damage or destroy field crop; University or private research facility or federal, state or local government; damage is at least $1,000 but less than $25,000</v>
      </c>
      <c r="O1889" s="10" t="str">
        <f t="shared" si="3"/>
        <v>Livestock/Domestic Animals</v>
      </c>
    </row>
    <row r="1890">
      <c r="A1890" s="7" t="s">
        <v>3386</v>
      </c>
      <c r="B1890" s="8" t="s">
        <v>3381</v>
      </c>
      <c r="C1890" s="8" t="s">
        <v>27</v>
      </c>
      <c r="D1890" s="8" t="s">
        <v>28</v>
      </c>
      <c r="E1890" s="8" t="s">
        <v>19</v>
      </c>
      <c r="F1890" s="8" t="s">
        <v>20</v>
      </c>
      <c r="G1890" s="8" t="s">
        <v>21</v>
      </c>
      <c r="H1890" s="9"/>
      <c r="I1890" s="9"/>
      <c r="J1890" s="10">
        <f t="shared" ref="J1890:M1890" si="1105">ifs(OR($H1890="R",$I1890="N"),"N/A",OR(C1890="A",C1890="B",C1890="C",C1890="U"),3,TRUE,"FLAG")</f>
        <v>3</v>
      </c>
      <c r="K1890" s="10">
        <f t="shared" si="1105"/>
        <v>3</v>
      </c>
      <c r="L1890" s="10">
        <f t="shared" si="1105"/>
        <v>3</v>
      </c>
      <c r="M1890" s="10" t="str">
        <f t="shared" si="1105"/>
        <v>FLAG</v>
      </c>
      <c r="N1890" s="10" t="str">
        <f t="shared" si="2"/>
        <v>47-1827(a) - Livestock/Domestic Animals; Intentionally damage or destroy an animal facility or animal or property in or on an animal facility without consent; less than $1,000</v>
      </c>
      <c r="O1890" s="10" t="str">
        <f t="shared" si="3"/>
        <v>Livestock/Domestic Animals</v>
      </c>
    </row>
    <row r="1891">
      <c r="A1891" s="7" t="s">
        <v>3387</v>
      </c>
      <c r="B1891" s="8" t="s">
        <v>3384</v>
      </c>
      <c r="C1891" s="8" t="s">
        <v>27</v>
      </c>
      <c r="D1891" s="8" t="s">
        <v>28</v>
      </c>
      <c r="E1891" s="8" t="s">
        <v>19</v>
      </c>
      <c r="F1891" s="8" t="s">
        <v>20</v>
      </c>
      <c r="G1891" s="8" t="s">
        <v>21</v>
      </c>
      <c r="H1891" s="9"/>
      <c r="I1891" s="9"/>
      <c r="J1891" s="10">
        <f t="shared" ref="J1891:M1891" si="1106">ifs(OR($H1891="R",$I1891="N"),"N/A",OR(C1891="A",C1891="B",C1891="C",C1891="U"),3,TRUE,"FLAG")</f>
        <v>3</v>
      </c>
      <c r="K1891" s="10">
        <f t="shared" si="1106"/>
        <v>3</v>
      </c>
      <c r="L1891" s="10">
        <f t="shared" si="1106"/>
        <v>3</v>
      </c>
      <c r="M1891" s="10" t="str">
        <f t="shared" si="1106"/>
        <v>FLAG</v>
      </c>
      <c r="N1891" s="10" t="str">
        <f t="shared" si="2"/>
        <v>47-1827(e) - Livestock/Domestic Animals; Intentionally damage or destroy any field crop product grown in the context of a product development program in conjunction or coordination with a private research facility or a university or any federal, state or local governmental agency without consent; less than $1,000</v>
      </c>
      <c r="O1891" s="10" t="str">
        <f t="shared" si="3"/>
        <v>Livestock/Domestic Animals</v>
      </c>
    </row>
    <row r="1892">
      <c r="A1892" s="7" t="s">
        <v>3388</v>
      </c>
      <c r="B1892" s="8" t="s">
        <v>3389</v>
      </c>
      <c r="C1892" s="8" t="s">
        <v>19</v>
      </c>
      <c r="D1892" s="8" t="s">
        <v>19</v>
      </c>
      <c r="E1892" s="8" t="s">
        <v>19</v>
      </c>
      <c r="F1892" s="8" t="s">
        <v>20</v>
      </c>
      <c r="G1892" s="8" t="s">
        <v>21</v>
      </c>
      <c r="H1892" s="9"/>
      <c r="I1892" s="9"/>
      <c r="J1892" s="10">
        <f t="shared" ref="J1892:M1892" si="1107">ifs(OR($H1892="R",$I1892="N"),"N/A",OR(C1892="A",C1892="B",C1892="C",C1892="U"),3,TRUE,"FLAG")</f>
        <v>3</v>
      </c>
      <c r="K1892" s="10">
        <f t="shared" si="1107"/>
        <v>3</v>
      </c>
      <c r="L1892" s="10">
        <f t="shared" si="1107"/>
        <v>3</v>
      </c>
      <c r="M1892" s="10" t="str">
        <f t="shared" si="1107"/>
        <v>FLAG</v>
      </c>
      <c r="N1892" s="10" t="str">
        <f t="shared" si="2"/>
        <v>47-2102(a) - Livestock/Domestic Animals; Intentionally releasing domesticated deer</v>
      </c>
      <c r="O1892" s="10" t="str">
        <f t="shared" si="3"/>
        <v>Livestock/Domestic Animals</v>
      </c>
    </row>
    <row r="1893">
      <c r="A1893" s="7" t="s">
        <v>3390</v>
      </c>
      <c r="B1893" s="8" t="s">
        <v>3391</v>
      </c>
      <c r="C1893" s="8" t="s">
        <v>18</v>
      </c>
      <c r="D1893" s="8" t="s">
        <v>18</v>
      </c>
      <c r="E1893" s="8" t="s">
        <v>19</v>
      </c>
      <c r="F1893" s="8" t="s">
        <v>20</v>
      </c>
      <c r="G1893" s="8" t="s">
        <v>21</v>
      </c>
      <c r="H1893" s="9"/>
      <c r="I1893" s="9"/>
      <c r="J1893" s="10">
        <f t="shared" ref="J1893:M1893" si="1108">ifs(OR($H1893="R",$I1893="N"),"N/A",OR(C1893="A",C1893="B",C1893="C",C1893="U"),3,TRUE,"FLAG")</f>
        <v>3</v>
      </c>
      <c r="K1893" s="10">
        <f t="shared" si="1108"/>
        <v>3</v>
      </c>
      <c r="L1893" s="10">
        <f t="shared" si="1108"/>
        <v>3</v>
      </c>
      <c r="M1893" s="10" t="str">
        <f t="shared" si="1108"/>
        <v>FLAG</v>
      </c>
      <c r="N1893" s="10" t="str">
        <f t="shared" si="2"/>
        <v>47-1219(b) - Livestock/Domestic Animals; Knowingly permit any dead animals, carcasses of such animals or domestic fowl, or any part thereof, to remain in any well, spring, brook, branch, river, creek, pond, road, street, alley, lane other than the person's own driveway, lot, field, meadow not owned or leased by such person or commonly-owned or public property</v>
      </c>
      <c r="O1893" s="10" t="str">
        <f t="shared" si="3"/>
        <v>Livestock/Domestic Animals</v>
      </c>
    </row>
    <row r="1894">
      <c r="A1894" s="7" t="s">
        <v>3392</v>
      </c>
      <c r="B1894" s="8" t="s">
        <v>3393</v>
      </c>
      <c r="C1894" s="8" t="s">
        <v>18</v>
      </c>
      <c r="D1894" s="8" t="s">
        <v>18</v>
      </c>
      <c r="E1894" s="8" t="s">
        <v>19</v>
      </c>
      <c r="F1894" s="8" t="s">
        <v>20</v>
      </c>
      <c r="G1894" s="8" t="s">
        <v>21</v>
      </c>
      <c r="H1894" s="9"/>
      <c r="I1894" s="9"/>
      <c r="J1894" s="10">
        <f t="shared" ref="J1894:M1894" si="1109">ifs(OR($H1894="R",$I1894="N"),"N/A",OR(C1894="A",C1894="B",C1894="C",C1894="U"),3,TRUE,"FLAG")</f>
        <v>3</v>
      </c>
      <c r="K1894" s="10">
        <f t="shared" si="1109"/>
        <v>3</v>
      </c>
      <c r="L1894" s="10">
        <f t="shared" si="1109"/>
        <v>3</v>
      </c>
      <c r="M1894" s="10" t="str">
        <f t="shared" si="1109"/>
        <v>FLAG</v>
      </c>
      <c r="N1894" s="10" t="str">
        <f t="shared" si="2"/>
        <v>47-438 - Livestock/Domestic Animals; Marks &amp; Brands; bill of sale required for sale of animals in inspection areas</v>
      </c>
      <c r="O1894" s="10" t="str">
        <f t="shared" si="3"/>
        <v>Livestock/Domestic Animals</v>
      </c>
    </row>
    <row r="1895">
      <c r="A1895" s="7" t="s">
        <v>3394</v>
      </c>
      <c r="B1895" s="8" t="s">
        <v>3395</v>
      </c>
      <c r="C1895" s="8" t="s">
        <v>18</v>
      </c>
      <c r="D1895" s="8" t="s">
        <v>18</v>
      </c>
      <c r="E1895" s="8" t="s">
        <v>19</v>
      </c>
      <c r="F1895" s="8" t="s">
        <v>20</v>
      </c>
      <c r="G1895" s="8" t="s">
        <v>21</v>
      </c>
      <c r="H1895" s="9"/>
      <c r="I1895" s="9"/>
      <c r="J1895" s="10">
        <f t="shared" ref="J1895:M1895" si="1110">ifs(OR($H1895="R",$I1895="N"),"N/A",OR(C1895="A",C1895="B",C1895="C",C1895="U"),3,TRUE,"FLAG")</f>
        <v>3</v>
      </c>
      <c r="K1895" s="10">
        <f t="shared" si="1110"/>
        <v>3</v>
      </c>
      <c r="L1895" s="10">
        <f t="shared" si="1110"/>
        <v>3</v>
      </c>
      <c r="M1895" s="10" t="str">
        <f t="shared" si="1110"/>
        <v>FLAG</v>
      </c>
      <c r="N1895" s="10" t="str">
        <f t="shared" si="2"/>
        <v>47-447 - Livestock/Domestic Animals; Marks &amp; Brands; penalty for violation of K.S.A. 47-420, 47-446, and any provisions of act</v>
      </c>
      <c r="O1895" s="10" t="str">
        <f t="shared" si="3"/>
        <v>Livestock/Domestic Animals</v>
      </c>
    </row>
    <row r="1896">
      <c r="A1896" s="7" t="s">
        <v>3396</v>
      </c>
      <c r="B1896" s="8" t="s">
        <v>3397</v>
      </c>
      <c r="C1896" s="8" t="s">
        <v>18</v>
      </c>
      <c r="D1896" s="8" t="s">
        <v>18</v>
      </c>
      <c r="E1896" s="8" t="s">
        <v>19</v>
      </c>
      <c r="F1896" s="8" t="s">
        <v>20</v>
      </c>
      <c r="G1896" s="8" t="s">
        <v>21</v>
      </c>
      <c r="H1896" s="9"/>
      <c r="I1896" s="9"/>
      <c r="J1896" s="10">
        <f t="shared" ref="J1896:M1896" si="1111">ifs(OR($H1896="R",$I1896="N"),"N/A",OR(C1896="A",C1896="B",C1896="C",C1896="U"),3,TRUE,"FLAG")</f>
        <v>3</v>
      </c>
      <c r="K1896" s="10">
        <f t="shared" si="1111"/>
        <v>3</v>
      </c>
      <c r="L1896" s="10">
        <f t="shared" si="1111"/>
        <v>3</v>
      </c>
      <c r="M1896" s="10" t="str">
        <f t="shared" si="1111"/>
        <v>FLAG</v>
      </c>
      <c r="N1896" s="10" t="str">
        <f t="shared" si="2"/>
        <v>47-440 - Livestock/Domestic Animals; Marks &amp; Brands; required contents of bill of sale</v>
      </c>
      <c r="O1896" s="10" t="str">
        <f t="shared" si="3"/>
        <v>Livestock/Domestic Animals</v>
      </c>
    </row>
    <row r="1897">
      <c r="A1897" s="7" t="s">
        <v>3398</v>
      </c>
      <c r="B1897" s="8" t="s">
        <v>3399</v>
      </c>
      <c r="C1897" s="8" t="s">
        <v>1532</v>
      </c>
      <c r="D1897" s="8">
        <v>10.0</v>
      </c>
      <c r="E1897" s="8">
        <v>10.0</v>
      </c>
      <c r="F1897" s="8">
        <v>10.0</v>
      </c>
      <c r="G1897" s="8" t="s">
        <v>21</v>
      </c>
      <c r="H1897" s="9"/>
      <c r="I1897" s="9"/>
      <c r="N1897" s="10" t="str">
        <f t="shared" si="2"/>
        <v>47-421 - Livestock/Domestic Animals; Marks &amp; Brands; unlawful branding or defacing of brands</v>
      </c>
      <c r="O1897" s="10" t="str">
        <f t="shared" si="3"/>
        <v>Livestock/Domestic Animals</v>
      </c>
    </row>
    <row r="1898">
      <c r="A1898" s="7" t="s">
        <v>3400</v>
      </c>
      <c r="B1898" s="8" t="s">
        <v>3401</v>
      </c>
      <c r="C1898" s="8" t="s">
        <v>18</v>
      </c>
      <c r="D1898" s="8" t="s">
        <v>18</v>
      </c>
      <c r="E1898" s="8" t="s">
        <v>19</v>
      </c>
      <c r="F1898" s="8" t="s">
        <v>20</v>
      </c>
      <c r="G1898" s="8" t="s">
        <v>21</v>
      </c>
      <c r="H1898" s="9"/>
      <c r="I1898" s="9"/>
      <c r="J1898" s="10">
        <f t="shared" ref="J1898:M1898" si="1112">ifs(OR($H1898="R",$I1898="N"),"N/A",OR(C1898="A",C1898="B",C1898="C",C1898="U"),3,TRUE,"FLAG")</f>
        <v>3</v>
      </c>
      <c r="K1898" s="10">
        <f t="shared" si="1112"/>
        <v>3</v>
      </c>
      <c r="L1898" s="10">
        <f t="shared" si="1112"/>
        <v>3</v>
      </c>
      <c r="M1898" s="10" t="str">
        <f t="shared" si="1112"/>
        <v>FLAG</v>
      </c>
      <c r="N1898" s="10" t="str">
        <f t="shared" si="2"/>
        <v>47-439 - Livestock/Domestic Animals; Marks &amp; Brands; unlawful to fail or refuse to exhibit bill of sale</v>
      </c>
      <c r="O1898" s="10" t="str">
        <f t="shared" si="3"/>
        <v>Livestock/Domestic Animals</v>
      </c>
    </row>
    <row r="1899">
      <c r="A1899" s="7" t="s">
        <v>3402</v>
      </c>
      <c r="B1899" s="8" t="s">
        <v>3403</v>
      </c>
      <c r="C1899" s="8" t="s">
        <v>18</v>
      </c>
      <c r="D1899" s="8" t="s">
        <v>18</v>
      </c>
      <c r="E1899" s="8" t="s">
        <v>19</v>
      </c>
      <c r="F1899" s="8" t="s">
        <v>20</v>
      </c>
      <c r="G1899" s="8" t="s">
        <v>21</v>
      </c>
      <c r="H1899" s="9"/>
      <c r="I1899" s="9"/>
      <c r="J1899" s="10">
        <f t="shared" ref="J1899:M1899" si="1113">ifs(OR($H1899="R",$I1899="N"),"N/A",OR(C1899="A",C1899="B",C1899="C",C1899="U"),3,TRUE,"FLAG")</f>
        <v>3</v>
      </c>
      <c r="K1899" s="10">
        <f t="shared" si="1113"/>
        <v>3</v>
      </c>
      <c r="L1899" s="10">
        <f t="shared" si="1113"/>
        <v>3</v>
      </c>
      <c r="M1899" s="10" t="str">
        <f t="shared" si="1113"/>
        <v>FLAG</v>
      </c>
      <c r="N1899" s="10" t="str">
        <f t="shared" si="2"/>
        <v>47-442 - Livestock/Domestic Animals; Marks &amp; Brands; unlawful to move cattle within area without inspection</v>
      </c>
      <c r="O1899" s="10" t="str">
        <f t="shared" si="3"/>
        <v>Livestock/Domestic Animals</v>
      </c>
    </row>
    <row r="1900">
      <c r="A1900" s="7" t="s">
        <v>3404</v>
      </c>
      <c r="B1900" s="8" t="s">
        <v>3405</v>
      </c>
      <c r="C1900" s="8" t="s">
        <v>18</v>
      </c>
      <c r="D1900" s="8" t="s">
        <v>18</v>
      </c>
      <c r="E1900" s="8" t="s">
        <v>19</v>
      </c>
      <c r="F1900" s="8" t="s">
        <v>20</v>
      </c>
      <c r="G1900" s="8" t="s">
        <v>21</v>
      </c>
      <c r="H1900" s="9"/>
      <c r="I1900" s="9"/>
      <c r="J1900" s="10">
        <f t="shared" ref="J1900:M1900" si="1114">ifs(OR($H1900="R",$I1900="N"),"N/A",OR(C1900="A",C1900="B",C1900="C",C1900="U"),3,TRUE,"FLAG")</f>
        <v>3</v>
      </c>
      <c r="K1900" s="10">
        <f t="shared" si="1114"/>
        <v>3</v>
      </c>
      <c r="L1900" s="10">
        <f t="shared" si="1114"/>
        <v>3</v>
      </c>
      <c r="M1900" s="10" t="str">
        <f t="shared" si="1114"/>
        <v>FLAG</v>
      </c>
      <c r="N1900" s="10" t="str">
        <f t="shared" si="2"/>
        <v>47-441 - Livestock/Domestic Animals; Marks &amp; Brands; unlawful to remove cattle from area without inspection certificate</v>
      </c>
      <c r="O1900" s="10" t="str">
        <f t="shared" si="3"/>
        <v>Livestock/Domestic Animals</v>
      </c>
    </row>
    <row r="1901">
      <c r="A1901" s="7" t="s">
        <v>3406</v>
      </c>
      <c r="B1901" s="8" t="s">
        <v>3407</v>
      </c>
      <c r="C1901" s="8" t="s">
        <v>19</v>
      </c>
      <c r="D1901" s="8" t="s">
        <v>19</v>
      </c>
      <c r="E1901" s="8" t="s">
        <v>19</v>
      </c>
      <c r="F1901" s="8" t="s">
        <v>20</v>
      </c>
      <c r="G1901" s="8" t="s">
        <v>21</v>
      </c>
      <c r="H1901" s="9"/>
      <c r="I1901" s="9"/>
      <c r="J1901" s="10">
        <f t="shared" ref="J1901:M1901" si="1115">ifs(OR($H1901="R",$I1901="N"),"N/A",OR(C1901="A",C1901="B",C1901="C",C1901="U"),3,TRUE,"FLAG")</f>
        <v>3</v>
      </c>
      <c r="K1901" s="10">
        <f t="shared" si="1115"/>
        <v>3</v>
      </c>
      <c r="L1901" s="10">
        <f t="shared" si="1115"/>
        <v>3</v>
      </c>
      <c r="M1901" s="10" t="str">
        <f t="shared" si="1115"/>
        <v>FLAG</v>
      </c>
      <c r="N1901" s="10" t="str">
        <f t="shared" si="2"/>
        <v>47-422 - Livestock/Domestic Animals; Marks &amp; Brands; use of brand by other than recorded owner</v>
      </c>
      <c r="O1901" s="10" t="str">
        <f t="shared" si="3"/>
        <v>Livestock/Domestic Animals</v>
      </c>
    </row>
    <row r="1902">
      <c r="A1902" s="7" t="s">
        <v>3408</v>
      </c>
      <c r="B1902" s="8" t="s">
        <v>3409</v>
      </c>
      <c r="C1902" s="8">
        <v>6.0</v>
      </c>
      <c r="D1902" s="8">
        <v>8.0</v>
      </c>
      <c r="E1902" s="8">
        <v>8.0</v>
      </c>
      <c r="F1902" s="8">
        <v>9.0</v>
      </c>
      <c r="G1902" s="8" t="s">
        <v>21</v>
      </c>
      <c r="H1902" s="9"/>
      <c r="I1902" s="9"/>
      <c r="N1902" s="10" t="str">
        <f t="shared" si="2"/>
        <v>47-421(b) - Livestock/Domestic Animals; Marks &amp; Brands; willfully and knowingly brand or cause to be branded with such person's brand, or any brand not the recorded brand of the owner, any livestock being the property of another, or who shall willfully or knowingly efface, deface or obliterate any brand upon any livestock</v>
      </c>
      <c r="O1902" s="10" t="str">
        <f t="shared" si="3"/>
        <v>Livestock/Domestic Animals</v>
      </c>
    </row>
    <row r="1903">
      <c r="A1903" s="7" t="s">
        <v>3410</v>
      </c>
      <c r="B1903" s="8" t="s">
        <v>3411</v>
      </c>
      <c r="C1903" s="8" t="s">
        <v>27</v>
      </c>
      <c r="D1903" s="8" t="s">
        <v>28</v>
      </c>
      <c r="E1903" s="8" t="s">
        <v>19</v>
      </c>
      <c r="F1903" s="8" t="s">
        <v>20</v>
      </c>
      <c r="G1903" s="8" t="s">
        <v>21</v>
      </c>
      <c r="H1903" s="9"/>
      <c r="I1903" s="9"/>
      <c r="J1903" s="10">
        <f t="shared" ref="J1903:M1903" si="1116">ifs(OR($H1903="R",$I1903="N"),"N/A",OR(C1903="A",C1903="B",C1903="C",C1903="U"),3,TRUE,"FLAG")</f>
        <v>3</v>
      </c>
      <c r="K1903" s="10">
        <f t="shared" si="1116"/>
        <v>3</v>
      </c>
      <c r="L1903" s="10">
        <f t="shared" si="1116"/>
        <v>3</v>
      </c>
      <c r="M1903" s="10" t="str">
        <f t="shared" si="1116"/>
        <v>FLAG</v>
      </c>
      <c r="N1903" s="10" t="str">
        <f t="shared" si="2"/>
        <v>47-418a - Livestock/Domestic Animals; Marks &amp; Brands; willfully brand cattle in manner other than as required; falsely brand cattle so as to incorrectly designate the disease control identification or ownership of livestock</v>
      </c>
      <c r="O1903" s="10" t="str">
        <f t="shared" si="3"/>
        <v>Livestock/Domestic Animals</v>
      </c>
    </row>
    <row r="1904">
      <c r="A1904" s="7" t="s">
        <v>3412</v>
      </c>
      <c r="B1904" s="8" t="s">
        <v>3413</v>
      </c>
      <c r="C1904" s="8" t="s">
        <v>27</v>
      </c>
      <c r="D1904" s="8" t="s">
        <v>28</v>
      </c>
      <c r="E1904" s="8" t="s">
        <v>19</v>
      </c>
      <c r="F1904" s="8" t="s">
        <v>20</v>
      </c>
      <c r="G1904" s="8" t="s">
        <v>21</v>
      </c>
      <c r="H1904" s="9"/>
      <c r="I1904" s="9"/>
      <c r="J1904" s="10">
        <f t="shared" ref="J1904:M1904" si="1117">ifs(OR($H1904="R",$I1904="N"),"N/A",OR(C1904="A",C1904="B",C1904="C",C1904="U"),3,TRUE,"FLAG")</f>
        <v>3</v>
      </c>
      <c r="K1904" s="10">
        <f t="shared" si="1117"/>
        <v>3</v>
      </c>
      <c r="L1904" s="10">
        <f t="shared" si="1117"/>
        <v>3</v>
      </c>
      <c r="M1904" s="10" t="str">
        <f t="shared" si="1117"/>
        <v>FLAG</v>
      </c>
      <c r="N1904" s="10" t="str">
        <f t="shared" si="2"/>
        <v>47-421(a) - Livestock/Domestic Animals; Marks &amp; Brands; willfully brands or causes to be branded any livestock in any manner other than as required or authorized by the laws of this state and the rules and regulations of the animal health commissioner</v>
      </c>
      <c r="O1904" s="10" t="str">
        <f t="shared" si="3"/>
        <v>Livestock/Domestic Animals</v>
      </c>
    </row>
    <row r="1905">
      <c r="A1905" s="7" t="s">
        <v>3414</v>
      </c>
      <c r="B1905" s="8" t="s">
        <v>3415</v>
      </c>
      <c r="C1905" s="8" t="s">
        <v>18</v>
      </c>
      <c r="D1905" s="8" t="s">
        <v>18</v>
      </c>
      <c r="E1905" s="8" t="s">
        <v>19</v>
      </c>
      <c r="F1905" s="8" t="s">
        <v>20</v>
      </c>
      <c r="G1905" s="8" t="s">
        <v>21</v>
      </c>
      <c r="H1905" s="9"/>
      <c r="I1905" s="9"/>
      <c r="J1905" s="10">
        <f t="shared" ref="J1905:M1905" si="1118">ifs(OR($H1905="R",$I1905="N"),"N/A",OR(C1905="A",C1905="B",C1905="C",C1905="U"),3,TRUE,"FLAG")</f>
        <v>3</v>
      </c>
      <c r="K1905" s="10">
        <f t="shared" si="1118"/>
        <v>3</v>
      </c>
      <c r="L1905" s="10">
        <f t="shared" si="1118"/>
        <v>3</v>
      </c>
      <c r="M1905" s="10" t="str">
        <f t="shared" si="1118"/>
        <v>FLAG</v>
      </c>
      <c r="N1905" s="10" t="str">
        <f t="shared" si="2"/>
        <v>47-662 - Livestock/Domestic Animals; Penalty for violating act; refuse to allow examination of domestic animals for any infectious or contagious disease; hinder or obstruct any examination of or in an attempt to examine domestic animals</v>
      </c>
      <c r="O1905" s="10" t="str">
        <f t="shared" si="3"/>
        <v>Livestock/Domestic Animals</v>
      </c>
    </row>
    <row r="1906">
      <c r="A1906" s="7" t="s">
        <v>3416</v>
      </c>
      <c r="B1906" s="8" t="s">
        <v>3417</v>
      </c>
      <c r="C1906" s="8" t="s">
        <v>18</v>
      </c>
      <c r="D1906" s="8" t="s">
        <v>18</v>
      </c>
      <c r="E1906" s="8" t="s">
        <v>19</v>
      </c>
      <c r="F1906" s="8" t="s">
        <v>20</v>
      </c>
      <c r="G1906" s="8" t="s">
        <v>21</v>
      </c>
      <c r="H1906" s="9"/>
      <c r="I1906" s="9"/>
      <c r="J1906" s="10">
        <f t="shared" ref="J1906:M1906" si="1119">ifs(OR($H1906="R",$I1906="N"),"N/A",OR(C1906="A",C1906="B",C1906="C",C1906="U"),3,TRUE,"FLAG")</f>
        <v>3</v>
      </c>
      <c r="K1906" s="10">
        <f t="shared" si="1119"/>
        <v>3</v>
      </c>
      <c r="L1906" s="10">
        <f t="shared" si="1119"/>
        <v>3</v>
      </c>
      <c r="M1906" s="10" t="str">
        <f t="shared" si="1119"/>
        <v>FLAG</v>
      </c>
      <c r="N1906" s="10" t="str">
        <f t="shared" si="2"/>
        <v>47-629c - Livestock/Domestic Animals; Penalty for violating K.S.A. 47-629 to 47-629c</v>
      </c>
      <c r="O1906" s="10" t="str">
        <f t="shared" si="3"/>
        <v>Livestock/Domestic Animals</v>
      </c>
    </row>
    <row r="1907">
      <c r="A1907" s="7" t="s">
        <v>3418</v>
      </c>
      <c r="B1907" s="8" t="s">
        <v>3419</v>
      </c>
      <c r="C1907" s="8" t="s">
        <v>27</v>
      </c>
      <c r="D1907" s="8" t="s">
        <v>28</v>
      </c>
      <c r="E1907" s="8" t="s">
        <v>19</v>
      </c>
      <c r="F1907" s="8" t="s">
        <v>20</v>
      </c>
      <c r="G1907" s="8" t="s">
        <v>21</v>
      </c>
      <c r="H1907" s="9"/>
      <c r="I1907" s="9"/>
      <c r="J1907" s="10">
        <f t="shared" ref="J1907:M1907" si="1120">ifs(OR($H1907="R",$I1907="N"),"N/A",OR(C1907="A",C1907="B",C1907="C",C1907="U"),3,TRUE,"FLAG")</f>
        <v>3</v>
      </c>
      <c r="K1907" s="10">
        <f t="shared" si="1120"/>
        <v>3</v>
      </c>
      <c r="L1907" s="10">
        <f t="shared" si="1120"/>
        <v>3</v>
      </c>
      <c r="M1907" s="10" t="str">
        <f t="shared" si="1120"/>
        <v>FLAG</v>
      </c>
      <c r="N1907" s="10" t="str">
        <f t="shared" si="2"/>
        <v>47-604 - Livestock/Domestic Animals; Penalty for violating quarantine; 1st conviction</v>
      </c>
      <c r="O1907" s="10" t="str">
        <f t="shared" si="3"/>
        <v>Livestock/Domestic Animals</v>
      </c>
    </row>
    <row r="1908">
      <c r="A1908" s="7" t="s">
        <v>3420</v>
      </c>
      <c r="B1908" s="8" t="s">
        <v>3419</v>
      </c>
      <c r="C1908" s="8">
        <v>7.0</v>
      </c>
      <c r="D1908" s="8">
        <v>9.0</v>
      </c>
      <c r="E1908" s="8">
        <v>9.0</v>
      </c>
      <c r="F1908" s="8">
        <v>10.0</v>
      </c>
      <c r="G1908" s="8" t="s">
        <v>21</v>
      </c>
      <c r="H1908" s="9"/>
      <c r="I1908" s="9"/>
      <c r="N1908" s="10" t="str">
        <f t="shared" si="2"/>
        <v>47-604 - Livestock/Domestic Animals; Penalty for violating quarantine; 2nd or subs. conviction</v>
      </c>
      <c r="O1908" s="10" t="str">
        <f t="shared" si="3"/>
        <v>Livestock/Domestic Animals</v>
      </c>
    </row>
    <row r="1909">
      <c r="A1909" s="7" t="s">
        <v>3421</v>
      </c>
      <c r="B1909" s="8" t="s">
        <v>3422</v>
      </c>
      <c r="C1909" s="8" t="s">
        <v>18</v>
      </c>
      <c r="D1909" s="8" t="s">
        <v>18</v>
      </c>
      <c r="E1909" s="8" t="s">
        <v>19</v>
      </c>
      <c r="F1909" s="8" t="s">
        <v>20</v>
      </c>
      <c r="G1909" s="8" t="s">
        <v>21</v>
      </c>
      <c r="H1909" s="9"/>
      <c r="I1909" s="9"/>
      <c r="J1909" s="10">
        <f t="shared" ref="J1909:M1909" si="1121">ifs(OR($H1909="R",$I1909="N"),"N/A",OR(C1909="A",C1909="B",C1909="C",C1909="U"),3,TRUE,"FLAG")</f>
        <v>3</v>
      </c>
      <c r="K1909" s="10">
        <f t="shared" si="1121"/>
        <v>3</v>
      </c>
      <c r="L1909" s="10">
        <f t="shared" si="1121"/>
        <v>3</v>
      </c>
      <c r="M1909" s="10" t="str">
        <f t="shared" si="1121"/>
        <v>FLAG</v>
      </c>
      <c r="N1909" s="10" t="str">
        <f t="shared" si="2"/>
        <v>47-1219(a) - Livestock/Domestic Animals; Place any dead animals, carcasses of such animals or domestic fowl, or any part thereof, into any well, spring, brook, branch, river, creek, pond, road, street, alley, lane other than the person's own driveway, lot, field, meadow not owned or leased by such person or commonly-owned or public property</v>
      </c>
      <c r="O1909" s="10" t="str">
        <f t="shared" si="3"/>
        <v>Livestock/Domestic Animals</v>
      </c>
    </row>
    <row r="1910">
      <c r="A1910" s="7" t="s">
        <v>3423</v>
      </c>
      <c r="B1910" s="8" t="s">
        <v>3424</v>
      </c>
      <c r="C1910" s="8" t="s">
        <v>18</v>
      </c>
      <c r="D1910" s="8" t="s">
        <v>18</v>
      </c>
      <c r="E1910" s="8" t="s">
        <v>19</v>
      </c>
      <c r="F1910" s="8" t="s">
        <v>20</v>
      </c>
      <c r="G1910" s="8" t="s">
        <v>21</v>
      </c>
      <c r="H1910" s="9"/>
      <c r="I1910" s="9"/>
      <c r="J1910" s="10">
        <f t="shared" ref="J1910:M1910" si="1122">ifs(OR($H1910="R",$I1910="N"),"N/A",OR(C1910="A",C1910="B",C1910="C",C1910="U"),3,TRUE,"FLAG")</f>
        <v>3</v>
      </c>
      <c r="K1910" s="10">
        <f t="shared" si="1122"/>
        <v>3</v>
      </c>
      <c r="L1910" s="10">
        <f t="shared" si="1122"/>
        <v>3</v>
      </c>
      <c r="M1910" s="10" t="str">
        <f t="shared" si="1122"/>
        <v>FLAG</v>
      </c>
      <c r="N1910" s="10" t="str">
        <f t="shared" si="2"/>
        <v>47-607(c) - Livestock/Domestic Animals; Rules and regulations of animal health commissioner; special quarantine</v>
      </c>
      <c r="O1910" s="10" t="str">
        <f t="shared" si="3"/>
        <v>Livestock/Domestic Animals</v>
      </c>
    </row>
    <row r="1911">
      <c r="A1911" s="7" t="s">
        <v>3425</v>
      </c>
      <c r="B1911" s="8" t="s">
        <v>3426</v>
      </c>
      <c r="C1911" s="8" t="s">
        <v>18</v>
      </c>
      <c r="D1911" s="8" t="s">
        <v>18</v>
      </c>
      <c r="E1911" s="8" t="s">
        <v>19</v>
      </c>
      <c r="F1911" s="8" t="s">
        <v>20</v>
      </c>
      <c r="G1911" s="8" t="s">
        <v>21</v>
      </c>
      <c r="H1911" s="9"/>
      <c r="I1911" s="9"/>
      <c r="J1911" s="10">
        <f t="shared" ref="J1911:M1911" si="1123">ifs(OR($H1911="R",$I1911="N"),"N/A",OR(C1911="A",C1911="B",C1911="C",C1911="U"),3,TRUE,"FLAG")</f>
        <v>3</v>
      </c>
      <c r="K1911" s="10">
        <f t="shared" si="1123"/>
        <v>3</v>
      </c>
      <c r="L1911" s="10">
        <f t="shared" si="1123"/>
        <v>3</v>
      </c>
      <c r="M1911" s="10" t="str">
        <f t="shared" si="1123"/>
        <v>FLAG</v>
      </c>
      <c r="N1911" s="10" t="str">
        <f t="shared" si="2"/>
        <v>47-664 - Livestock/Domestic Animals; Sale as brucellosis or Bang's tested unlawful</v>
      </c>
      <c r="O1911" s="10" t="str">
        <f t="shared" si="3"/>
        <v>Livestock/Domestic Animals</v>
      </c>
    </row>
    <row r="1912">
      <c r="A1912" s="7" t="s">
        <v>3427</v>
      </c>
      <c r="B1912" s="8" t="s">
        <v>3428</v>
      </c>
      <c r="C1912" s="8" t="s">
        <v>18</v>
      </c>
      <c r="D1912" s="8" t="s">
        <v>18</v>
      </c>
      <c r="E1912" s="8" t="s">
        <v>19</v>
      </c>
      <c r="F1912" s="8" t="s">
        <v>20</v>
      </c>
      <c r="G1912" s="8" t="s">
        <v>21</v>
      </c>
      <c r="H1912" s="9"/>
      <c r="I1912" s="9"/>
      <c r="J1912" s="10">
        <f t="shared" ref="J1912:M1912" si="1124">ifs(OR($H1912="R",$I1912="N"),"N/A",OR(C1912="A",C1912="B",C1912="C",C1912="U"),3,TRUE,"FLAG")</f>
        <v>3</v>
      </c>
      <c r="K1912" s="10">
        <f t="shared" si="1124"/>
        <v>3</v>
      </c>
      <c r="L1912" s="10">
        <f t="shared" si="1124"/>
        <v>3</v>
      </c>
      <c r="M1912" s="10" t="str">
        <f t="shared" si="1124"/>
        <v>FLAG</v>
      </c>
      <c r="N1912" s="10" t="str">
        <f t="shared" si="2"/>
        <v>47-663 - Livestock/Domestic Animals; Sale of cattle as tuberculosis tested unlawful</v>
      </c>
      <c r="O1912" s="10" t="str">
        <f t="shared" si="3"/>
        <v>Livestock/Domestic Animals</v>
      </c>
    </row>
    <row r="1913">
      <c r="A1913" s="7" t="s">
        <v>3429</v>
      </c>
      <c r="B1913" s="8" t="s">
        <v>3430</v>
      </c>
      <c r="C1913" s="8" t="s">
        <v>18</v>
      </c>
      <c r="D1913" s="8" t="s">
        <v>18</v>
      </c>
      <c r="E1913" s="8" t="s">
        <v>19</v>
      </c>
      <c r="F1913" s="8" t="s">
        <v>20</v>
      </c>
      <c r="G1913" s="8" t="s">
        <v>21</v>
      </c>
      <c r="H1913" s="9"/>
      <c r="I1913" s="9"/>
      <c r="J1913" s="10">
        <f t="shared" ref="J1913:M1913" si="1125">ifs(OR($H1913="R",$I1913="N"),"N/A",OR(C1913="A",C1913="B",C1913="C",C1913="U"),3,TRUE,"FLAG")</f>
        <v>3</v>
      </c>
      <c r="K1913" s="10">
        <f t="shared" si="1125"/>
        <v>3</v>
      </c>
      <c r="L1913" s="10">
        <f t="shared" si="1125"/>
        <v>3</v>
      </c>
      <c r="M1913" s="10" t="str">
        <f t="shared" si="1125"/>
        <v>FLAG</v>
      </c>
      <c r="N1913" s="10" t="str">
        <f t="shared" si="2"/>
        <v>47-629a - Livestock/Domestic Animals; Sale of virulent hog-cholera virus by unauthorized vendors unlawful</v>
      </c>
      <c r="O1913" s="10" t="str">
        <f t="shared" si="3"/>
        <v>Livestock/Domestic Animals</v>
      </c>
    </row>
    <row r="1914">
      <c r="A1914" s="7" t="s">
        <v>3431</v>
      </c>
      <c r="B1914" s="8" t="s">
        <v>3432</v>
      </c>
      <c r="C1914" s="8" t="s">
        <v>18</v>
      </c>
      <c r="D1914" s="8" t="s">
        <v>18</v>
      </c>
      <c r="E1914" s="8" t="s">
        <v>19</v>
      </c>
      <c r="F1914" s="8" t="s">
        <v>20</v>
      </c>
      <c r="G1914" s="8" t="s">
        <v>21</v>
      </c>
      <c r="H1914" s="9"/>
      <c r="I1914" s="9"/>
      <c r="J1914" s="10">
        <f t="shared" ref="J1914:M1914" si="1126">ifs(OR($H1914="R",$I1914="N"),"N/A",OR(C1914="A",C1914="B",C1914="C",C1914="U"),3,TRUE,"FLAG")</f>
        <v>3</v>
      </c>
      <c r="K1914" s="10">
        <f t="shared" si="1126"/>
        <v>3</v>
      </c>
      <c r="L1914" s="10">
        <f t="shared" si="1126"/>
        <v>3</v>
      </c>
      <c r="M1914" s="10" t="str">
        <f t="shared" si="1126"/>
        <v>FLAG</v>
      </c>
      <c r="N1914" s="10" t="str">
        <f t="shared" si="2"/>
        <v>47-629b - Livestock/Domestic Animals; Sale of virulent hog-cholera virus to unauthorized purchasers unlawful</v>
      </c>
      <c r="O1914" s="10" t="str">
        <f t="shared" si="3"/>
        <v>Livestock/Domestic Animals</v>
      </c>
    </row>
    <row r="1915">
      <c r="A1915" s="7" t="s">
        <v>3433</v>
      </c>
      <c r="B1915" s="8" t="s">
        <v>3434</v>
      </c>
      <c r="C1915" s="8" t="s">
        <v>18</v>
      </c>
      <c r="D1915" s="8" t="s">
        <v>18</v>
      </c>
      <c r="E1915" s="8" t="s">
        <v>19</v>
      </c>
      <c r="F1915" s="8" t="s">
        <v>20</v>
      </c>
      <c r="G1915" s="8" t="s">
        <v>21</v>
      </c>
      <c r="H1915" s="9"/>
      <c r="I1915" s="9"/>
      <c r="J1915" s="10">
        <f t="shared" ref="J1915:M1915" si="1127">ifs(OR($H1915="R",$I1915="N"),"N/A",OR(C1915="A",C1915="B",C1915="C",C1915="U"),3,TRUE,"FLAG")</f>
        <v>3</v>
      </c>
      <c r="K1915" s="10">
        <f t="shared" si="1127"/>
        <v>3</v>
      </c>
      <c r="L1915" s="10">
        <f t="shared" si="1127"/>
        <v>3</v>
      </c>
      <c r="M1915" s="10" t="str">
        <f t="shared" si="1127"/>
        <v>FLAG</v>
      </c>
      <c r="N1915" s="10" t="str">
        <f t="shared" si="2"/>
        <v>47-237 - Livestock/Domestic Animals; Strays; unlawfully take up any stray or fail to comply with provisions act</v>
      </c>
      <c r="O1915" s="10" t="str">
        <f t="shared" si="3"/>
        <v>Livestock/Domestic Animals</v>
      </c>
    </row>
    <row r="1916">
      <c r="A1916" s="7" t="s">
        <v>3435</v>
      </c>
      <c r="B1916" s="8" t="s">
        <v>3436</v>
      </c>
      <c r="C1916" s="8" t="s">
        <v>18</v>
      </c>
      <c r="D1916" s="8" t="s">
        <v>18</v>
      </c>
      <c r="E1916" s="8" t="s">
        <v>19</v>
      </c>
      <c r="F1916" s="8" t="s">
        <v>20</v>
      </c>
      <c r="G1916" s="8" t="s">
        <v>21</v>
      </c>
      <c r="H1916" s="9"/>
      <c r="I1916" s="9"/>
      <c r="J1916" s="10">
        <f t="shared" ref="J1916:M1916" si="1128">ifs(OR($H1916="R",$I1916="N"),"N/A",OR(C1916="A",C1916="B",C1916="C",C1916="U"),3,TRUE,"FLAG")</f>
        <v>3</v>
      </c>
      <c r="K1916" s="10">
        <f t="shared" si="1128"/>
        <v>3</v>
      </c>
      <c r="L1916" s="10">
        <f t="shared" si="1128"/>
        <v>3</v>
      </c>
      <c r="M1916" s="10" t="str">
        <f t="shared" si="1128"/>
        <v>FLAG</v>
      </c>
      <c r="N1916" s="10" t="str">
        <f t="shared" si="2"/>
        <v>47-607a - Livestock/Domestic Animals; Transport uninspected animals into state without obtaining special permit if required</v>
      </c>
      <c r="O1916" s="10" t="str">
        <f t="shared" si="3"/>
        <v>Livestock/Domestic Animals</v>
      </c>
    </row>
    <row r="1917">
      <c r="A1917" s="7" t="s">
        <v>3437</v>
      </c>
      <c r="B1917" s="8" t="s">
        <v>3438</v>
      </c>
      <c r="C1917" s="8" t="s">
        <v>18</v>
      </c>
      <c r="D1917" s="8" t="s">
        <v>18</v>
      </c>
      <c r="E1917" s="8" t="s">
        <v>19</v>
      </c>
      <c r="F1917" s="8" t="s">
        <v>20</v>
      </c>
      <c r="G1917" s="8" t="s">
        <v>21</v>
      </c>
      <c r="H1917" s="9"/>
      <c r="I1917" s="9"/>
      <c r="J1917" s="10">
        <f t="shared" ref="J1917:M1917" si="1129">ifs(OR($H1917="R",$I1917="N"),"N/A",OR(C1917="A",C1917="B",C1917="C",C1917="U"),3,TRUE,"FLAG")</f>
        <v>3</v>
      </c>
      <c r="K1917" s="10">
        <f t="shared" si="1129"/>
        <v>3</v>
      </c>
      <c r="L1917" s="10">
        <f t="shared" si="1129"/>
        <v>3</v>
      </c>
      <c r="M1917" s="10" t="str">
        <f t="shared" si="1129"/>
        <v>FLAG</v>
      </c>
      <c r="N1917" s="10" t="str">
        <f t="shared" si="2"/>
        <v>47-607(a) - Livestock/Domestic Animals; Unlawful to transport uninspected animals into state</v>
      </c>
      <c r="O1917" s="10" t="str">
        <f t="shared" si="3"/>
        <v>Livestock/Domestic Animals</v>
      </c>
    </row>
    <row r="1918">
      <c r="A1918" s="7" t="s">
        <v>3439</v>
      </c>
      <c r="B1918" s="8" t="s">
        <v>3440</v>
      </c>
      <c r="C1918" s="8" t="s">
        <v>27</v>
      </c>
      <c r="D1918" s="8" t="s">
        <v>28</v>
      </c>
      <c r="E1918" s="8" t="s">
        <v>19</v>
      </c>
      <c r="F1918" s="8" t="s">
        <v>20</v>
      </c>
      <c r="G1918" s="8" t="s">
        <v>21</v>
      </c>
      <c r="H1918" s="9"/>
      <c r="I1918" s="9"/>
      <c r="J1918" s="10">
        <f t="shared" ref="J1918:M1918" si="1130">ifs(OR($H1918="R",$I1918="N"),"N/A",OR(C1918="A",C1918="B",C1918="C",C1918="U"),3,TRUE,"FLAG")</f>
        <v>3</v>
      </c>
      <c r="K1918" s="10">
        <f t="shared" si="1130"/>
        <v>3</v>
      </c>
      <c r="L1918" s="10">
        <f t="shared" si="1130"/>
        <v>3</v>
      </c>
      <c r="M1918" s="10" t="str">
        <f t="shared" si="1130"/>
        <v>FLAG</v>
      </c>
      <c r="N1918" s="10" t="str">
        <f t="shared" si="2"/>
        <v>47-1827(c)(3) - Livestock/Domestic Animals; With intent to damage &amp; without consent; enter an animal facility and commit or attempt to commit a prohibited act</v>
      </c>
      <c r="O1918" s="10" t="str">
        <f t="shared" si="3"/>
        <v>Livestock/Domestic Animals</v>
      </c>
    </row>
    <row r="1919">
      <c r="A1919" s="7" t="s">
        <v>3441</v>
      </c>
      <c r="B1919" s="8" t="s">
        <v>3442</v>
      </c>
      <c r="C1919" s="8" t="s">
        <v>27</v>
      </c>
      <c r="D1919" s="8" t="s">
        <v>28</v>
      </c>
      <c r="E1919" s="8" t="s">
        <v>19</v>
      </c>
      <c r="F1919" s="8" t="s">
        <v>20</v>
      </c>
      <c r="G1919" s="8" t="s">
        <v>21</v>
      </c>
      <c r="H1919" s="9"/>
      <c r="I1919" s="9"/>
      <c r="J1919" s="10">
        <f t="shared" ref="J1919:M1919" si="1131">ifs(OR($H1919="R",$I1919="N"),"N/A",OR(C1919="A",C1919="B",C1919="C",C1919="U"),3,TRUE,"FLAG")</f>
        <v>3</v>
      </c>
      <c r="K1919" s="10">
        <f t="shared" si="1131"/>
        <v>3</v>
      </c>
      <c r="L1919" s="10">
        <f t="shared" si="1131"/>
        <v>3</v>
      </c>
      <c r="M1919" s="10" t="str">
        <f t="shared" si="1131"/>
        <v>FLAG</v>
      </c>
      <c r="N1919" s="10" t="str">
        <f t="shared" si="2"/>
        <v>47-1827(c)(1) - Livestock/Domestic Animals; With intent to damage &amp; without consent; enter an animal facility, not open to the public, with intent to commit a prohibited act</v>
      </c>
      <c r="O1919" s="10" t="str">
        <f t="shared" si="3"/>
        <v>Livestock/Domestic Animals</v>
      </c>
    </row>
    <row r="1920">
      <c r="A1920" s="7" t="s">
        <v>3443</v>
      </c>
      <c r="B1920" s="8" t="s">
        <v>3444</v>
      </c>
      <c r="C1920" s="8" t="s">
        <v>27</v>
      </c>
      <c r="D1920" s="8" t="s">
        <v>28</v>
      </c>
      <c r="E1920" s="8" t="s">
        <v>19</v>
      </c>
      <c r="F1920" s="8" t="s">
        <v>20</v>
      </c>
      <c r="G1920" s="8" t="s">
        <v>21</v>
      </c>
      <c r="H1920" s="9"/>
      <c r="I1920" s="9"/>
      <c r="J1920" s="10">
        <f t="shared" ref="J1920:M1920" si="1132">ifs(OR($H1920="R",$I1920="N"),"N/A",OR(C1920="A",C1920="B",C1920="C",C1920="U"),3,TRUE,"FLAG")</f>
        <v>3</v>
      </c>
      <c r="K1920" s="10">
        <f t="shared" si="1132"/>
        <v>3</v>
      </c>
      <c r="L1920" s="10">
        <f t="shared" si="1132"/>
        <v>3</v>
      </c>
      <c r="M1920" s="10" t="str">
        <f t="shared" si="1132"/>
        <v>FLAG</v>
      </c>
      <c r="N1920" s="10" t="str">
        <f t="shared" si="2"/>
        <v>47-1827(c)(4) - Livestock/Domestic Animals; With intent to damage &amp; without consent; enter animal facility to take pictures by photograph, video camera or by any other means</v>
      </c>
      <c r="O1920" s="10" t="str">
        <f t="shared" si="3"/>
        <v>Livestock/Domestic Animals</v>
      </c>
    </row>
    <row r="1921">
      <c r="A1921" s="7" t="s">
        <v>3445</v>
      </c>
      <c r="B1921" s="8" t="s">
        <v>3446</v>
      </c>
      <c r="C1921" s="8" t="s">
        <v>28</v>
      </c>
      <c r="D1921" s="8" t="s">
        <v>19</v>
      </c>
      <c r="E1921" s="8" t="s">
        <v>19</v>
      </c>
      <c r="F1921" s="8" t="s">
        <v>20</v>
      </c>
      <c r="G1921" s="8" t="s">
        <v>21</v>
      </c>
      <c r="H1921" s="9"/>
      <c r="I1921" s="9"/>
      <c r="J1921" s="10">
        <f t="shared" ref="J1921:M1921" si="1133">ifs(OR($H1921="R",$I1921="N"),"N/A",OR(C1921="A",C1921="B",C1921="C",C1921="U"),3,TRUE,"FLAG")</f>
        <v>3</v>
      </c>
      <c r="K1921" s="10">
        <f t="shared" si="1133"/>
        <v>3</v>
      </c>
      <c r="L1921" s="10">
        <f t="shared" si="1133"/>
        <v>3</v>
      </c>
      <c r="M1921" s="10" t="str">
        <f t="shared" si="1133"/>
        <v>FLAG</v>
      </c>
      <c r="N1921" s="10" t="str">
        <f t="shared" si="2"/>
        <v>47-1827(d)(1)(A) - Livestock/Domestic Animals; With intent to damage &amp; without consent; enter or remain on animal facility having had notice that entry was forbidden</v>
      </c>
      <c r="O1921" s="10" t="str">
        <f t="shared" si="3"/>
        <v>Livestock/Domestic Animals</v>
      </c>
    </row>
    <row r="1922">
      <c r="A1922" s="7" t="s">
        <v>3447</v>
      </c>
      <c r="B1922" s="8" t="s">
        <v>3448</v>
      </c>
      <c r="C1922" s="8" t="s">
        <v>28</v>
      </c>
      <c r="D1922" s="8" t="s">
        <v>19</v>
      </c>
      <c r="E1922" s="8" t="s">
        <v>19</v>
      </c>
      <c r="F1922" s="8" t="s">
        <v>20</v>
      </c>
      <c r="G1922" s="8" t="s">
        <v>21</v>
      </c>
      <c r="H1922" s="9"/>
      <c r="I1922" s="9"/>
      <c r="J1922" s="10">
        <f t="shared" ref="J1922:M1922" si="1134">ifs(OR($H1922="R",$I1922="N"),"N/A",OR(C1922="A",C1922="B",C1922="C",C1922="U"),3,TRUE,"FLAG")</f>
        <v>3</v>
      </c>
      <c r="K1922" s="10">
        <f t="shared" si="1134"/>
        <v>3</v>
      </c>
      <c r="L1922" s="10">
        <f t="shared" si="1134"/>
        <v>3</v>
      </c>
      <c r="M1922" s="10" t="str">
        <f t="shared" si="1134"/>
        <v>FLAG</v>
      </c>
      <c r="N1922" s="10" t="str">
        <f t="shared" si="2"/>
        <v>47-1827(d)(1)(B) - Livestock/Domestic Animals; With intent to damage &amp; without consent; enter or remain on animal facility having received notice to depart but failing to do so</v>
      </c>
      <c r="O1922" s="10" t="str">
        <f t="shared" si="3"/>
        <v>Livestock/Domestic Animals</v>
      </c>
    </row>
    <row r="1923">
      <c r="A1923" s="7" t="s">
        <v>3449</v>
      </c>
      <c r="B1923" s="8" t="s">
        <v>3450</v>
      </c>
      <c r="C1923" s="8" t="s">
        <v>27</v>
      </c>
      <c r="D1923" s="8" t="s">
        <v>28</v>
      </c>
      <c r="E1923" s="8" t="s">
        <v>19</v>
      </c>
      <c r="F1923" s="8" t="s">
        <v>20</v>
      </c>
      <c r="G1923" s="8" t="s">
        <v>21</v>
      </c>
      <c r="H1923" s="9"/>
      <c r="I1923" s="9"/>
      <c r="J1923" s="10">
        <f t="shared" ref="J1923:M1923" si="1135">ifs(OR($H1923="R",$I1923="N"),"N/A",OR(C1923="A",C1923="B",C1923="C",C1923="U"),3,TRUE,"FLAG")</f>
        <v>3</v>
      </c>
      <c r="K1923" s="10">
        <f t="shared" si="1135"/>
        <v>3</v>
      </c>
      <c r="L1923" s="10">
        <f t="shared" si="1135"/>
        <v>3</v>
      </c>
      <c r="M1923" s="10" t="str">
        <f t="shared" si="1135"/>
        <v>FLAG</v>
      </c>
      <c r="N1923" s="10" t="str">
        <f t="shared" si="2"/>
        <v>47-1827(c)(2) - Livestock/Domestic Animals; With intent to damage &amp; without consent; remain concealed, with intent to commit an act prohibited by this section</v>
      </c>
      <c r="O1923" s="10" t="str">
        <f t="shared" si="3"/>
        <v>Livestock/Domestic Animals</v>
      </c>
    </row>
    <row r="1924">
      <c r="A1924" s="7" t="s">
        <v>3451</v>
      </c>
      <c r="B1924" s="8" t="s">
        <v>3452</v>
      </c>
      <c r="C1924" s="8" t="s">
        <v>18</v>
      </c>
      <c r="D1924" s="8" t="s">
        <v>18</v>
      </c>
      <c r="E1924" s="8" t="s">
        <v>19</v>
      </c>
      <c r="F1924" s="8" t="s">
        <v>20</v>
      </c>
      <c r="G1924" s="8" t="s">
        <v>21</v>
      </c>
      <c r="H1924" s="9"/>
      <c r="I1924" s="9"/>
      <c r="J1924" s="10">
        <f t="shared" ref="J1924:M1924" si="1136">ifs(OR($H1924="R",$I1924="N"),"N/A",OR(C1924="A",C1924="B",C1924="C",C1924="U"),3,TRUE,"FLAG")</f>
        <v>3</v>
      </c>
      <c r="K1924" s="10">
        <f t="shared" si="1136"/>
        <v>3</v>
      </c>
      <c r="L1924" s="10">
        <f t="shared" si="1136"/>
        <v>3</v>
      </c>
      <c r="M1924" s="10" t="str">
        <f t="shared" si="1136"/>
        <v>FLAG</v>
      </c>
      <c r="N1924" s="10" t="str">
        <f t="shared" si="2"/>
        <v>47-1509 - Livestock; Feedlots; penalty for violation of act</v>
      </c>
      <c r="O1924" s="10" t="str">
        <f t="shared" si="3"/>
        <v>Livestock</v>
      </c>
    </row>
    <row r="1925">
      <c r="A1925" s="7" t="s">
        <v>3453</v>
      </c>
      <c r="B1925" s="8" t="s">
        <v>3454</v>
      </c>
      <c r="C1925" s="8" t="s">
        <v>18</v>
      </c>
      <c r="D1925" s="8" t="s">
        <v>18</v>
      </c>
      <c r="E1925" s="8" t="s">
        <v>19</v>
      </c>
      <c r="F1925" s="8" t="s">
        <v>20</v>
      </c>
      <c r="G1925" s="8" t="s">
        <v>21</v>
      </c>
      <c r="H1925" s="9"/>
      <c r="I1925" s="9"/>
      <c r="J1925" s="10">
        <f t="shared" ref="J1925:M1925" si="1137">ifs(OR($H1925="R",$I1925="N"),"N/A",OR(C1925="A",C1925="B",C1925="C",C1925="U"),3,TRUE,"FLAG")</f>
        <v>3</v>
      </c>
      <c r="K1925" s="10">
        <f t="shared" si="1137"/>
        <v>3</v>
      </c>
      <c r="L1925" s="10">
        <f t="shared" si="1137"/>
        <v>3</v>
      </c>
      <c r="M1925" s="10" t="str">
        <f t="shared" si="1137"/>
        <v>FLAG</v>
      </c>
      <c r="N1925" s="10" t="str">
        <f t="shared" si="2"/>
        <v>47-121 - Livestock; Stock Running at Large; unlawful driving of animals</v>
      </c>
      <c r="O1925" s="10" t="str">
        <f t="shared" si="3"/>
        <v>Livestock</v>
      </c>
    </row>
    <row r="1926">
      <c r="A1926" s="7" t="s">
        <v>3455</v>
      </c>
      <c r="B1926" s="8" t="s">
        <v>3456</v>
      </c>
      <c r="C1926" s="8">
        <v>7.0</v>
      </c>
      <c r="D1926" s="8">
        <v>9.0</v>
      </c>
      <c r="E1926" s="8">
        <v>9.0</v>
      </c>
      <c r="F1926" s="8">
        <v>10.0</v>
      </c>
      <c r="G1926" s="8" t="s">
        <v>21</v>
      </c>
      <c r="H1926" s="9"/>
      <c r="I1926" s="9"/>
      <c r="N1926" s="10" t="str">
        <f t="shared" si="2"/>
        <v>50-1017(1) - Loan Brokers; Employ any device, scheme or artifice to defraud</v>
      </c>
      <c r="O1926" s="10" t="str">
        <f t="shared" si="3"/>
        <v>Loan Brokers</v>
      </c>
    </row>
    <row r="1927">
      <c r="A1927" s="7" t="s">
        <v>3457</v>
      </c>
      <c r="B1927" s="8" t="s">
        <v>3458</v>
      </c>
      <c r="C1927" s="8">
        <v>7.0</v>
      </c>
      <c r="D1927" s="8">
        <v>9.0</v>
      </c>
      <c r="E1927" s="8">
        <v>9.0</v>
      </c>
      <c r="F1927" s="8">
        <v>10.0</v>
      </c>
      <c r="G1927" s="8" t="s">
        <v>21</v>
      </c>
      <c r="H1927" s="9"/>
      <c r="I1927" s="9"/>
      <c r="N1927" s="10" t="str">
        <f t="shared" si="2"/>
        <v>50-1017(3) - Loan Brokers; Engage in any act, practice or course of business that operates or would operate as a fraud or deceit upon any person</v>
      </c>
      <c r="O1927" s="10" t="str">
        <f t="shared" si="3"/>
        <v>Loan Brokers</v>
      </c>
    </row>
    <row r="1928">
      <c r="A1928" s="7" t="s">
        <v>3459</v>
      </c>
      <c r="B1928" s="8" t="s">
        <v>3460</v>
      </c>
      <c r="C1928" s="8">
        <v>7.0</v>
      </c>
      <c r="D1928" s="8">
        <v>9.0</v>
      </c>
      <c r="E1928" s="8">
        <v>9.0</v>
      </c>
      <c r="F1928" s="8">
        <v>10.0</v>
      </c>
      <c r="G1928" s="8" t="s">
        <v>21</v>
      </c>
      <c r="H1928" s="9"/>
      <c r="I1928" s="9"/>
      <c r="N1928" s="10" t="str">
        <f t="shared" si="2"/>
        <v>50-1002 - Loan Brokers; Engage in business as an unregistered loan broker</v>
      </c>
      <c r="O1928" s="10" t="str">
        <f t="shared" si="3"/>
        <v>Loan Brokers</v>
      </c>
    </row>
    <row r="1929">
      <c r="A1929" s="7" t="s">
        <v>3461</v>
      </c>
      <c r="B1929" s="8" t="s">
        <v>3462</v>
      </c>
      <c r="C1929" s="8">
        <v>7.0</v>
      </c>
      <c r="D1929" s="8">
        <v>9.0</v>
      </c>
      <c r="E1929" s="8">
        <v>9.0</v>
      </c>
      <c r="F1929" s="8">
        <v>10.0</v>
      </c>
      <c r="G1929" s="8" t="s">
        <v>21</v>
      </c>
      <c r="H1929" s="9"/>
      <c r="I1929" s="9"/>
      <c r="N1929" s="10" t="str">
        <f t="shared" si="2"/>
        <v>50-1018 - Loan Brokers; Make false or misleading filing or statement</v>
      </c>
      <c r="O1929" s="10" t="str">
        <f t="shared" si="3"/>
        <v>Loan Brokers</v>
      </c>
    </row>
    <row r="1930">
      <c r="A1930" s="7" t="s">
        <v>3463</v>
      </c>
      <c r="B1930" s="8" t="s">
        <v>3464</v>
      </c>
      <c r="C1930" s="8">
        <v>7.0</v>
      </c>
      <c r="D1930" s="8">
        <v>9.0</v>
      </c>
      <c r="E1930" s="8">
        <v>9.0</v>
      </c>
      <c r="F1930" s="8">
        <v>10.0</v>
      </c>
      <c r="G1930" s="8" t="s">
        <v>21</v>
      </c>
      <c r="H1930" s="9"/>
      <c r="I1930" s="9"/>
      <c r="N1930" s="10" t="str">
        <f t="shared" si="2"/>
        <v>50-1017(2) - Loan Brokers; Make untrue statements of a material fact or omit a necessary material fact</v>
      </c>
      <c r="O1930" s="10" t="str">
        <f t="shared" si="3"/>
        <v>Loan Brokers</v>
      </c>
    </row>
    <row r="1931">
      <c r="A1931" s="7" t="s">
        <v>3465</v>
      </c>
      <c r="B1931" s="8" t="s">
        <v>3466</v>
      </c>
      <c r="C1931" s="8">
        <v>7.0</v>
      </c>
      <c r="D1931" s="8">
        <v>9.0</v>
      </c>
      <c r="E1931" s="8">
        <v>9.0</v>
      </c>
      <c r="F1931" s="8">
        <v>10.0</v>
      </c>
      <c r="G1931" s="8" t="s">
        <v>21</v>
      </c>
      <c r="H1931" s="9"/>
      <c r="I1931" s="9"/>
      <c r="N1931" s="10" t="str">
        <f t="shared" si="2"/>
        <v>50-1013(a) - Loan Brokers; Penalty for willful violation of the loan broker act</v>
      </c>
      <c r="O1931" s="10" t="str">
        <f t="shared" si="3"/>
        <v>Loan Brokers</v>
      </c>
    </row>
    <row r="1932">
      <c r="A1932" s="7" t="s">
        <v>3467</v>
      </c>
      <c r="B1932" s="8" t="s">
        <v>3468</v>
      </c>
      <c r="C1932" s="8" t="s">
        <v>18</v>
      </c>
      <c r="D1932" s="8" t="s">
        <v>18</v>
      </c>
      <c r="E1932" s="8" t="s">
        <v>19</v>
      </c>
      <c r="F1932" s="8" t="s">
        <v>20</v>
      </c>
      <c r="G1932" s="8" t="s">
        <v>21</v>
      </c>
      <c r="H1932" s="9"/>
      <c r="I1932" s="9"/>
      <c r="J1932" s="10">
        <f t="shared" ref="J1932:M1932" si="1138">ifs(OR($H1932="R",$I1932="N"),"N/A",OR(C1932="A",C1932="B",C1932="C",C1932="U"),3,TRUE,"FLAG")</f>
        <v>3</v>
      </c>
      <c r="K1932" s="10">
        <f t="shared" si="1138"/>
        <v>3</v>
      </c>
      <c r="L1932" s="10">
        <f t="shared" si="1138"/>
        <v>3</v>
      </c>
      <c r="M1932" s="10" t="str">
        <f t="shared" si="1138"/>
        <v>FLAG</v>
      </c>
      <c r="N1932" s="10" t="str">
        <f t="shared" si="2"/>
        <v>65-202 - Local Boards of Health; Clinics; Fail or neglect to perform duties prescribed by this act</v>
      </c>
      <c r="O1932" s="10" t="str">
        <f t="shared" si="3"/>
        <v>Local Boards of Health</v>
      </c>
    </row>
    <row r="1933">
      <c r="A1933" s="7" t="s">
        <v>3469</v>
      </c>
      <c r="B1933" s="8" t="s">
        <v>3470</v>
      </c>
      <c r="C1933" s="8" t="s">
        <v>19</v>
      </c>
      <c r="D1933" s="8" t="s">
        <v>19</v>
      </c>
      <c r="E1933" s="8" t="s">
        <v>19</v>
      </c>
      <c r="F1933" s="8" t="s">
        <v>20</v>
      </c>
      <c r="G1933" s="8" t="s">
        <v>21</v>
      </c>
      <c r="H1933" s="9"/>
      <c r="I1933" s="9"/>
      <c r="J1933" s="10">
        <f t="shared" ref="J1933:M1933" si="1139">ifs(OR($H1933="R",$I1933="N"),"N/A",OR(C1933="A",C1933="B",C1933="C",C1933="U"),3,TRUE,"FLAG")</f>
        <v>3</v>
      </c>
      <c r="K1933" s="10">
        <f t="shared" si="1139"/>
        <v>3</v>
      </c>
      <c r="L1933" s="10">
        <f t="shared" si="1139"/>
        <v>3</v>
      </c>
      <c r="M1933" s="10" t="str">
        <f t="shared" si="1139"/>
        <v>FLAG</v>
      </c>
      <c r="N1933" s="10" t="str">
        <f t="shared" si="2"/>
        <v>36-516(a) - Lodging Inspection Act; Installing or owning any gas stove in a public building, resort, hotel, restaurant, tourist camp or other similar public place without proper connection to a chimney or other outlet</v>
      </c>
      <c r="O1933" s="10" t="str">
        <f t="shared" si="3"/>
        <v>Lodging Inspection Act</v>
      </c>
    </row>
    <row r="1934">
      <c r="A1934" s="7" t="s">
        <v>3471</v>
      </c>
      <c r="B1934" s="8" t="s">
        <v>3472</v>
      </c>
      <c r="C1934" s="8" t="s">
        <v>28</v>
      </c>
      <c r="D1934" s="8" t="s">
        <v>19</v>
      </c>
      <c r="E1934" s="8" t="s">
        <v>19</v>
      </c>
      <c r="F1934" s="8" t="s">
        <v>20</v>
      </c>
      <c r="G1934" s="8" t="s">
        <v>21</v>
      </c>
      <c r="H1934" s="9"/>
      <c r="I1934" s="9"/>
      <c r="J1934" s="10">
        <f t="shared" ref="J1934:M1934" si="1140">ifs(OR($H1934="R",$I1934="N"),"N/A",OR(C1934="A",C1934="B",C1934="C",C1934="U"),3,TRUE,"FLAG")</f>
        <v>3</v>
      </c>
      <c r="K1934" s="10">
        <f t="shared" si="1140"/>
        <v>3</v>
      </c>
      <c r="L1934" s="10">
        <f t="shared" si="1140"/>
        <v>3</v>
      </c>
      <c r="M1934" s="10" t="str">
        <f t="shared" si="1140"/>
        <v>FLAG</v>
      </c>
      <c r="N1934" s="10" t="str">
        <f t="shared" si="2"/>
        <v>65-6403(b) - Marriage &amp; Family Therapists Licensure Act; Practice marriage/family therapy as a clinical marriage/family therapist without a license; hold oneself out as licensed clinical marriage/family therapist or clinical marriage/family therapist without such a license</v>
      </c>
      <c r="O1934" s="10" t="str">
        <f t="shared" si="3"/>
        <v>Marriage &amp; Family Therapists Licensure Act</v>
      </c>
    </row>
    <row r="1935">
      <c r="A1935" s="7" t="s">
        <v>3473</v>
      </c>
      <c r="B1935" s="8" t="s">
        <v>3474</v>
      </c>
      <c r="C1935" s="8" t="s">
        <v>28</v>
      </c>
      <c r="D1935" s="8" t="s">
        <v>19</v>
      </c>
      <c r="E1935" s="8" t="s">
        <v>19</v>
      </c>
      <c r="F1935" s="8" t="s">
        <v>20</v>
      </c>
      <c r="G1935" s="8" t="s">
        <v>21</v>
      </c>
      <c r="H1935" s="9"/>
      <c r="I1935" s="9"/>
      <c r="J1935" s="10">
        <f t="shared" ref="J1935:M1935" si="1141">ifs(OR($H1935="R",$I1935="N"),"N/A",OR(C1935="A",C1935="B",C1935="C",C1935="U"),3,TRUE,"FLAG")</f>
        <v>3</v>
      </c>
      <c r="K1935" s="10">
        <f t="shared" si="1141"/>
        <v>3</v>
      </c>
      <c r="L1935" s="10">
        <f t="shared" si="1141"/>
        <v>3</v>
      </c>
      <c r="M1935" s="10" t="str">
        <f t="shared" si="1141"/>
        <v>FLAG</v>
      </c>
      <c r="N1935" s="10" t="str">
        <f t="shared" si="2"/>
        <v>65-6403(a) - Marriage &amp; Family Therapists Licensure Act; Practice marriage/family therapy without license; hold oneself out as licensed marriage/ family therapist or marriage/family therapist without such a license</v>
      </c>
      <c r="O1935" s="10" t="str">
        <f t="shared" si="3"/>
        <v>Marriage &amp; Family Therapists Licensure Act</v>
      </c>
    </row>
    <row r="1936">
      <c r="A1936" s="7" t="s">
        <v>3475</v>
      </c>
      <c r="B1936" s="8" t="s">
        <v>3476</v>
      </c>
      <c r="C1936" s="8" t="s">
        <v>18</v>
      </c>
      <c r="D1936" s="8" t="s">
        <v>18</v>
      </c>
      <c r="E1936" s="8" t="s">
        <v>19</v>
      </c>
      <c r="F1936" s="8" t="s">
        <v>20</v>
      </c>
      <c r="G1936" s="8" t="s">
        <v>21</v>
      </c>
      <c r="H1936" s="9"/>
      <c r="I1936" s="9"/>
      <c r="J1936" s="10">
        <f t="shared" ref="J1936:M1936" si="1142">ifs(OR($H1936="R",$I1936="N"),"N/A",OR(C1936="A",C1936="B",C1936="C",C1936="U"),3,TRUE,"FLAG")</f>
        <v>3</v>
      </c>
      <c r="K1936" s="10">
        <f t="shared" si="1142"/>
        <v>3</v>
      </c>
      <c r="L1936" s="10">
        <f t="shared" si="1142"/>
        <v>3</v>
      </c>
      <c r="M1936" s="10" t="str">
        <f t="shared" si="1142"/>
        <v>FLAG</v>
      </c>
      <c r="N1936" s="10" t="str">
        <f t="shared" si="2"/>
        <v>23-2505 - Marriage; Marriage License - False Swearing in Affidavit</v>
      </c>
      <c r="O1936" s="10" t="str">
        <f t="shared" si="3"/>
        <v>Marriage</v>
      </c>
    </row>
    <row r="1937">
      <c r="A1937" s="7" t="s">
        <v>3477</v>
      </c>
      <c r="B1937" s="8" t="s">
        <v>3478</v>
      </c>
      <c r="C1937" s="8" t="s">
        <v>18</v>
      </c>
      <c r="D1937" s="8" t="s">
        <v>18</v>
      </c>
      <c r="E1937" s="8" t="s">
        <v>19</v>
      </c>
      <c r="F1937" s="8" t="s">
        <v>20</v>
      </c>
      <c r="G1937" s="8" t="s">
        <v>21</v>
      </c>
      <c r="H1937" s="9"/>
      <c r="I1937" s="9"/>
      <c r="J1937" s="10">
        <f t="shared" ref="J1937:M1937" si="1143">ifs(OR($H1937="R",$I1937="N"),"N/A",OR(C1937="A",C1937="B",C1937="C",C1937="U"),3,TRUE,"FLAG")</f>
        <v>3</v>
      </c>
      <c r="K1937" s="10">
        <f t="shared" si="1143"/>
        <v>3</v>
      </c>
      <c r="L1937" s="10">
        <f t="shared" si="1143"/>
        <v>3</v>
      </c>
      <c r="M1937" s="10" t="str">
        <f t="shared" si="1143"/>
        <v>FLAG</v>
      </c>
      <c r="N1937" s="10" t="str">
        <f t="shared" si="2"/>
        <v>23-2513 - Marriage; Penalty for judge or clerk not complying with statutory requirements</v>
      </c>
      <c r="O1937" s="10" t="str">
        <f t="shared" si="3"/>
        <v>Marriage</v>
      </c>
    </row>
    <row r="1938">
      <c r="A1938" s="7" t="s">
        <v>3479</v>
      </c>
      <c r="B1938" s="8" t="s">
        <v>3480</v>
      </c>
      <c r="C1938" s="8" t="s">
        <v>18</v>
      </c>
      <c r="D1938" s="8" t="s">
        <v>18</v>
      </c>
      <c r="E1938" s="8" t="s">
        <v>19</v>
      </c>
      <c r="F1938" s="8" t="s">
        <v>20</v>
      </c>
      <c r="G1938" s="8" t="s">
        <v>21</v>
      </c>
      <c r="H1938" s="9"/>
      <c r="I1938" s="9"/>
      <c r="J1938" s="10">
        <f t="shared" ref="J1938:M1938" si="1144">ifs(OR($H1938="R",$I1938="N"),"N/A",OR(C1938="A",C1938="B",C1938="C",C1938="U"),3,TRUE,"FLAG")</f>
        <v>3</v>
      </c>
      <c r="K1938" s="10">
        <f t="shared" si="1144"/>
        <v>3</v>
      </c>
      <c r="L1938" s="10">
        <f t="shared" si="1144"/>
        <v>3</v>
      </c>
      <c r="M1938" s="10" t="str">
        <f t="shared" si="1144"/>
        <v>FLAG</v>
      </c>
      <c r="N1938" s="10" t="str">
        <f t="shared" si="2"/>
        <v>23-2517 - Marriage; Unauthorized Solemnizing of marriage</v>
      </c>
      <c r="O1938" s="10" t="str">
        <f t="shared" si="3"/>
        <v>Marriage</v>
      </c>
    </row>
    <row r="1939">
      <c r="A1939" s="7" t="s">
        <v>3481</v>
      </c>
      <c r="B1939" s="8" t="s">
        <v>3482</v>
      </c>
      <c r="C1939" s="8" t="s">
        <v>18</v>
      </c>
      <c r="D1939" s="8" t="s">
        <v>18</v>
      </c>
      <c r="E1939" s="8" t="s">
        <v>19</v>
      </c>
      <c r="F1939" s="8" t="s">
        <v>20</v>
      </c>
      <c r="G1939" s="8" t="s">
        <v>21</v>
      </c>
      <c r="H1939" s="9"/>
      <c r="I1939" s="9"/>
      <c r="J1939" s="10">
        <f t="shared" ref="J1939:M1939" si="1145">ifs(OR($H1939="R",$I1939="N"),"N/A",OR(C1939="A",C1939="B",C1939="C",C1939="U"),3,TRUE,"FLAG")</f>
        <v>3</v>
      </c>
      <c r="K1939" s="10">
        <f t="shared" si="1145"/>
        <v>3</v>
      </c>
      <c r="L1939" s="10">
        <f t="shared" si="1145"/>
        <v>3</v>
      </c>
      <c r="M1939" s="10" t="str">
        <f t="shared" si="1145"/>
        <v>FLAG</v>
      </c>
      <c r="N1939" s="10" t="str">
        <f t="shared" si="2"/>
        <v>65-516(i)(5) - Maternity Centers &amp; Child Care Facilities; Unauthorized disclosure of confidential criminal history record by staff of child placement agency</v>
      </c>
      <c r="O1939" s="10" t="str">
        <f t="shared" si="3"/>
        <v>Maternity Centers &amp; Child Care Facilities</v>
      </c>
    </row>
    <row r="1940">
      <c r="A1940" s="7" t="s">
        <v>3483</v>
      </c>
      <c r="B1940" s="8" t="s">
        <v>3484</v>
      </c>
      <c r="C1940" s="8" t="s">
        <v>18</v>
      </c>
      <c r="D1940" s="8" t="s">
        <v>18</v>
      </c>
      <c r="E1940" s="8" t="s">
        <v>19</v>
      </c>
      <c r="F1940" s="8" t="s">
        <v>20</v>
      </c>
      <c r="G1940" s="8" t="s">
        <v>21</v>
      </c>
      <c r="H1940" s="9"/>
      <c r="I1940" s="9"/>
      <c r="J1940" s="10">
        <f t="shared" ref="J1940:M1940" si="1146">ifs(OR($H1940="R",$I1940="N"),"N/A",OR(C1940="A",C1940="B",C1940="C",C1940="U"),3,TRUE,"FLAG")</f>
        <v>3</v>
      </c>
      <c r="K1940" s="10">
        <f t="shared" si="1146"/>
        <v>3</v>
      </c>
      <c r="L1940" s="10">
        <f t="shared" si="1146"/>
        <v>3</v>
      </c>
      <c r="M1940" s="10" t="str">
        <f t="shared" si="1146"/>
        <v>FLAG</v>
      </c>
      <c r="N1940" s="10" t="str">
        <f t="shared" si="2"/>
        <v>65-514 - Maternity Centers &amp; Child Care Facilities; Violations of article 5 of chapter 65</v>
      </c>
      <c r="O1940" s="10" t="str">
        <f t="shared" si="3"/>
        <v>Maternity Centers &amp; Child Care Facilities</v>
      </c>
    </row>
    <row r="1941">
      <c r="A1941" s="7" t="s">
        <v>3485</v>
      </c>
      <c r="B1941" s="8" t="s">
        <v>3486</v>
      </c>
      <c r="C1941" s="8" t="s">
        <v>19</v>
      </c>
      <c r="D1941" s="8" t="s">
        <v>19</v>
      </c>
      <c r="E1941" s="8" t="s">
        <v>19</v>
      </c>
      <c r="F1941" s="8" t="s">
        <v>20</v>
      </c>
      <c r="G1941" s="8" t="s">
        <v>21</v>
      </c>
      <c r="H1941" s="9"/>
      <c r="I1941" s="9"/>
      <c r="J1941" s="10">
        <f t="shared" ref="J1941:M1941" si="1147">ifs(OR($H1941="R",$I1941="N"),"N/A",OR(C1941="A",C1941="B",C1941="C",C1941="U"),3,TRUE,"FLAG")</f>
        <v>3</v>
      </c>
      <c r="K1941" s="10">
        <f t="shared" si="1147"/>
        <v>3</v>
      </c>
      <c r="L1941" s="10">
        <f t="shared" si="1147"/>
        <v>3</v>
      </c>
      <c r="M1941" s="10" t="str">
        <f t="shared" si="1147"/>
        <v>FLAG</v>
      </c>
      <c r="N1941" s="10" t="str">
        <f t="shared" si="2"/>
        <v>65-6a52 - Meat &amp; Poultry Inspection Act; Penalty for any violation of act</v>
      </c>
      <c r="O1941" s="10" t="str">
        <f t="shared" si="3"/>
        <v>Meat &amp; Poultry Inspection Act</v>
      </c>
    </row>
    <row r="1942">
      <c r="A1942" s="7" t="s">
        <v>3487</v>
      </c>
      <c r="B1942" s="8" t="s">
        <v>3488</v>
      </c>
      <c r="C1942" s="8" t="s">
        <v>19</v>
      </c>
      <c r="D1942" s="8" t="s">
        <v>19</v>
      </c>
      <c r="E1942" s="8" t="s">
        <v>19</v>
      </c>
      <c r="F1942" s="8" t="s">
        <v>20</v>
      </c>
      <c r="G1942" s="8" t="s">
        <v>21</v>
      </c>
      <c r="H1942" s="9"/>
      <c r="I1942" s="9"/>
      <c r="J1942" s="10">
        <f t="shared" ref="J1942:M1942" si="1148">ifs(OR($H1942="R",$I1942="N"),"N/A",OR(C1942="A",C1942="B",C1942="C",C1942="U"),3,TRUE,"FLAG")</f>
        <v>3</v>
      </c>
      <c r="K1942" s="10">
        <f t="shared" si="1148"/>
        <v>3</v>
      </c>
      <c r="L1942" s="10">
        <f t="shared" si="1148"/>
        <v>3</v>
      </c>
      <c r="M1942" s="10" t="str">
        <f t="shared" si="1148"/>
        <v>FLAG</v>
      </c>
      <c r="N1942" s="10" t="str">
        <f t="shared" si="2"/>
        <v>65-6a53 - Meat &amp; Poultry; Imported catfish; labeling as imported required</v>
      </c>
      <c r="O1942" s="10" t="str">
        <f t="shared" si="3"/>
        <v>Meat &amp; Poultry</v>
      </c>
    </row>
    <row r="1943">
      <c r="A1943" s="7" t="s">
        <v>3489</v>
      </c>
      <c r="B1943" s="8" t="s">
        <v>3490</v>
      </c>
      <c r="C1943" s="8" t="s">
        <v>18</v>
      </c>
      <c r="D1943" s="8" t="s">
        <v>18</v>
      </c>
      <c r="E1943" s="8" t="s">
        <v>19</v>
      </c>
      <c r="F1943" s="8" t="s">
        <v>20</v>
      </c>
      <c r="G1943" s="8" t="s">
        <v>21</v>
      </c>
      <c r="H1943" s="9"/>
      <c r="I1943" s="9"/>
      <c r="J1943" s="10">
        <f t="shared" ref="J1943:M1943" si="1149">ifs(OR($H1943="R",$I1943="N"),"N/A",OR(C1943="A",C1943="B",C1943="C",C1943="U"),3,TRUE,"FLAG")</f>
        <v>3</v>
      </c>
      <c r="K1943" s="10">
        <f t="shared" si="1149"/>
        <v>3</v>
      </c>
      <c r="L1943" s="10">
        <f t="shared" si="1149"/>
        <v>3</v>
      </c>
      <c r="M1943" s="10" t="str">
        <f t="shared" si="1149"/>
        <v>FLAG</v>
      </c>
      <c r="N1943" s="10" t="str">
        <f t="shared" si="2"/>
        <v>65-6a40 - Meat &amp; Poultry; Inspections; penalty for any violation of act</v>
      </c>
      <c r="O1943" s="10" t="str">
        <f t="shared" si="3"/>
        <v>Meat &amp; Poultry</v>
      </c>
    </row>
    <row r="1944">
      <c r="A1944" s="7" t="s">
        <v>3491</v>
      </c>
      <c r="B1944" s="8" t="s">
        <v>3492</v>
      </c>
      <c r="C1944" s="8" t="s">
        <v>19</v>
      </c>
      <c r="D1944" s="8" t="s">
        <v>19</v>
      </c>
      <c r="E1944" s="8" t="s">
        <v>19</v>
      </c>
      <c r="F1944" s="8" t="s">
        <v>20</v>
      </c>
      <c r="G1944" s="8" t="s">
        <v>21</v>
      </c>
      <c r="H1944" s="9"/>
      <c r="I1944" s="9"/>
      <c r="J1944" s="10">
        <f t="shared" ref="J1944:M1944" si="1150">ifs(OR($H1944="R",$I1944="N"),"N/A",OR(C1944="A",C1944="B",C1944="C",C1944="U"),3,TRUE,"FLAG")</f>
        <v>3</v>
      </c>
      <c r="K1944" s="10">
        <f t="shared" si="1150"/>
        <v>3</v>
      </c>
      <c r="L1944" s="10">
        <f t="shared" si="1150"/>
        <v>3</v>
      </c>
      <c r="M1944" s="10" t="str">
        <f t="shared" si="1150"/>
        <v>FLAG</v>
      </c>
      <c r="N1944" s="10" t="str">
        <f t="shared" si="2"/>
        <v>65-6a55 - Meat &amp; Poultry; Labeling; penalty for violation of act</v>
      </c>
      <c r="O1944" s="10" t="str">
        <f t="shared" si="3"/>
        <v>Meat &amp; Poultry</v>
      </c>
    </row>
    <row r="1945">
      <c r="A1945" s="7" t="s">
        <v>3493</v>
      </c>
      <c r="B1945" s="8" t="s">
        <v>3490</v>
      </c>
      <c r="C1945" s="8" t="s">
        <v>1532</v>
      </c>
      <c r="D1945" s="8">
        <v>10.0</v>
      </c>
      <c r="E1945" s="8">
        <v>10.0</v>
      </c>
      <c r="F1945" s="8">
        <v>10.0</v>
      </c>
      <c r="G1945" s="8" t="s">
        <v>21</v>
      </c>
      <c r="H1945" s="9"/>
      <c r="I1945" s="9"/>
      <c r="N1945" s="10" t="str">
        <f t="shared" si="2"/>
        <v>65-6a40 - Meat &amp; Poultry; Violation of act involving intent to defraud, or any transportation or distribution or attempted transportation or distribution of an article that is adulterated</v>
      </c>
      <c r="O1945" s="10" t="str">
        <f t="shared" si="3"/>
        <v>Meat &amp; Poultry</v>
      </c>
    </row>
    <row r="1946">
      <c r="A1946" s="7" t="s">
        <v>3494</v>
      </c>
      <c r="B1946" s="8" t="s">
        <v>3495</v>
      </c>
      <c r="C1946" s="8">
        <v>1.0</v>
      </c>
      <c r="D1946" s="8">
        <v>3.0</v>
      </c>
      <c r="E1946" s="8">
        <v>3.0</v>
      </c>
      <c r="F1946" s="8">
        <v>4.0</v>
      </c>
      <c r="G1946" s="8" t="s">
        <v>24</v>
      </c>
      <c r="H1946" s="9"/>
      <c r="I1946" s="9"/>
      <c r="N1946" s="10" t="str">
        <f t="shared" si="2"/>
        <v>21-5927(a)(2) - Medicaid fraud; intentionally executing or attempting a scheme or artifice to defraud medicaid program or contractor or subcontractor thereof; When death results from such act</v>
      </c>
      <c r="O1946" s="10" t="str">
        <f t="shared" si="3"/>
        <v>Medicaid fraud</v>
      </c>
    </row>
    <row r="1947">
      <c r="A1947" s="7" t="s">
        <v>3496</v>
      </c>
      <c r="B1947" s="8" t="s">
        <v>3497</v>
      </c>
      <c r="C1947" s="8">
        <v>1.0</v>
      </c>
      <c r="D1947" s="8">
        <v>3.0</v>
      </c>
      <c r="E1947" s="8">
        <v>3.0</v>
      </c>
      <c r="F1947" s="8">
        <v>4.0</v>
      </c>
      <c r="G1947" s="8" t="s">
        <v>24</v>
      </c>
      <c r="H1947" s="9"/>
      <c r="I1947" s="9"/>
      <c r="N1947" s="10" t="str">
        <f t="shared" si="2"/>
        <v>21-5927(a)(1)(E) - Medicaid fraud; Knowingly make any false statement/representation for use by another in obtaining any goods, service, item, facility or accommodation under the Medicaid program; When death results from such act</v>
      </c>
      <c r="O1947" s="10" t="str">
        <f t="shared" si="3"/>
        <v>Medicaid fraud</v>
      </c>
    </row>
    <row r="1948">
      <c r="A1948" s="7" t="s">
        <v>3498</v>
      </c>
      <c r="B1948" s="8" t="s">
        <v>3499</v>
      </c>
      <c r="C1948" s="8">
        <v>1.0</v>
      </c>
      <c r="D1948" s="8">
        <v>3.0</v>
      </c>
      <c r="E1948" s="8">
        <v>3.0</v>
      </c>
      <c r="F1948" s="8">
        <v>4.0</v>
      </c>
      <c r="G1948" s="8" t="s">
        <v>24</v>
      </c>
      <c r="H1948" s="9"/>
      <c r="I1948" s="9"/>
      <c r="N1948" s="10" t="str">
        <f t="shared" si="2"/>
        <v>21-5927(a)(1)(F) - Medicaid fraud; Make any claim for payment for any goods, service, item, facility, or accommodation, not medically necessary; When death results from such act</v>
      </c>
      <c r="O1948" s="10" t="str">
        <f t="shared" si="3"/>
        <v>Medicaid fraud</v>
      </c>
    </row>
    <row r="1949">
      <c r="A1949" s="7" t="s">
        <v>3500</v>
      </c>
      <c r="B1949" s="8" t="s">
        <v>3501</v>
      </c>
      <c r="C1949" s="8">
        <v>1.0</v>
      </c>
      <c r="D1949" s="8">
        <v>3.0</v>
      </c>
      <c r="E1949" s="8">
        <v>3.0</v>
      </c>
      <c r="F1949" s="8">
        <v>4.0</v>
      </c>
      <c r="G1949" s="8" t="s">
        <v>24</v>
      </c>
      <c r="H1949" s="9"/>
      <c r="I1949" s="9"/>
      <c r="N1949" s="10" t="str">
        <f t="shared" si="2"/>
        <v>21-5927(a)(1)(C) - Medicaid fraud; Make any false or fraudulent report or filing used in computing or determining a rate of payment; When death results from such act</v>
      </c>
      <c r="O1949" s="10" t="str">
        <f t="shared" si="3"/>
        <v>Medicaid fraud</v>
      </c>
    </row>
    <row r="1950">
      <c r="A1950" s="7" t="s">
        <v>3502</v>
      </c>
      <c r="B1950" s="8" t="s">
        <v>3503</v>
      </c>
      <c r="C1950" s="8">
        <v>1.0</v>
      </c>
      <c r="D1950" s="8">
        <v>3.0</v>
      </c>
      <c r="E1950" s="8">
        <v>3.0</v>
      </c>
      <c r="F1950" s="8">
        <v>4.0</v>
      </c>
      <c r="G1950" s="8" t="s">
        <v>24</v>
      </c>
      <c r="H1950" s="9"/>
      <c r="I1950" s="9"/>
      <c r="N1950" s="10" t="str">
        <f t="shared" si="2"/>
        <v>21-5927(a)(1)(B) - Medicaid fraud; Make any false or fraudulent statement/representation for use in determining payments;  When death results from such act</v>
      </c>
      <c r="O1950" s="10" t="str">
        <f t="shared" si="3"/>
        <v>Medicaid fraud</v>
      </c>
    </row>
    <row r="1951">
      <c r="A1951" s="7" t="s">
        <v>3504</v>
      </c>
      <c r="B1951" s="8" t="s">
        <v>3505</v>
      </c>
      <c r="C1951" s="8">
        <v>1.0</v>
      </c>
      <c r="D1951" s="8">
        <v>3.0</v>
      </c>
      <c r="E1951" s="8">
        <v>3.0</v>
      </c>
      <c r="F1951" s="8">
        <v>4.0</v>
      </c>
      <c r="G1951" s="8" t="s">
        <v>24</v>
      </c>
      <c r="H1951" s="9"/>
      <c r="I1951" s="9"/>
      <c r="N1951" s="10" t="str">
        <f t="shared" si="2"/>
        <v>21-5927(a)(1)(D) - Medicaid fraud; Make any false or fraudulent statement/representation in connection with any report or filing used in computing or determining a rate of payment; When death results from such act</v>
      </c>
      <c r="O1951" s="10" t="str">
        <f t="shared" si="3"/>
        <v>Medicaid fraud</v>
      </c>
    </row>
    <row r="1952">
      <c r="A1952" s="7" t="s">
        <v>3506</v>
      </c>
      <c r="B1952" s="8" t="s">
        <v>3507</v>
      </c>
      <c r="C1952" s="8">
        <v>1.0</v>
      </c>
      <c r="D1952" s="8">
        <v>3.0</v>
      </c>
      <c r="E1952" s="8">
        <v>3.0</v>
      </c>
      <c r="F1952" s="8">
        <v>4.0</v>
      </c>
      <c r="G1952" s="8" t="s">
        <v>24</v>
      </c>
      <c r="H1952" s="9"/>
      <c r="I1952" s="9"/>
      <c r="N1952" s="10" t="str">
        <f t="shared" si="2"/>
        <v>21-5927(a)(1)(G) - Medicaid fraud; Make any wholly or partially false or fraudulent book, record, document, data or instrument, which is required to be kept or kept as documentation; When death results from such act</v>
      </c>
      <c r="O1952" s="10" t="str">
        <f t="shared" si="3"/>
        <v>Medicaid fraud</v>
      </c>
    </row>
    <row r="1953">
      <c r="A1953" s="7" t="s">
        <v>3508</v>
      </c>
      <c r="B1953" s="8" t="s">
        <v>3509</v>
      </c>
      <c r="C1953" s="8">
        <v>1.0</v>
      </c>
      <c r="D1953" s="8">
        <v>3.0</v>
      </c>
      <c r="E1953" s="8">
        <v>3.0</v>
      </c>
      <c r="F1953" s="8">
        <v>4.0</v>
      </c>
      <c r="G1953" s="8" t="s">
        <v>24</v>
      </c>
      <c r="H1953" s="9"/>
      <c r="I1953" s="9"/>
      <c r="N1953" s="10" t="str">
        <f t="shared" si="2"/>
        <v>21-5927(a)(1)(A) - Medicaid fraud; Make false or fraudulent claim for payment for any goods, service, item, facility, or accommodation; When death results from such act</v>
      </c>
      <c r="O1953" s="10" t="str">
        <f t="shared" si="3"/>
        <v>Medicaid fraud</v>
      </c>
    </row>
    <row r="1954">
      <c r="A1954" s="7" t="s">
        <v>3510</v>
      </c>
      <c r="B1954" s="8" t="s">
        <v>3495</v>
      </c>
      <c r="C1954" s="8">
        <v>3.0</v>
      </c>
      <c r="D1954" s="8">
        <v>5.0</v>
      </c>
      <c r="E1954" s="8">
        <v>5.0</v>
      </c>
      <c r="F1954" s="8">
        <v>6.0</v>
      </c>
      <c r="G1954" s="8" t="s">
        <v>21</v>
      </c>
      <c r="H1954" s="9"/>
      <c r="I1954" s="9"/>
      <c r="N1954" s="10" t="str">
        <f t="shared" si="2"/>
        <v>21-5927(a)(2) - Medicaid fraud; intentionally executing or attempting a scheme or artifice to defraud medicaid program or contractor or subcontractor thereof; Aggregate payments claimed $250,000 or more</v>
      </c>
      <c r="O1954" s="10" t="str">
        <f t="shared" si="3"/>
        <v>Medicaid fraud</v>
      </c>
    </row>
    <row r="1955">
      <c r="A1955" s="7" t="s">
        <v>3511</v>
      </c>
      <c r="B1955" s="8" t="s">
        <v>3497</v>
      </c>
      <c r="C1955" s="8">
        <v>3.0</v>
      </c>
      <c r="D1955" s="8">
        <v>5.0</v>
      </c>
      <c r="E1955" s="8">
        <v>5.0</v>
      </c>
      <c r="F1955" s="8">
        <v>6.0</v>
      </c>
      <c r="G1955" s="8" t="s">
        <v>21</v>
      </c>
      <c r="H1955" s="9"/>
      <c r="I1955" s="9"/>
      <c r="N1955" s="10" t="str">
        <f t="shared" si="2"/>
        <v>21-5927(a)(1)(E) - Medicaid fraud; Knowingly make any false statement/representation for use by another in obtaining any goods, service, item, facility or accommodation under the Medicaid program;  Aggregate payments claimed $250,000 or more</v>
      </c>
      <c r="O1955" s="10" t="str">
        <f t="shared" si="3"/>
        <v>Medicaid fraud</v>
      </c>
    </row>
    <row r="1956">
      <c r="A1956" s="7" t="s">
        <v>3512</v>
      </c>
      <c r="B1956" s="8" t="s">
        <v>3499</v>
      </c>
      <c r="C1956" s="8">
        <v>3.0</v>
      </c>
      <c r="D1956" s="8">
        <v>5.0</v>
      </c>
      <c r="E1956" s="8">
        <v>5.0</v>
      </c>
      <c r="F1956" s="8">
        <v>6.0</v>
      </c>
      <c r="G1956" s="8" t="s">
        <v>21</v>
      </c>
      <c r="H1956" s="9"/>
      <c r="I1956" s="9"/>
      <c r="N1956" s="10" t="str">
        <f t="shared" si="2"/>
        <v>21-5927(a)(1)(F) - Medicaid fraud; Make any claim for payment for any goods, service, item, facility, or accommodation, not medically necessary;  Aggregate payments claimed $250,000 or more</v>
      </c>
      <c r="O1956" s="10" t="str">
        <f t="shared" si="3"/>
        <v>Medicaid fraud</v>
      </c>
    </row>
    <row r="1957">
      <c r="A1957" s="7" t="s">
        <v>3513</v>
      </c>
      <c r="B1957" s="8" t="s">
        <v>3501</v>
      </c>
      <c r="C1957" s="8">
        <v>3.0</v>
      </c>
      <c r="D1957" s="8">
        <v>5.0</v>
      </c>
      <c r="E1957" s="8">
        <v>5.0</v>
      </c>
      <c r="F1957" s="8">
        <v>6.0</v>
      </c>
      <c r="G1957" s="8" t="s">
        <v>21</v>
      </c>
      <c r="H1957" s="9"/>
      <c r="I1957" s="9"/>
      <c r="N1957" s="10" t="str">
        <f t="shared" si="2"/>
        <v>21-5927(a)(1)(C) - Medicaid fraud; Make any false or fraudulent report or filing used in computing or determining a rate of payment; Aggregate payments claimed $250,000 or more</v>
      </c>
      <c r="O1957" s="10" t="str">
        <f t="shared" si="3"/>
        <v>Medicaid fraud</v>
      </c>
    </row>
    <row r="1958">
      <c r="A1958" s="7" t="s">
        <v>3514</v>
      </c>
      <c r="B1958" s="8" t="s">
        <v>3503</v>
      </c>
      <c r="C1958" s="8">
        <v>3.0</v>
      </c>
      <c r="D1958" s="8">
        <v>5.0</v>
      </c>
      <c r="E1958" s="8">
        <v>5.0</v>
      </c>
      <c r="F1958" s="8">
        <v>6.0</v>
      </c>
      <c r="G1958" s="8" t="s">
        <v>21</v>
      </c>
      <c r="H1958" s="9"/>
      <c r="I1958" s="9"/>
      <c r="N1958" s="10" t="str">
        <f t="shared" si="2"/>
        <v>21-5927(a)(1)(B) - Medicaid fraud; Make any false or fraudulent statement/representation for use in determining payments; Aggregate payments claimed $250,000 or more</v>
      </c>
      <c r="O1958" s="10" t="str">
        <f t="shared" si="3"/>
        <v>Medicaid fraud</v>
      </c>
    </row>
    <row r="1959">
      <c r="A1959" s="7" t="s">
        <v>3515</v>
      </c>
      <c r="B1959" s="8" t="s">
        <v>3505</v>
      </c>
      <c r="C1959" s="8">
        <v>3.0</v>
      </c>
      <c r="D1959" s="8">
        <v>5.0</v>
      </c>
      <c r="E1959" s="8">
        <v>5.0</v>
      </c>
      <c r="F1959" s="8">
        <v>6.0</v>
      </c>
      <c r="G1959" s="8" t="s">
        <v>21</v>
      </c>
      <c r="H1959" s="9"/>
      <c r="I1959" s="9"/>
      <c r="N1959" s="10" t="str">
        <f t="shared" si="2"/>
        <v>21-5927(a)(1)(D) - Medicaid fraud; Make any false or fraudulent statement/representation in connection with any report or filing used in computing or determining a rate of payment; Aggregate payments claimed $250,000 or more</v>
      </c>
      <c r="O1959" s="10" t="str">
        <f t="shared" si="3"/>
        <v>Medicaid fraud</v>
      </c>
    </row>
    <row r="1960">
      <c r="A1960" s="7" t="s">
        <v>3516</v>
      </c>
      <c r="B1960" s="8" t="s">
        <v>3507</v>
      </c>
      <c r="C1960" s="8">
        <v>3.0</v>
      </c>
      <c r="D1960" s="8">
        <v>5.0</v>
      </c>
      <c r="E1960" s="8">
        <v>5.0</v>
      </c>
      <c r="F1960" s="8">
        <v>6.0</v>
      </c>
      <c r="G1960" s="8" t="s">
        <v>21</v>
      </c>
      <c r="H1960" s="9"/>
      <c r="I1960" s="9"/>
      <c r="N1960" s="10" t="str">
        <f t="shared" si="2"/>
        <v>21-5927(a)(1)(G) - Medicaid fraud; Make any wholly or partially false or fraudulent book, record, document, data or instrument, which is required to be kept or kept as documentation; Aggregate payments claimed $250,000 or more</v>
      </c>
      <c r="O1960" s="10" t="str">
        <f t="shared" si="3"/>
        <v>Medicaid fraud</v>
      </c>
    </row>
    <row r="1961">
      <c r="A1961" s="7" t="s">
        <v>3517</v>
      </c>
      <c r="B1961" s="8" t="s">
        <v>3509</v>
      </c>
      <c r="C1961" s="8">
        <v>3.0</v>
      </c>
      <c r="D1961" s="8">
        <v>5.0</v>
      </c>
      <c r="E1961" s="8">
        <v>5.0</v>
      </c>
      <c r="F1961" s="8">
        <v>6.0</v>
      </c>
      <c r="G1961" s="8" t="s">
        <v>21</v>
      </c>
      <c r="H1961" s="9"/>
      <c r="I1961" s="9"/>
      <c r="N1961" s="10" t="str">
        <f t="shared" si="2"/>
        <v>21-5927(a)(1)(A) - Medicaid fraud; Make false or fraudulent claim for payment for any goods, service, item, facility, or accommodation; Aggregate payments claimed $250,000 or more</v>
      </c>
      <c r="O1961" s="10" t="str">
        <f t="shared" si="3"/>
        <v>Medicaid fraud</v>
      </c>
    </row>
    <row r="1962">
      <c r="A1962" s="7" t="s">
        <v>3518</v>
      </c>
      <c r="B1962" s="8" t="s">
        <v>3495</v>
      </c>
      <c r="C1962" s="8">
        <v>4.0</v>
      </c>
      <c r="D1962" s="8">
        <v>6.0</v>
      </c>
      <c r="E1962" s="8">
        <v>6.0</v>
      </c>
      <c r="F1962" s="8">
        <v>7.0</v>
      </c>
      <c r="G1962" s="8" t="s">
        <v>24</v>
      </c>
      <c r="H1962" s="9"/>
      <c r="I1962" s="9"/>
      <c r="N1962" s="10" t="str">
        <f t="shared" si="2"/>
        <v>21-5927(a)(2) - Medicaid fraud; intentionally executing or attempting a scheme or artifice to defraud medicaid program or contractor or subcontractor thereof; When great bodily harm results from such act</v>
      </c>
      <c r="O1962" s="10" t="str">
        <f t="shared" si="3"/>
        <v>Medicaid fraud</v>
      </c>
    </row>
    <row r="1963">
      <c r="A1963" s="7" t="s">
        <v>3519</v>
      </c>
      <c r="B1963" s="8" t="s">
        <v>3497</v>
      </c>
      <c r="C1963" s="8">
        <v>4.0</v>
      </c>
      <c r="D1963" s="8">
        <v>6.0</v>
      </c>
      <c r="E1963" s="8">
        <v>6.0</v>
      </c>
      <c r="F1963" s="8">
        <v>7.0</v>
      </c>
      <c r="G1963" s="8" t="s">
        <v>24</v>
      </c>
      <c r="H1963" s="9"/>
      <c r="I1963" s="9"/>
      <c r="N1963" s="10" t="str">
        <f t="shared" si="2"/>
        <v>21-5927(a)(1)(E) - Medicaid fraud; Knowingly make any false statement/representation for use by another in obtaining any goods, service, item, facility or accommodation under the Medicaid program; When great bodily harm results from such act</v>
      </c>
      <c r="O1963" s="10" t="str">
        <f t="shared" si="3"/>
        <v>Medicaid fraud</v>
      </c>
    </row>
    <row r="1964">
      <c r="A1964" s="7" t="s">
        <v>3520</v>
      </c>
      <c r="B1964" s="8" t="s">
        <v>3499</v>
      </c>
      <c r="C1964" s="8">
        <v>4.0</v>
      </c>
      <c r="D1964" s="8">
        <v>6.0</v>
      </c>
      <c r="E1964" s="8">
        <v>6.0</v>
      </c>
      <c r="F1964" s="8">
        <v>7.0</v>
      </c>
      <c r="G1964" s="8" t="s">
        <v>24</v>
      </c>
      <c r="H1964" s="9"/>
      <c r="I1964" s="9"/>
      <c r="N1964" s="10" t="str">
        <f t="shared" si="2"/>
        <v>21-5927(a)(1)(F) - Medicaid fraud; Make any claim for payment for any goods, service, item, facility, or accommodation, not medically necessary; When great bodily harm results from such act</v>
      </c>
      <c r="O1964" s="10" t="str">
        <f t="shared" si="3"/>
        <v>Medicaid fraud</v>
      </c>
    </row>
    <row r="1965">
      <c r="A1965" s="7" t="s">
        <v>3521</v>
      </c>
      <c r="B1965" s="8" t="s">
        <v>3501</v>
      </c>
      <c r="C1965" s="8">
        <v>4.0</v>
      </c>
      <c r="D1965" s="8">
        <v>6.0</v>
      </c>
      <c r="E1965" s="8">
        <v>6.0</v>
      </c>
      <c r="F1965" s="8">
        <v>7.0</v>
      </c>
      <c r="G1965" s="8" t="s">
        <v>24</v>
      </c>
      <c r="H1965" s="9"/>
      <c r="I1965" s="9"/>
      <c r="N1965" s="10" t="str">
        <f t="shared" si="2"/>
        <v>21-5927(a)(1)(C) - Medicaid fraud; Make any false or fraudulent report or filing used in computing or determining a rate of payment; When great bodily harm results from such act</v>
      </c>
      <c r="O1965" s="10" t="str">
        <f t="shared" si="3"/>
        <v>Medicaid fraud</v>
      </c>
    </row>
    <row r="1966">
      <c r="A1966" s="7" t="s">
        <v>3522</v>
      </c>
      <c r="B1966" s="8" t="s">
        <v>3503</v>
      </c>
      <c r="C1966" s="8">
        <v>4.0</v>
      </c>
      <c r="D1966" s="8">
        <v>6.0</v>
      </c>
      <c r="E1966" s="8">
        <v>6.0</v>
      </c>
      <c r="F1966" s="8">
        <v>7.0</v>
      </c>
      <c r="G1966" s="8" t="s">
        <v>24</v>
      </c>
      <c r="H1966" s="9"/>
      <c r="I1966" s="9"/>
      <c r="N1966" s="10" t="str">
        <f t="shared" si="2"/>
        <v>21-5927(a)(1)(B) - Medicaid fraud; Make any false or fraudulent statement/representation for use in determining payments;  When great bodily harm results from such act</v>
      </c>
      <c r="O1966" s="10" t="str">
        <f t="shared" si="3"/>
        <v>Medicaid fraud</v>
      </c>
    </row>
    <row r="1967">
      <c r="A1967" s="7" t="s">
        <v>3523</v>
      </c>
      <c r="B1967" s="8" t="s">
        <v>3505</v>
      </c>
      <c r="C1967" s="8">
        <v>4.0</v>
      </c>
      <c r="D1967" s="8">
        <v>6.0</v>
      </c>
      <c r="E1967" s="8">
        <v>6.0</v>
      </c>
      <c r="F1967" s="8">
        <v>7.0</v>
      </c>
      <c r="G1967" s="8" t="s">
        <v>24</v>
      </c>
      <c r="H1967" s="9"/>
      <c r="I1967" s="9"/>
      <c r="N1967" s="10" t="str">
        <f t="shared" si="2"/>
        <v>21-5927(a)(1)(D) - Medicaid fraud; Make any false or fraudulent statement/representation in connection with any report or filing used in computing or determining a rate of payment; When great bodily harm results from such act</v>
      </c>
      <c r="O1967" s="10" t="str">
        <f t="shared" si="3"/>
        <v>Medicaid fraud</v>
      </c>
    </row>
    <row r="1968">
      <c r="A1968" s="7" t="s">
        <v>3524</v>
      </c>
      <c r="B1968" s="8" t="s">
        <v>3507</v>
      </c>
      <c r="C1968" s="8">
        <v>4.0</v>
      </c>
      <c r="D1968" s="8">
        <v>6.0</v>
      </c>
      <c r="E1968" s="8">
        <v>6.0</v>
      </c>
      <c r="F1968" s="8">
        <v>7.0</v>
      </c>
      <c r="G1968" s="8" t="s">
        <v>24</v>
      </c>
      <c r="H1968" s="9"/>
      <c r="I1968" s="9"/>
      <c r="N1968" s="10" t="str">
        <f t="shared" si="2"/>
        <v>21-5927(a)(1)(G) - Medicaid fraud; Make any wholly or partially false or fraudulent book, record, document, data or instrument, which is required to be kept or kept as documentation; When great bodily harm results from such act</v>
      </c>
      <c r="O1968" s="10" t="str">
        <f t="shared" si="3"/>
        <v>Medicaid fraud</v>
      </c>
    </row>
    <row r="1969">
      <c r="A1969" s="7" t="s">
        <v>3525</v>
      </c>
      <c r="B1969" s="8" t="s">
        <v>3509</v>
      </c>
      <c r="C1969" s="8">
        <v>4.0</v>
      </c>
      <c r="D1969" s="8">
        <v>6.0</v>
      </c>
      <c r="E1969" s="8">
        <v>6.0</v>
      </c>
      <c r="F1969" s="8">
        <v>7.0</v>
      </c>
      <c r="G1969" s="8" t="s">
        <v>24</v>
      </c>
      <c r="H1969" s="9"/>
      <c r="I1969" s="9"/>
      <c r="N1969" s="10" t="str">
        <f t="shared" si="2"/>
        <v>21-5927(a)(1)(A) - Medicaid fraud; Make false or fraudulent claim for payment for any goods, service, item, facility, or accommodation; When great bodily harm results from such act</v>
      </c>
      <c r="O1969" s="10" t="str">
        <f t="shared" si="3"/>
        <v>Medicaid fraud</v>
      </c>
    </row>
    <row r="1970">
      <c r="A1970" s="7" t="s">
        <v>3526</v>
      </c>
      <c r="B1970" s="8" t="s">
        <v>3495</v>
      </c>
      <c r="C1970" s="8">
        <v>5.0</v>
      </c>
      <c r="D1970" s="8">
        <v>7.0</v>
      </c>
      <c r="E1970" s="8">
        <v>7.0</v>
      </c>
      <c r="F1970" s="8">
        <v>8.0</v>
      </c>
      <c r="G1970" s="8" t="s">
        <v>21</v>
      </c>
      <c r="H1970" s="9"/>
      <c r="I1970" s="9"/>
      <c r="N1970" s="10" t="str">
        <f t="shared" si="2"/>
        <v>21-5927(a)(2) - Medicaid fraud; intentionally executing or attempting a scheme or artifice to defraud medicaid program or contractor or subcontractor thereof; Aggregate payments claimed at least $100,000 but less than $250,000</v>
      </c>
      <c r="O1970" s="10" t="str">
        <f t="shared" si="3"/>
        <v>Medicaid fraud</v>
      </c>
    </row>
    <row r="1971">
      <c r="A1971" s="7" t="s">
        <v>3527</v>
      </c>
      <c r="B1971" s="8" t="s">
        <v>3497</v>
      </c>
      <c r="C1971" s="8">
        <v>5.0</v>
      </c>
      <c r="D1971" s="8">
        <v>7.0</v>
      </c>
      <c r="E1971" s="8">
        <v>7.0</v>
      </c>
      <c r="F1971" s="8">
        <v>8.0</v>
      </c>
      <c r="G1971" s="8" t="s">
        <v>21</v>
      </c>
      <c r="H1971" s="9"/>
      <c r="I1971" s="9"/>
      <c r="N1971" s="10" t="str">
        <f t="shared" si="2"/>
        <v>21-5927(a)(1)(E) - Medicaid fraud; Knowingly make any false statement/representation for use by another in obtaining any goods, service, item, facility or accommodation under the Medicaid program; Aggregate payments claimed at least $100,000 but less than $250,000</v>
      </c>
      <c r="O1971" s="10" t="str">
        <f t="shared" si="3"/>
        <v>Medicaid fraud</v>
      </c>
    </row>
    <row r="1972">
      <c r="A1972" s="7" t="s">
        <v>3528</v>
      </c>
      <c r="B1972" s="8" t="s">
        <v>3499</v>
      </c>
      <c r="C1972" s="8">
        <v>5.0</v>
      </c>
      <c r="D1972" s="8">
        <v>7.0</v>
      </c>
      <c r="E1972" s="8">
        <v>7.0</v>
      </c>
      <c r="F1972" s="8">
        <v>8.0</v>
      </c>
      <c r="G1972" s="8" t="s">
        <v>21</v>
      </c>
      <c r="H1972" s="9"/>
      <c r="I1972" s="9"/>
      <c r="N1972" s="10" t="str">
        <f t="shared" si="2"/>
        <v>21-5927(a)(1)(F) - Medicaid fraud; Make any claim for payment for any goods, service, item, facility, or accommodation, not medically necessary; Aggregate payments claimed at least $100,000 but less than $250,000</v>
      </c>
      <c r="O1972" s="10" t="str">
        <f t="shared" si="3"/>
        <v>Medicaid fraud</v>
      </c>
    </row>
    <row r="1973">
      <c r="A1973" s="7" t="s">
        <v>3529</v>
      </c>
      <c r="B1973" s="8" t="s">
        <v>3501</v>
      </c>
      <c r="C1973" s="8">
        <v>5.0</v>
      </c>
      <c r="D1973" s="8">
        <v>7.0</v>
      </c>
      <c r="E1973" s="8">
        <v>7.0</v>
      </c>
      <c r="F1973" s="8">
        <v>8.0</v>
      </c>
      <c r="G1973" s="8" t="s">
        <v>21</v>
      </c>
      <c r="H1973" s="9"/>
      <c r="I1973" s="9"/>
      <c r="N1973" s="10" t="str">
        <f t="shared" si="2"/>
        <v>21-5927(a)(1)(C) - Medicaid fraud; Make any false or fraudulent report or filing used in computing or determining a rate of payment; Aggregate payments claimed at least $100,000 but less than $250,000</v>
      </c>
      <c r="O1973" s="10" t="str">
        <f t="shared" si="3"/>
        <v>Medicaid fraud</v>
      </c>
    </row>
    <row r="1974">
      <c r="A1974" s="7" t="s">
        <v>3530</v>
      </c>
      <c r="B1974" s="8" t="s">
        <v>3503</v>
      </c>
      <c r="C1974" s="8">
        <v>5.0</v>
      </c>
      <c r="D1974" s="8">
        <v>7.0</v>
      </c>
      <c r="E1974" s="8">
        <v>7.0</v>
      </c>
      <c r="F1974" s="8">
        <v>8.0</v>
      </c>
      <c r="G1974" s="8" t="s">
        <v>21</v>
      </c>
      <c r="H1974" s="9"/>
      <c r="I1974" s="9"/>
      <c r="N1974" s="10" t="str">
        <f t="shared" si="2"/>
        <v>21-5927(a)(1)(B) - Medicaid fraud; Make any false or fraudulent statement/representation for use in determining payments; Aggregate payments claimed at least $100,000 but less than $250,000</v>
      </c>
      <c r="O1974" s="10" t="str">
        <f t="shared" si="3"/>
        <v>Medicaid fraud</v>
      </c>
    </row>
    <row r="1975">
      <c r="A1975" s="7" t="s">
        <v>3531</v>
      </c>
      <c r="B1975" s="8" t="s">
        <v>3505</v>
      </c>
      <c r="C1975" s="8">
        <v>5.0</v>
      </c>
      <c r="D1975" s="8">
        <v>7.0</v>
      </c>
      <c r="E1975" s="8">
        <v>7.0</v>
      </c>
      <c r="F1975" s="8">
        <v>8.0</v>
      </c>
      <c r="G1975" s="8" t="s">
        <v>21</v>
      </c>
      <c r="H1975" s="9"/>
      <c r="I1975" s="9"/>
      <c r="N1975" s="10" t="str">
        <f t="shared" si="2"/>
        <v>21-5927(a)(1)(D) - Medicaid fraud; Make any false or fraudulent statement/representation in connection with any report or filing used in computing or determining a rate of payment;  Aggregate payments claimed at least $100,000 but less than $250,000</v>
      </c>
      <c r="O1975" s="10" t="str">
        <f t="shared" si="3"/>
        <v>Medicaid fraud</v>
      </c>
    </row>
    <row r="1976">
      <c r="A1976" s="7" t="s">
        <v>3532</v>
      </c>
      <c r="B1976" s="8" t="s">
        <v>3507</v>
      </c>
      <c r="C1976" s="8">
        <v>5.0</v>
      </c>
      <c r="D1976" s="8">
        <v>7.0</v>
      </c>
      <c r="E1976" s="8">
        <v>7.0</v>
      </c>
      <c r="F1976" s="8">
        <v>8.0</v>
      </c>
      <c r="G1976" s="8" t="s">
        <v>21</v>
      </c>
      <c r="H1976" s="9"/>
      <c r="I1976" s="9"/>
      <c r="N1976" s="10" t="str">
        <f t="shared" si="2"/>
        <v>21-5927(a)(1)(G) - Medicaid fraud; Make any wholly or partially false or fraudulent book, record, document, data or instrument, which is required to be kept or kept as documentation; Aggregate payments claimed at least $100,000 but less than $250,000</v>
      </c>
      <c r="O1976" s="10" t="str">
        <f t="shared" si="3"/>
        <v>Medicaid fraud</v>
      </c>
    </row>
    <row r="1977">
      <c r="A1977" s="7" t="s">
        <v>3533</v>
      </c>
      <c r="B1977" s="8" t="s">
        <v>3509</v>
      </c>
      <c r="C1977" s="8">
        <v>5.0</v>
      </c>
      <c r="D1977" s="8">
        <v>7.0</v>
      </c>
      <c r="E1977" s="8">
        <v>7.0</v>
      </c>
      <c r="F1977" s="8">
        <v>8.0</v>
      </c>
      <c r="G1977" s="8" t="s">
        <v>21</v>
      </c>
      <c r="H1977" s="9"/>
      <c r="I1977" s="9"/>
      <c r="N1977" s="10" t="str">
        <f t="shared" si="2"/>
        <v>21-5927(a)(1)(A) - Medicaid fraud; Make false or fraudulent claim for payment for any goods, service, item, facility, or accommodation; Aggregate payments claimed at least $100,000 but less than $250,000</v>
      </c>
      <c r="O1977" s="10" t="str">
        <f t="shared" si="3"/>
        <v>Medicaid fraud</v>
      </c>
    </row>
    <row r="1978">
      <c r="A1978" s="7" t="s">
        <v>3534</v>
      </c>
      <c r="B1978" s="8" t="s">
        <v>3535</v>
      </c>
      <c r="C1978" s="8">
        <v>7.0</v>
      </c>
      <c r="D1978" s="8">
        <v>9.0</v>
      </c>
      <c r="E1978" s="8">
        <v>9.0</v>
      </c>
      <c r="F1978" s="8">
        <v>10.0</v>
      </c>
      <c r="G1978" s="8" t="s">
        <v>21</v>
      </c>
      <c r="H1978" s="9"/>
      <c r="I1978" s="9"/>
      <c r="N1978" s="10" t="str">
        <f t="shared" si="2"/>
        <v>21-5928(a)(3) - Medicaid fraud; Intentionally divide or share any funds illegally obtained from the Medicaid program</v>
      </c>
      <c r="O1978" s="10" t="str">
        <f t="shared" si="3"/>
        <v>Medicaid fraud</v>
      </c>
    </row>
    <row r="1979">
      <c r="A1979" s="7" t="s">
        <v>3536</v>
      </c>
      <c r="B1979" s="8" t="s">
        <v>3495</v>
      </c>
      <c r="C1979" s="8">
        <v>7.0</v>
      </c>
      <c r="D1979" s="8">
        <v>9.0</v>
      </c>
      <c r="E1979" s="8">
        <v>9.0</v>
      </c>
      <c r="F1979" s="8">
        <v>10.0</v>
      </c>
      <c r="G1979" s="8" t="s">
        <v>21</v>
      </c>
      <c r="H1979" s="9"/>
      <c r="I1979" s="9"/>
      <c r="N1979" s="10" t="str">
        <f t="shared" si="2"/>
        <v>21-5927(a)(2) - Medicaid fraud; intentionally executing or attempting a scheme or artifice to defraud medicaid program or contractor or subcontractor thereof;  Aggregate payments claimed at least $25,000 but less than $100,000</v>
      </c>
      <c r="O1979" s="10" t="str">
        <f t="shared" si="3"/>
        <v>Medicaid fraud</v>
      </c>
    </row>
    <row r="1980">
      <c r="A1980" s="7" t="s">
        <v>3537</v>
      </c>
      <c r="B1980" s="8" t="s">
        <v>3538</v>
      </c>
      <c r="C1980" s="8">
        <v>7.0</v>
      </c>
      <c r="D1980" s="8">
        <v>9.0</v>
      </c>
      <c r="E1980" s="8">
        <v>9.0</v>
      </c>
      <c r="F1980" s="8">
        <v>10.0</v>
      </c>
      <c r="G1980" s="8" t="s">
        <v>21</v>
      </c>
      <c r="H1980" s="9"/>
      <c r="I1980" s="9"/>
      <c r="N1980" s="10" t="str">
        <f t="shared" si="2"/>
        <v>21-5928(a)(2) - Medicaid fraud; Intentionally offer or pay any remuneration, including kickbacks, bribes or rebates to any person for Medicaid goods</v>
      </c>
      <c r="O1980" s="10" t="str">
        <f t="shared" si="3"/>
        <v>Medicaid fraud</v>
      </c>
    </row>
    <row r="1981">
      <c r="A1981" s="7" t="s">
        <v>3539</v>
      </c>
      <c r="B1981" s="8" t="s">
        <v>3540</v>
      </c>
      <c r="C1981" s="8">
        <v>7.0</v>
      </c>
      <c r="D1981" s="8">
        <v>9.0</v>
      </c>
      <c r="E1981" s="8">
        <v>9.0</v>
      </c>
      <c r="F1981" s="8">
        <v>10.0</v>
      </c>
      <c r="G1981" s="8" t="s">
        <v>21</v>
      </c>
      <c r="H1981" s="9"/>
      <c r="I1981" s="9"/>
      <c r="N1981" s="10" t="str">
        <f t="shared" si="2"/>
        <v>21-5928(a)(1) - Medicaid fraud; Intentionally solicit or receive any remuneration, including kickbacks, bribes or rebates for Medicaid goods</v>
      </c>
      <c r="O1981" s="10" t="str">
        <f t="shared" si="3"/>
        <v>Medicaid fraud</v>
      </c>
    </row>
    <row r="1982">
      <c r="A1982" s="7" t="s">
        <v>3541</v>
      </c>
      <c r="B1982" s="8" t="s">
        <v>3542</v>
      </c>
      <c r="C1982" s="8">
        <v>7.0</v>
      </c>
      <c r="D1982" s="8">
        <v>9.0</v>
      </c>
      <c r="E1982" s="8">
        <v>9.0</v>
      </c>
      <c r="F1982" s="8">
        <v>10.0</v>
      </c>
      <c r="G1982" s="8" t="s">
        <v>21</v>
      </c>
      <c r="H1982" s="9"/>
      <c r="I1982" s="9"/>
      <c r="N1982" s="10" t="str">
        <f t="shared" si="2"/>
        <v>21-5928(b) - Medicaid fraud; Intentionally trade a Medicaid number for money or other remuneration; sign for services not received; sell or exchange Medicaid goods purchased or provided under the Medicaid program for value</v>
      </c>
      <c r="O1982" s="10" t="str">
        <f t="shared" si="3"/>
        <v>Medicaid fraud</v>
      </c>
    </row>
    <row r="1983">
      <c r="A1983" s="7" t="s">
        <v>3543</v>
      </c>
      <c r="B1983" s="8" t="s">
        <v>3497</v>
      </c>
      <c r="C1983" s="8">
        <v>7.0</v>
      </c>
      <c r="D1983" s="8">
        <v>9.0</v>
      </c>
      <c r="E1983" s="8">
        <v>9.0</v>
      </c>
      <c r="F1983" s="8">
        <v>10.0</v>
      </c>
      <c r="G1983" s="8" t="s">
        <v>21</v>
      </c>
      <c r="H1983" s="9"/>
      <c r="I1983" s="9"/>
      <c r="N1983" s="10" t="str">
        <f t="shared" si="2"/>
        <v>21-5927(a)(1)(E) - Medicaid fraud; Knowingly make any false statement/representation for use by another in obtaining any goods, service, item, facility or accommodation under the Medicaid program; Aggregate payments claimed at least $25,000 but less than $100,000</v>
      </c>
      <c r="O1983" s="10" t="str">
        <f t="shared" si="3"/>
        <v>Medicaid fraud</v>
      </c>
    </row>
    <row r="1984">
      <c r="A1984" s="7" t="s">
        <v>3544</v>
      </c>
      <c r="B1984" s="8" t="s">
        <v>3499</v>
      </c>
      <c r="C1984" s="8">
        <v>7.0</v>
      </c>
      <c r="D1984" s="8">
        <v>9.0</v>
      </c>
      <c r="E1984" s="8">
        <v>9.0</v>
      </c>
      <c r="F1984" s="8">
        <v>10.0</v>
      </c>
      <c r="G1984" s="8" t="s">
        <v>21</v>
      </c>
      <c r="H1984" s="9"/>
      <c r="I1984" s="9"/>
      <c r="N1984" s="10" t="str">
        <f t="shared" si="2"/>
        <v>21-5927(a)(1)(F) - Medicaid fraud; Make any claim for payment, for any goods, service, item, facility, or accommodation, not medically necessary; Aggregate payments claimed at least $25,000 but less than $100,000</v>
      </c>
      <c r="O1984" s="10" t="str">
        <f t="shared" si="3"/>
        <v>Medicaid fraud</v>
      </c>
    </row>
    <row r="1985">
      <c r="A1985" s="7" t="s">
        <v>3545</v>
      </c>
      <c r="B1985" s="8" t="s">
        <v>3501</v>
      </c>
      <c r="C1985" s="8">
        <v>7.0</v>
      </c>
      <c r="D1985" s="8">
        <v>9.0</v>
      </c>
      <c r="E1985" s="8">
        <v>9.0</v>
      </c>
      <c r="F1985" s="8">
        <v>10.0</v>
      </c>
      <c r="G1985" s="8" t="s">
        <v>21</v>
      </c>
      <c r="H1985" s="9"/>
      <c r="I1985" s="9"/>
      <c r="N1985" s="10" t="str">
        <f t="shared" si="2"/>
        <v>21-5927(a)(1)(C) - Medicaid fraud; Make any false or fraudulent report or filing used in computing or determining a rate of payment for any goods, service, item, facility or accommodation; Aggregate payments claimed at least $25,000 but less than $100,000</v>
      </c>
      <c r="O1985" s="10" t="str">
        <f t="shared" si="3"/>
        <v>Medicaid fraud</v>
      </c>
    </row>
    <row r="1986">
      <c r="A1986" s="7" t="s">
        <v>3546</v>
      </c>
      <c r="B1986" s="8" t="s">
        <v>3503</v>
      </c>
      <c r="C1986" s="8">
        <v>7.0</v>
      </c>
      <c r="D1986" s="8">
        <v>9.0</v>
      </c>
      <c r="E1986" s="8">
        <v>9.0</v>
      </c>
      <c r="F1986" s="8">
        <v>10.0</v>
      </c>
      <c r="G1986" s="8" t="s">
        <v>21</v>
      </c>
      <c r="H1986" s="9"/>
      <c r="I1986" s="9"/>
      <c r="N1986" s="10" t="str">
        <f t="shared" si="2"/>
        <v>21-5927(a)(1)(B) - Medicaid fraud; Make any false or fraudulent statement/representation for use in determining payments; Aggregate payments claimed at least $25,000 but less than $100,000</v>
      </c>
      <c r="O1986" s="10" t="str">
        <f t="shared" si="3"/>
        <v>Medicaid fraud</v>
      </c>
    </row>
    <row r="1987">
      <c r="A1987" s="7" t="s">
        <v>3547</v>
      </c>
      <c r="B1987" s="8" t="s">
        <v>3505</v>
      </c>
      <c r="C1987" s="8">
        <v>7.0</v>
      </c>
      <c r="D1987" s="8">
        <v>9.0</v>
      </c>
      <c r="E1987" s="8">
        <v>9.0</v>
      </c>
      <c r="F1987" s="8">
        <v>10.0</v>
      </c>
      <c r="G1987" s="8" t="s">
        <v>21</v>
      </c>
      <c r="H1987" s="9"/>
      <c r="I1987" s="9"/>
      <c r="N1987" s="10" t="str">
        <f t="shared" si="2"/>
        <v>21-5927(a)(1)(D) - Medicaid fraud; Make any false or fraudulent statement/representation in connection with any report or filing used in computing or determining a rate of payment for any goods, service, item, facility or accommodation; Aggregate payments claimed at least $25,000 but less than $100,000</v>
      </c>
      <c r="O1987" s="10" t="str">
        <f t="shared" si="3"/>
        <v>Medicaid fraud</v>
      </c>
    </row>
    <row r="1988">
      <c r="A1988" s="7" t="s">
        <v>3548</v>
      </c>
      <c r="B1988" s="8" t="s">
        <v>3507</v>
      </c>
      <c r="C1988" s="8">
        <v>7.0</v>
      </c>
      <c r="D1988" s="8">
        <v>9.0</v>
      </c>
      <c r="E1988" s="8">
        <v>9.0</v>
      </c>
      <c r="F1988" s="8">
        <v>10.0</v>
      </c>
      <c r="G1988" s="8" t="s">
        <v>21</v>
      </c>
      <c r="H1988" s="9"/>
      <c r="I1988" s="9"/>
      <c r="N1988" s="10" t="str">
        <f t="shared" si="2"/>
        <v>21-5927(a)(1)(G) - Medicaid fraud; Make any wholly or partially false or fraudulent book, record, document, data or instrument, which is required to be kept or kept as documentation;  Aggregate payments claimed at least $25,000 but less than $100,000</v>
      </c>
      <c r="O1988" s="10" t="str">
        <f t="shared" si="3"/>
        <v>Medicaid fraud</v>
      </c>
    </row>
    <row r="1989">
      <c r="A1989" s="7" t="s">
        <v>3549</v>
      </c>
      <c r="B1989" s="8" t="s">
        <v>3509</v>
      </c>
      <c r="C1989" s="8">
        <v>7.0</v>
      </c>
      <c r="D1989" s="8">
        <v>9.0</v>
      </c>
      <c r="E1989" s="8">
        <v>9.0</v>
      </c>
      <c r="F1989" s="8">
        <v>10.0</v>
      </c>
      <c r="G1989" s="8" t="s">
        <v>21</v>
      </c>
      <c r="H1989" s="9"/>
      <c r="I1989" s="9"/>
      <c r="N1989" s="10" t="str">
        <f t="shared" si="2"/>
        <v>21-5927(a)(1)(A) - Medicaid fraud; Make false or fraudulent claim for payment for any goods, service, item, facility, or accommodation; Aggregate payments claimed at least $25,000 but less than $100,000</v>
      </c>
      <c r="O1989" s="10" t="str">
        <f t="shared" si="3"/>
        <v>Medicaid fraud</v>
      </c>
    </row>
    <row r="1990">
      <c r="A1990" s="7" t="s">
        <v>3550</v>
      </c>
      <c r="B1990" s="8" t="s">
        <v>3551</v>
      </c>
      <c r="C1990" s="8">
        <v>9.0</v>
      </c>
      <c r="D1990" s="8">
        <v>10.0</v>
      </c>
      <c r="E1990" s="8">
        <v>10.0</v>
      </c>
      <c r="F1990" s="8">
        <v>10.0</v>
      </c>
      <c r="G1990" s="8" t="s">
        <v>21</v>
      </c>
      <c r="H1990" s="9"/>
      <c r="I1990" s="9"/>
      <c r="N1990" s="10" t="str">
        <f t="shared" si="2"/>
        <v>21-5927(a)(1)(I) - Medicaid fraud; False or fraudulent statement/representation made with intent to influence an official, employee/agent of a state or federal agency having regulatory or administrative authority over the Kansas Medicaid program</v>
      </c>
      <c r="O1990" s="10" t="str">
        <f t="shared" si="3"/>
        <v>Medicaid fraud</v>
      </c>
    </row>
    <row r="1991">
      <c r="A1991" s="7" t="s">
        <v>3552</v>
      </c>
      <c r="B1991" s="8" t="s">
        <v>3495</v>
      </c>
      <c r="C1991" s="8">
        <v>9.0</v>
      </c>
      <c r="D1991" s="8">
        <v>10.0</v>
      </c>
      <c r="E1991" s="8">
        <v>10.0</v>
      </c>
      <c r="F1991" s="8">
        <v>10.0</v>
      </c>
      <c r="G1991" s="8" t="s">
        <v>21</v>
      </c>
      <c r="H1991" s="9"/>
      <c r="I1991" s="9"/>
      <c r="N1991" s="10" t="str">
        <f t="shared" si="2"/>
        <v>21-5927(a)(2) - Medicaid fraud; intentionally executing or attempting a scheme or artifice to defraud medicaid program or contractor or subcontractor thereof; Aggregate payments claimed at least $1000 but less than $25,000</v>
      </c>
      <c r="O1991" s="10" t="str">
        <f t="shared" si="3"/>
        <v>Medicaid fraud</v>
      </c>
    </row>
    <row r="1992">
      <c r="A1992" s="7" t="s">
        <v>3553</v>
      </c>
      <c r="B1992" s="8" t="s">
        <v>3497</v>
      </c>
      <c r="C1992" s="8">
        <v>9.0</v>
      </c>
      <c r="D1992" s="8">
        <v>10.0</v>
      </c>
      <c r="E1992" s="8">
        <v>10.0</v>
      </c>
      <c r="F1992" s="8">
        <v>10.0</v>
      </c>
      <c r="G1992" s="8" t="s">
        <v>21</v>
      </c>
      <c r="H1992" s="9"/>
      <c r="I1992" s="9"/>
      <c r="N1992" s="10" t="str">
        <f t="shared" si="2"/>
        <v>21-5927(a)(1)(E) - Medicaid fraud; Knowingly make any false statement/representation for use by another in obtaining any goods, service, item, facility or accommodation under the Medicaid program; Aggregate payments claimed at least $1,000 but less than $25,000</v>
      </c>
      <c r="O1992" s="10" t="str">
        <f t="shared" si="3"/>
        <v>Medicaid fraud</v>
      </c>
    </row>
    <row r="1993">
      <c r="A1993" s="7" t="s">
        <v>3554</v>
      </c>
      <c r="B1993" s="8" t="s">
        <v>3499</v>
      </c>
      <c r="C1993" s="8">
        <v>9.0</v>
      </c>
      <c r="D1993" s="8">
        <v>10.0</v>
      </c>
      <c r="E1993" s="8">
        <v>10.0</v>
      </c>
      <c r="F1993" s="8">
        <v>10.0</v>
      </c>
      <c r="G1993" s="8" t="s">
        <v>21</v>
      </c>
      <c r="H1993" s="9"/>
      <c r="I1993" s="9"/>
      <c r="N1993" s="10" t="str">
        <f t="shared" si="2"/>
        <v>21-5927(a)(1)(F) - Medicaid fraud; Make any claim for payment for any goods, service, item, facility, or accommodation, not medically necessary; Aggregate payments claimed at least $1,000 but less than $25,000</v>
      </c>
      <c r="O1993" s="10" t="str">
        <f t="shared" si="3"/>
        <v>Medicaid fraud</v>
      </c>
    </row>
    <row r="1994">
      <c r="A1994" s="7" t="s">
        <v>3555</v>
      </c>
      <c r="B1994" s="8" t="s">
        <v>3501</v>
      </c>
      <c r="C1994" s="8">
        <v>9.0</v>
      </c>
      <c r="D1994" s="8">
        <v>10.0</v>
      </c>
      <c r="E1994" s="8">
        <v>10.0</v>
      </c>
      <c r="F1994" s="8">
        <v>10.0</v>
      </c>
      <c r="G1994" s="8" t="s">
        <v>21</v>
      </c>
      <c r="H1994" s="9"/>
      <c r="I1994" s="9"/>
      <c r="N1994" s="10" t="str">
        <f t="shared" si="2"/>
        <v>21-5927(a)(1)(C) - Medicaid fraud; Make any false or fraudulent report or filing used in computing or determining a rate of payment; Aggregate payments claimed at least $1,000 but less than $25,000</v>
      </c>
      <c r="O1994" s="10" t="str">
        <f t="shared" si="3"/>
        <v>Medicaid fraud</v>
      </c>
    </row>
    <row r="1995">
      <c r="A1995" s="7" t="s">
        <v>3556</v>
      </c>
      <c r="B1995" s="8" t="s">
        <v>3503</v>
      </c>
      <c r="C1995" s="8">
        <v>9.0</v>
      </c>
      <c r="D1995" s="8">
        <v>10.0</v>
      </c>
      <c r="E1995" s="8">
        <v>10.0</v>
      </c>
      <c r="F1995" s="8">
        <v>10.0</v>
      </c>
      <c r="G1995" s="8" t="s">
        <v>21</v>
      </c>
      <c r="H1995" s="9"/>
      <c r="I1995" s="9"/>
      <c r="N1995" s="10" t="str">
        <f t="shared" si="2"/>
        <v>21-5927(a)(1)(B) - Medicaid fraud; Make any false or fraudulent statement/representation for use in determining payments;  Aggregate payments claimed at least $1,000 but less than $25,000</v>
      </c>
      <c r="O1995" s="10" t="str">
        <f t="shared" si="3"/>
        <v>Medicaid fraud</v>
      </c>
    </row>
    <row r="1996">
      <c r="A1996" s="7" t="s">
        <v>3557</v>
      </c>
      <c r="B1996" s="8" t="s">
        <v>3505</v>
      </c>
      <c r="C1996" s="8">
        <v>9.0</v>
      </c>
      <c r="D1996" s="8">
        <v>10.0</v>
      </c>
      <c r="E1996" s="8">
        <v>10.0</v>
      </c>
      <c r="F1996" s="8">
        <v>10.0</v>
      </c>
      <c r="G1996" s="8" t="s">
        <v>21</v>
      </c>
      <c r="H1996" s="9"/>
      <c r="I1996" s="9"/>
      <c r="N1996" s="10" t="str">
        <f t="shared" si="2"/>
        <v>21-5927(a)(1)(D) - Medicaid fraud; Make any false or fraudulent statement/representation in connection with any report or filing used in computing or determining a rate of payment; Aggregate payments claimed at least $1,000 but less than $25,000</v>
      </c>
      <c r="O1996" s="10" t="str">
        <f t="shared" si="3"/>
        <v>Medicaid fraud</v>
      </c>
    </row>
    <row r="1997">
      <c r="A1997" s="7" t="s">
        <v>3558</v>
      </c>
      <c r="B1997" s="8" t="s">
        <v>3507</v>
      </c>
      <c r="C1997" s="8">
        <v>9.0</v>
      </c>
      <c r="D1997" s="8">
        <v>10.0</v>
      </c>
      <c r="E1997" s="8">
        <v>10.0</v>
      </c>
      <c r="F1997" s="8">
        <v>10.0</v>
      </c>
      <c r="G1997" s="8" t="s">
        <v>21</v>
      </c>
      <c r="H1997" s="9"/>
      <c r="I1997" s="9"/>
      <c r="N1997" s="10" t="str">
        <f t="shared" si="2"/>
        <v>21-5927(a)(1)(G) - Medicaid fraud; Make any wholly or partially false or fraudulent book, record, document, data or instrument, which is required to be kept or kept as documentation; Aggregate payments claimed at least $1,000 but less than $25,000</v>
      </c>
      <c r="O1997" s="10" t="str">
        <f t="shared" si="3"/>
        <v>Medicaid fraud</v>
      </c>
    </row>
    <row r="1998">
      <c r="A1998" s="7" t="s">
        <v>3559</v>
      </c>
      <c r="B1998" s="8" t="s">
        <v>3509</v>
      </c>
      <c r="C1998" s="8">
        <v>9.0</v>
      </c>
      <c r="D1998" s="8">
        <v>10.0</v>
      </c>
      <c r="E1998" s="8">
        <v>10.0</v>
      </c>
      <c r="F1998" s="8">
        <v>10.0</v>
      </c>
      <c r="G1998" s="8" t="s">
        <v>21</v>
      </c>
      <c r="H1998" s="9"/>
      <c r="I1998" s="9"/>
      <c r="N1998" s="10" t="str">
        <f t="shared" si="2"/>
        <v>21-5927(a)(1)(A) - Medicaid fraud; Make false or fraudulent claim for payment for any goods, service, item, facility, or accommodation; Aggregate payments claimed at least $1,000 but less than $25,000</v>
      </c>
      <c r="O1998" s="10" t="str">
        <f t="shared" si="3"/>
        <v>Medicaid fraud</v>
      </c>
    </row>
    <row r="1999">
      <c r="A1999" s="7" t="s">
        <v>3560</v>
      </c>
      <c r="B1999" s="8" t="s">
        <v>3561</v>
      </c>
      <c r="C1999" s="8">
        <v>9.0</v>
      </c>
      <c r="D1999" s="8">
        <v>10.0</v>
      </c>
      <c r="E1999" s="8">
        <v>10.0</v>
      </c>
      <c r="F1999" s="8">
        <v>10.0</v>
      </c>
      <c r="G1999" s="8" t="s">
        <v>21</v>
      </c>
      <c r="H1999" s="9"/>
      <c r="I1999" s="9"/>
      <c r="N1999" s="10" t="str">
        <f t="shared" si="2"/>
        <v>21-5927(a)(1)(H) - Medicaid fraud; Submit false or fraudulent book, record, document, data or instrument to a LEO, attorney general, or to the department of SRS, in connection with any audit or investigation</v>
      </c>
      <c r="O1999" s="10" t="str">
        <f t="shared" si="3"/>
        <v>Medicaid fraud</v>
      </c>
    </row>
    <row r="2000">
      <c r="A2000" s="7" t="s">
        <v>3562</v>
      </c>
      <c r="B2000" s="8" t="s">
        <v>3495</v>
      </c>
      <c r="C2000" s="8" t="s">
        <v>27</v>
      </c>
      <c r="D2000" s="8" t="s">
        <v>28</v>
      </c>
      <c r="E2000" s="8" t="s">
        <v>19</v>
      </c>
      <c r="F2000" s="8" t="s">
        <v>20</v>
      </c>
      <c r="G2000" s="8" t="s">
        <v>21</v>
      </c>
      <c r="H2000" s="9"/>
      <c r="I2000" s="9"/>
      <c r="J2000" s="10">
        <f t="shared" ref="J2000:M2000" si="1151">ifs(OR($H2000="R",$I2000="N"),"N/A",OR(C2000="A",C2000="B",C2000="C",C2000="U"),3,TRUE,"FLAG")</f>
        <v>3</v>
      </c>
      <c r="K2000" s="10">
        <f t="shared" si="1151"/>
        <v>3</v>
      </c>
      <c r="L2000" s="10">
        <f t="shared" si="1151"/>
        <v>3</v>
      </c>
      <c r="M2000" s="10" t="str">
        <f t="shared" si="1151"/>
        <v>FLAG</v>
      </c>
      <c r="N2000" s="10" t="str">
        <f t="shared" si="2"/>
        <v>21-5927(a)(2) - Medicaid fraud; intentionally executing or attempting a scheme or artifice to defraud medicaid program or contractor or subcontractor thereof; Aggregate payments claimed less than $1,000</v>
      </c>
      <c r="O2000" s="10" t="str">
        <f t="shared" si="3"/>
        <v>Medicaid fraud</v>
      </c>
    </row>
    <row r="2001">
      <c r="A2001" s="7" t="s">
        <v>3563</v>
      </c>
      <c r="B2001" s="8" t="s">
        <v>3497</v>
      </c>
      <c r="C2001" s="8" t="s">
        <v>27</v>
      </c>
      <c r="D2001" s="8" t="s">
        <v>28</v>
      </c>
      <c r="E2001" s="8" t="s">
        <v>19</v>
      </c>
      <c r="F2001" s="8" t="s">
        <v>20</v>
      </c>
      <c r="G2001" s="8" t="s">
        <v>21</v>
      </c>
      <c r="H2001" s="9"/>
      <c r="I2001" s="9"/>
      <c r="J2001" s="10">
        <f t="shared" ref="J2001:M2001" si="1152">ifs(OR($H2001="R",$I2001="N"),"N/A",OR(C2001="A",C2001="B",C2001="C",C2001="U"),3,TRUE,"FLAG")</f>
        <v>3</v>
      </c>
      <c r="K2001" s="10">
        <f t="shared" si="1152"/>
        <v>3</v>
      </c>
      <c r="L2001" s="10">
        <f t="shared" si="1152"/>
        <v>3</v>
      </c>
      <c r="M2001" s="10" t="str">
        <f t="shared" si="1152"/>
        <v>FLAG</v>
      </c>
      <c r="N2001" s="10" t="str">
        <f t="shared" si="2"/>
        <v>21-5927(a)(1)(E) - Medicaid fraud; Knowingly make any false statement/representation for use by another in obtaining any goods, service, item, facility or accommodation under the Medicaid program; Aggregate payments claimed less than $1,000</v>
      </c>
      <c r="O2001" s="10" t="str">
        <f t="shared" si="3"/>
        <v>Medicaid fraud</v>
      </c>
    </row>
    <row r="2002">
      <c r="A2002" s="7" t="s">
        <v>3564</v>
      </c>
      <c r="B2002" s="8" t="s">
        <v>3499</v>
      </c>
      <c r="C2002" s="8" t="s">
        <v>27</v>
      </c>
      <c r="D2002" s="8" t="s">
        <v>28</v>
      </c>
      <c r="E2002" s="8" t="s">
        <v>19</v>
      </c>
      <c r="F2002" s="8" t="s">
        <v>20</v>
      </c>
      <c r="G2002" s="8" t="s">
        <v>21</v>
      </c>
      <c r="H2002" s="9"/>
      <c r="I2002" s="9"/>
      <c r="J2002" s="10">
        <f t="shared" ref="J2002:M2002" si="1153">ifs(OR($H2002="R",$I2002="N"),"N/A",OR(C2002="A",C2002="B",C2002="C",C2002="U"),3,TRUE,"FLAG")</f>
        <v>3</v>
      </c>
      <c r="K2002" s="10">
        <f t="shared" si="1153"/>
        <v>3</v>
      </c>
      <c r="L2002" s="10">
        <f t="shared" si="1153"/>
        <v>3</v>
      </c>
      <c r="M2002" s="10" t="str">
        <f t="shared" si="1153"/>
        <v>FLAG</v>
      </c>
      <c r="N2002" s="10" t="str">
        <f t="shared" si="2"/>
        <v>21-5927(a)(1)(F) - Medicaid fraud; Make any claim for payment for any goods, service, item, facility, or accommodation, not medically necessary; Aggregate payments claimed less than $1,000</v>
      </c>
      <c r="O2002" s="10" t="str">
        <f t="shared" si="3"/>
        <v>Medicaid fraud</v>
      </c>
    </row>
    <row r="2003">
      <c r="A2003" s="7" t="s">
        <v>3565</v>
      </c>
      <c r="B2003" s="8" t="s">
        <v>3501</v>
      </c>
      <c r="C2003" s="8" t="s">
        <v>27</v>
      </c>
      <c r="D2003" s="8" t="s">
        <v>28</v>
      </c>
      <c r="E2003" s="8" t="s">
        <v>19</v>
      </c>
      <c r="F2003" s="8" t="s">
        <v>20</v>
      </c>
      <c r="G2003" s="8" t="s">
        <v>21</v>
      </c>
      <c r="H2003" s="9"/>
      <c r="I2003" s="9"/>
      <c r="J2003" s="10">
        <f t="shared" ref="J2003:M2003" si="1154">ifs(OR($H2003="R",$I2003="N"),"N/A",OR(C2003="A",C2003="B",C2003="C",C2003="U"),3,TRUE,"FLAG")</f>
        <v>3</v>
      </c>
      <c r="K2003" s="10">
        <f t="shared" si="1154"/>
        <v>3</v>
      </c>
      <c r="L2003" s="10">
        <f t="shared" si="1154"/>
        <v>3</v>
      </c>
      <c r="M2003" s="10" t="str">
        <f t="shared" si="1154"/>
        <v>FLAG</v>
      </c>
      <c r="N2003" s="10" t="str">
        <f t="shared" si="2"/>
        <v>21-5927(a)(1)(C) - Medicaid fraud; Make any false or fraudulent report or filing used in computing or determining a rate of payment; Aggregate payments claimed less than $1,000</v>
      </c>
      <c r="O2003" s="10" t="str">
        <f t="shared" si="3"/>
        <v>Medicaid fraud</v>
      </c>
    </row>
    <row r="2004">
      <c r="A2004" s="7" t="s">
        <v>3566</v>
      </c>
      <c r="B2004" s="8" t="s">
        <v>3503</v>
      </c>
      <c r="C2004" s="8" t="s">
        <v>27</v>
      </c>
      <c r="D2004" s="8" t="s">
        <v>28</v>
      </c>
      <c r="E2004" s="8" t="s">
        <v>19</v>
      </c>
      <c r="F2004" s="8" t="s">
        <v>20</v>
      </c>
      <c r="G2004" s="8" t="s">
        <v>21</v>
      </c>
      <c r="H2004" s="9"/>
      <c r="I2004" s="9"/>
      <c r="J2004" s="10">
        <f t="shared" ref="J2004:M2004" si="1155">ifs(OR($H2004="R",$I2004="N"),"N/A",OR(C2004="A",C2004="B",C2004="C",C2004="U"),3,TRUE,"FLAG")</f>
        <v>3</v>
      </c>
      <c r="K2004" s="10">
        <f t="shared" si="1155"/>
        <v>3</v>
      </c>
      <c r="L2004" s="10">
        <f t="shared" si="1155"/>
        <v>3</v>
      </c>
      <c r="M2004" s="10" t="str">
        <f t="shared" si="1155"/>
        <v>FLAG</v>
      </c>
      <c r="N2004" s="10" t="str">
        <f t="shared" si="2"/>
        <v>21-5927(a)(1)(B) - Medicaid fraud; Make any false or fraudulent statement/representation for use in determining payments;  Aggregate payments claimed less than $1,000</v>
      </c>
      <c r="O2004" s="10" t="str">
        <f t="shared" si="3"/>
        <v>Medicaid fraud</v>
      </c>
    </row>
    <row r="2005">
      <c r="A2005" s="7" t="s">
        <v>3567</v>
      </c>
      <c r="B2005" s="8" t="s">
        <v>3505</v>
      </c>
      <c r="C2005" s="8" t="s">
        <v>27</v>
      </c>
      <c r="D2005" s="8" t="s">
        <v>28</v>
      </c>
      <c r="E2005" s="8" t="s">
        <v>19</v>
      </c>
      <c r="F2005" s="8" t="s">
        <v>20</v>
      </c>
      <c r="G2005" s="8" t="s">
        <v>21</v>
      </c>
      <c r="H2005" s="9"/>
      <c r="I2005" s="9"/>
      <c r="J2005" s="10">
        <f t="shared" ref="J2005:M2005" si="1156">ifs(OR($H2005="R",$I2005="N"),"N/A",OR(C2005="A",C2005="B",C2005="C",C2005="U"),3,TRUE,"FLAG")</f>
        <v>3</v>
      </c>
      <c r="K2005" s="10">
        <f t="shared" si="1156"/>
        <v>3</v>
      </c>
      <c r="L2005" s="10">
        <f t="shared" si="1156"/>
        <v>3</v>
      </c>
      <c r="M2005" s="10" t="str">
        <f t="shared" si="1156"/>
        <v>FLAG</v>
      </c>
      <c r="N2005" s="10" t="str">
        <f t="shared" si="2"/>
        <v>21-5927(a)(1)(D) - Medicaid fraud; Make any false or fraudulent statement/representation in connection with any report or filing used in computing or determining a rate of payment; Aggregate payments claimed less than $1,000</v>
      </c>
      <c r="O2005" s="10" t="str">
        <f t="shared" si="3"/>
        <v>Medicaid fraud</v>
      </c>
    </row>
    <row r="2006">
      <c r="A2006" s="7" t="s">
        <v>3568</v>
      </c>
      <c r="B2006" s="8" t="s">
        <v>3507</v>
      </c>
      <c r="C2006" s="8" t="s">
        <v>27</v>
      </c>
      <c r="D2006" s="8" t="s">
        <v>28</v>
      </c>
      <c r="E2006" s="8" t="s">
        <v>19</v>
      </c>
      <c r="F2006" s="8" t="s">
        <v>20</v>
      </c>
      <c r="G2006" s="8" t="s">
        <v>21</v>
      </c>
      <c r="H2006" s="9"/>
      <c r="I2006" s="9"/>
      <c r="J2006" s="10">
        <f t="shared" ref="J2006:M2006" si="1157">ifs(OR($H2006="R",$I2006="N"),"N/A",OR(C2006="A",C2006="B",C2006="C",C2006="U"),3,TRUE,"FLAG")</f>
        <v>3</v>
      </c>
      <c r="K2006" s="10">
        <f t="shared" si="1157"/>
        <v>3</v>
      </c>
      <c r="L2006" s="10">
        <f t="shared" si="1157"/>
        <v>3</v>
      </c>
      <c r="M2006" s="10" t="str">
        <f t="shared" si="1157"/>
        <v>FLAG</v>
      </c>
      <c r="N2006" s="10" t="str">
        <f t="shared" si="2"/>
        <v>21-5927(a)(1)(G) - Medicaid fraud; Make any wholly or partially false or fraudulent book, record, document, data or instrument, which is required to be kept or kept as documentation; Aggregate payments claimed less than $1,000</v>
      </c>
      <c r="O2006" s="10" t="str">
        <f t="shared" si="3"/>
        <v>Medicaid fraud</v>
      </c>
    </row>
    <row r="2007">
      <c r="A2007" s="7" t="s">
        <v>3569</v>
      </c>
      <c r="B2007" s="8" t="s">
        <v>3509</v>
      </c>
      <c r="C2007" s="8" t="s">
        <v>27</v>
      </c>
      <c r="D2007" s="8" t="s">
        <v>28</v>
      </c>
      <c r="E2007" s="8" t="s">
        <v>19</v>
      </c>
      <c r="F2007" s="8" t="s">
        <v>20</v>
      </c>
      <c r="G2007" s="8" t="s">
        <v>21</v>
      </c>
      <c r="H2007" s="9"/>
      <c r="I2007" s="9"/>
      <c r="J2007" s="10">
        <f t="shared" ref="J2007:M2007" si="1158">ifs(OR($H2007="R",$I2007="N"),"N/A",OR(C2007="A",C2007="B",C2007="C",C2007="U"),3,TRUE,"FLAG")</f>
        <v>3</v>
      </c>
      <c r="K2007" s="10">
        <f t="shared" si="1158"/>
        <v>3</v>
      </c>
      <c r="L2007" s="10">
        <f t="shared" si="1158"/>
        <v>3</v>
      </c>
      <c r="M2007" s="10" t="str">
        <f t="shared" si="1158"/>
        <v>FLAG</v>
      </c>
      <c r="N2007" s="10" t="str">
        <f t="shared" si="2"/>
        <v>21-5927(a)(1)(A) - Medicaid fraud; Make false or fraudulent claim for payment for any goods, service, item, facility, or accommodation; Aggregate payments claimed less than $1,000</v>
      </c>
      <c r="O2007" s="10" t="str">
        <f t="shared" si="3"/>
        <v>Medicaid fraud</v>
      </c>
    </row>
    <row r="2008">
      <c r="A2008" s="7" t="s">
        <v>3570</v>
      </c>
      <c r="B2008" s="8" t="s">
        <v>3571</v>
      </c>
      <c r="C2008" s="8">
        <v>9.0</v>
      </c>
      <c r="D2008" s="8">
        <v>10.0</v>
      </c>
      <c r="E2008" s="8">
        <v>10.0</v>
      </c>
      <c r="F2008" s="8">
        <v>10.0</v>
      </c>
      <c r="G2008" s="8" t="s">
        <v>21</v>
      </c>
      <c r="H2008" s="9"/>
      <c r="I2008" s="9"/>
      <c r="N2008" s="10" t="str">
        <f t="shared" si="2"/>
        <v>21-5931(a) - Medicaid; Intentional destruction or concealment of records</v>
      </c>
      <c r="O2008" s="10" t="str">
        <f t="shared" si="3"/>
        <v>Medicaid</v>
      </c>
    </row>
    <row r="2009">
      <c r="A2009" s="7" t="s">
        <v>3572</v>
      </c>
      <c r="B2009" s="8" t="s">
        <v>3573</v>
      </c>
      <c r="C2009" s="8" t="s">
        <v>27</v>
      </c>
      <c r="D2009" s="8" t="s">
        <v>28</v>
      </c>
      <c r="E2009" s="8" t="s">
        <v>19</v>
      </c>
      <c r="F2009" s="8" t="s">
        <v>20</v>
      </c>
      <c r="G2009" s="8" t="s">
        <v>21</v>
      </c>
      <c r="H2009" s="9"/>
      <c r="I2009" s="9"/>
      <c r="J2009" s="10">
        <f t="shared" ref="J2009:M2009" si="1159">ifs(OR($H2009="R",$I2009="N"),"N/A",OR(C2009="A",C2009="B",C2009="C",C2009="U"),3,TRUE,"FLAG")</f>
        <v>3</v>
      </c>
      <c r="K2009" s="10">
        <f t="shared" si="1159"/>
        <v>3</v>
      </c>
      <c r="L2009" s="10">
        <f t="shared" si="1159"/>
        <v>3</v>
      </c>
      <c r="M2009" s="10" t="str">
        <f t="shared" si="1159"/>
        <v>FLAG</v>
      </c>
      <c r="N2009" s="10" t="str">
        <f t="shared" si="2"/>
        <v>65-4214(a)(5) - Mental Health Tech; 2nd or subs. violation of any provisions of the mental health technician's licensure act</v>
      </c>
      <c r="O2009" s="10" t="str">
        <f t="shared" si="3"/>
        <v>Mental Health Tech</v>
      </c>
    </row>
    <row r="2010">
      <c r="A2010" s="7" t="s">
        <v>3574</v>
      </c>
      <c r="B2010" s="8" t="s">
        <v>3575</v>
      </c>
      <c r="C2010" s="8" t="s">
        <v>28</v>
      </c>
      <c r="D2010" s="8" t="s">
        <v>19</v>
      </c>
      <c r="E2010" s="8" t="s">
        <v>19</v>
      </c>
      <c r="F2010" s="8" t="s">
        <v>20</v>
      </c>
      <c r="G2010" s="8" t="s">
        <v>21</v>
      </c>
      <c r="H2010" s="9"/>
      <c r="I2010" s="9"/>
      <c r="J2010" s="10">
        <f t="shared" ref="J2010:M2010" si="1160">ifs(OR($H2010="R",$I2010="N"),"N/A",OR(C2010="A",C2010="B",C2010="C",C2010="U"),3,TRUE,"FLAG")</f>
        <v>3</v>
      </c>
      <c r="K2010" s="10">
        <f t="shared" si="1160"/>
        <v>3</v>
      </c>
      <c r="L2010" s="10">
        <f t="shared" si="1160"/>
        <v>3</v>
      </c>
      <c r="M2010" s="10" t="str">
        <f t="shared" si="1160"/>
        <v>FLAG</v>
      </c>
      <c r="N2010" s="10" t="str">
        <f t="shared" si="2"/>
        <v>65-4214(a)(1) - Mental Health Tech; Fraudulently obtain, sell, transfer, or furnish any mental health technician diploma, license, renewal of license or record, or aid or abet another; 1st violation</v>
      </c>
      <c r="O2010" s="10" t="str">
        <f t="shared" si="3"/>
        <v>Mental Health Tech</v>
      </c>
    </row>
    <row r="2011">
      <c r="A2011" s="7" t="s">
        <v>3576</v>
      </c>
      <c r="B2011" s="8" t="s">
        <v>3575</v>
      </c>
      <c r="C2011" s="8" t="s">
        <v>27</v>
      </c>
      <c r="D2011" s="8" t="s">
        <v>28</v>
      </c>
      <c r="E2011" s="8" t="s">
        <v>19</v>
      </c>
      <c r="F2011" s="8" t="s">
        <v>20</v>
      </c>
      <c r="G2011" s="8" t="s">
        <v>21</v>
      </c>
      <c r="H2011" s="9"/>
      <c r="I2011" s="9"/>
      <c r="J2011" s="10">
        <f t="shared" ref="J2011:M2011" si="1161">ifs(OR($H2011="R",$I2011="N"),"N/A",OR(C2011="A",C2011="B",C2011="C",C2011="U"),3,TRUE,"FLAG")</f>
        <v>3</v>
      </c>
      <c r="K2011" s="10">
        <f t="shared" si="1161"/>
        <v>3</v>
      </c>
      <c r="L2011" s="10">
        <f t="shared" si="1161"/>
        <v>3</v>
      </c>
      <c r="M2011" s="10" t="str">
        <f t="shared" si="1161"/>
        <v>FLAG</v>
      </c>
      <c r="N2011" s="10" t="str">
        <f t="shared" si="2"/>
        <v>65-4214(a)(1) - Mental Health Tech; Fraudulently obtain, sell, transfer, or furnish any mental health technician diploma, license, renewal of license or record, or aid or abet another; 2nd or subs. violation</v>
      </c>
      <c r="O2011" s="10" t="str">
        <f t="shared" si="3"/>
        <v>Mental Health Tech</v>
      </c>
    </row>
    <row r="2012">
      <c r="A2012" s="7" t="s">
        <v>3577</v>
      </c>
      <c r="B2012" s="8" t="s">
        <v>3578</v>
      </c>
      <c r="C2012" s="8" t="s">
        <v>28</v>
      </c>
      <c r="D2012" s="8" t="s">
        <v>19</v>
      </c>
      <c r="E2012" s="8" t="s">
        <v>19</v>
      </c>
      <c r="F2012" s="8" t="s">
        <v>20</v>
      </c>
      <c r="G2012" s="8" t="s">
        <v>21</v>
      </c>
      <c r="H2012" s="9"/>
      <c r="I2012" s="9"/>
      <c r="J2012" s="10">
        <f t="shared" ref="J2012:M2012" si="1162">ifs(OR($H2012="R",$I2012="N"),"N/A",OR(C2012="A",C2012="B",C2012="C",C2012="U"),3,TRUE,"FLAG")</f>
        <v>3</v>
      </c>
      <c r="K2012" s="10">
        <f t="shared" si="1162"/>
        <v>3</v>
      </c>
      <c r="L2012" s="10">
        <f t="shared" si="1162"/>
        <v>3</v>
      </c>
      <c r="M2012" s="10" t="str">
        <f t="shared" si="1162"/>
        <v>FLAG</v>
      </c>
      <c r="N2012" s="10" t="str">
        <f t="shared" si="2"/>
        <v>65-4214(a)(4) - Mental Health Tech; Practice as a mental health technician while license is suspended or revoked; 1st violation</v>
      </c>
      <c r="O2012" s="10" t="str">
        <f t="shared" si="3"/>
        <v>Mental Health Tech</v>
      </c>
    </row>
    <row r="2013">
      <c r="A2013" s="7" t="s">
        <v>3579</v>
      </c>
      <c r="B2013" s="8" t="s">
        <v>3578</v>
      </c>
      <c r="C2013" s="8" t="s">
        <v>27</v>
      </c>
      <c r="D2013" s="8" t="s">
        <v>28</v>
      </c>
      <c r="E2013" s="8" t="s">
        <v>19</v>
      </c>
      <c r="F2013" s="8" t="s">
        <v>20</v>
      </c>
      <c r="G2013" s="8" t="s">
        <v>21</v>
      </c>
      <c r="H2013" s="9"/>
      <c r="I2013" s="9"/>
      <c r="J2013" s="10">
        <f t="shared" ref="J2013:M2013" si="1163">ifs(OR($H2013="R",$I2013="N"),"N/A",OR(C2013="A",C2013="B",C2013="C",C2013="U"),3,TRUE,"FLAG")</f>
        <v>3</v>
      </c>
      <c r="K2013" s="10">
        <f t="shared" si="1163"/>
        <v>3</v>
      </c>
      <c r="L2013" s="10">
        <f t="shared" si="1163"/>
        <v>3</v>
      </c>
      <c r="M2013" s="10" t="str">
        <f t="shared" si="1163"/>
        <v>FLAG</v>
      </c>
      <c r="N2013" s="10" t="str">
        <f t="shared" si="2"/>
        <v>65-4214(a)(4) - Mental Health Tech; Practice as a mental health technician while license is suspended or revoked; 2nd or subs. violation</v>
      </c>
      <c r="O2013" s="10" t="str">
        <f t="shared" si="3"/>
        <v>Mental Health Tech</v>
      </c>
    </row>
    <row r="2014">
      <c r="A2014" s="7" t="s">
        <v>3580</v>
      </c>
      <c r="B2014" s="8" t="s">
        <v>3581</v>
      </c>
      <c r="C2014" s="8" t="s">
        <v>28</v>
      </c>
      <c r="D2014" s="8" t="s">
        <v>19</v>
      </c>
      <c r="E2014" s="8" t="s">
        <v>19</v>
      </c>
      <c r="F2014" s="8" t="s">
        <v>20</v>
      </c>
      <c r="G2014" s="8" t="s">
        <v>21</v>
      </c>
      <c r="H2014" s="9"/>
      <c r="I2014" s="9"/>
      <c r="J2014" s="10">
        <f t="shared" ref="J2014:M2014" si="1164">ifs(OR($H2014="R",$I2014="N"),"N/A",OR(C2014="A",C2014="B",C2014="C",C2014="U"),3,TRUE,"FLAG")</f>
        <v>3</v>
      </c>
      <c r="K2014" s="10">
        <f t="shared" si="1164"/>
        <v>3</v>
      </c>
      <c r="L2014" s="10">
        <f t="shared" si="1164"/>
        <v>3</v>
      </c>
      <c r="M2014" s="10" t="str">
        <f t="shared" si="1164"/>
        <v>FLAG</v>
      </c>
      <c r="N2014" s="10" t="str">
        <f t="shared" si="2"/>
        <v>65-4214(a)(6) - Mental Health Tech; Represent that a provider of continuing education is approved for educating mental health technicians, without such approval; 1st violation</v>
      </c>
      <c r="O2014" s="10" t="str">
        <f t="shared" si="3"/>
        <v>Mental Health Tech</v>
      </c>
    </row>
    <row r="2015">
      <c r="A2015" s="7" t="s">
        <v>3582</v>
      </c>
      <c r="B2015" s="8" t="s">
        <v>3581</v>
      </c>
      <c r="C2015" s="8" t="s">
        <v>27</v>
      </c>
      <c r="D2015" s="8" t="s">
        <v>28</v>
      </c>
      <c r="E2015" s="8" t="s">
        <v>19</v>
      </c>
      <c r="F2015" s="8" t="s">
        <v>20</v>
      </c>
      <c r="G2015" s="8" t="s">
        <v>21</v>
      </c>
      <c r="H2015" s="9"/>
      <c r="I2015" s="9"/>
      <c r="J2015" s="10">
        <f t="shared" ref="J2015:M2015" si="1165">ifs(OR($H2015="R",$I2015="N"),"N/A",OR(C2015="A",C2015="B",C2015="C",C2015="U"),3,TRUE,"FLAG")</f>
        <v>3</v>
      </c>
      <c r="K2015" s="10">
        <f t="shared" si="1165"/>
        <v>3</v>
      </c>
      <c r="L2015" s="10">
        <f t="shared" si="1165"/>
        <v>3</v>
      </c>
      <c r="M2015" s="10" t="str">
        <f t="shared" si="1165"/>
        <v>FLAG</v>
      </c>
      <c r="N2015" s="10" t="str">
        <f t="shared" si="2"/>
        <v>65-4214(a)(6) - Mental Health Tech; Represent that a provider of continuing education is approved for educating mental health technicians, without such approval; 2nd or subs. violation</v>
      </c>
      <c r="O2015" s="10" t="str">
        <f t="shared" si="3"/>
        <v>Mental Health Tech</v>
      </c>
    </row>
    <row r="2016">
      <c r="A2016" s="7" t="s">
        <v>3583</v>
      </c>
      <c r="B2016" s="8" t="s">
        <v>3584</v>
      </c>
      <c r="C2016" s="8" t="s">
        <v>28</v>
      </c>
      <c r="D2016" s="8" t="s">
        <v>19</v>
      </c>
      <c r="E2016" s="8" t="s">
        <v>19</v>
      </c>
      <c r="F2016" s="8" t="s">
        <v>20</v>
      </c>
      <c r="G2016" s="8" t="s">
        <v>21</v>
      </c>
      <c r="H2016" s="9"/>
      <c r="I2016" s="9"/>
      <c r="J2016" s="10">
        <f t="shared" ref="J2016:M2016" si="1166">ifs(OR($H2016="R",$I2016="N"),"N/A",OR(C2016="A",C2016="B",C2016="C",C2016="U"),3,TRUE,"FLAG")</f>
        <v>3</v>
      </c>
      <c r="K2016" s="10">
        <f t="shared" si="1166"/>
        <v>3</v>
      </c>
      <c r="L2016" s="10">
        <f t="shared" si="1166"/>
        <v>3</v>
      </c>
      <c r="M2016" s="10" t="str">
        <f t="shared" si="1166"/>
        <v>FLAG</v>
      </c>
      <c r="N2016" s="10" t="str">
        <f t="shared" si="2"/>
        <v>65-4214(a)(2) - Mental Health Tech; Represent, or hold oneself out as a mental health technician or practice as a mental health technician without having a license to so practice; 1st violation</v>
      </c>
      <c r="O2016" s="10" t="str">
        <f t="shared" si="3"/>
        <v>Mental Health Tech</v>
      </c>
    </row>
    <row r="2017">
      <c r="A2017" s="7" t="s">
        <v>3585</v>
      </c>
      <c r="B2017" s="8" t="s">
        <v>3584</v>
      </c>
      <c r="C2017" s="8" t="s">
        <v>27</v>
      </c>
      <c r="D2017" s="8" t="s">
        <v>28</v>
      </c>
      <c r="E2017" s="8" t="s">
        <v>19</v>
      </c>
      <c r="F2017" s="8" t="s">
        <v>20</v>
      </c>
      <c r="G2017" s="8" t="s">
        <v>21</v>
      </c>
      <c r="H2017" s="9"/>
      <c r="I2017" s="9"/>
      <c r="J2017" s="10">
        <f t="shared" ref="J2017:M2017" si="1167">ifs(OR($H2017="R",$I2017="N"),"N/A",OR(C2017="A",C2017="B",C2017="C",C2017="U"),3,TRUE,"FLAG")</f>
        <v>3</v>
      </c>
      <c r="K2017" s="10">
        <f t="shared" si="1167"/>
        <v>3</v>
      </c>
      <c r="L2017" s="10">
        <f t="shared" si="1167"/>
        <v>3</v>
      </c>
      <c r="M2017" s="10" t="str">
        <f t="shared" si="1167"/>
        <v>FLAG</v>
      </c>
      <c r="N2017" s="10" t="str">
        <f t="shared" si="2"/>
        <v>65-4214(a)(2) - Mental Health Tech; Represent, or hold oneself out as a mental health technician or practice as a mental health technician without having a license to so practice; 2nd or subs. violation</v>
      </c>
      <c r="O2017" s="10" t="str">
        <f t="shared" si="3"/>
        <v>Mental Health Tech</v>
      </c>
    </row>
    <row r="2018">
      <c r="A2018" s="7" t="s">
        <v>3586</v>
      </c>
      <c r="B2018" s="8" t="s">
        <v>3587</v>
      </c>
      <c r="C2018" s="8" t="s">
        <v>28</v>
      </c>
      <c r="D2018" s="8" t="s">
        <v>19</v>
      </c>
      <c r="E2018" s="8" t="s">
        <v>19</v>
      </c>
      <c r="F2018" s="8" t="s">
        <v>20</v>
      </c>
      <c r="G2018" s="8" t="s">
        <v>21</v>
      </c>
      <c r="H2018" s="9"/>
      <c r="I2018" s="9"/>
      <c r="J2018" s="10">
        <f t="shared" ref="J2018:M2018" si="1168">ifs(OR($H2018="R",$I2018="N"),"N/A",OR(C2018="A",C2018="B",C2018="C",C2018="U"),3,TRUE,"FLAG")</f>
        <v>3</v>
      </c>
      <c r="K2018" s="10">
        <f t="shared" si="1168"/>
        <v>3</v>
      </c>
      <c r="L2018" s="10">
        <f t="shared" si="1168"/>
        <v>3</v>
      </c>
      <c r="M2018" s="10" t="str">
        <f t="shared" si="1168"/>
        <v>FLAG</v>
      </c>
      <c r="N2018" s="10" t="str">
        <f t="shared" si="2"/>
        <v>65-4214(a)(3) - Mental Health Tech; Use in connection with one's name any designation intending to imply that such person is a licensed mental health technician without having such license; 1st violation</v>
      </c>
      <c r="O2018" s="10" t="str">
        <f t="shared" si="3"/>
        <v>Mental Health Tech</v>
      </c>
    </row>
    <row r="2019">
      <c r="A2019" s="7" t="s">
        <v>3588</v>
      </c>
      <c r="B2019" s="8" t="s">
        <v>3587</v>
      </c>
      <c r="C2019" s="8" t="s">
        <v>27</v>
      </c>
      <c r="D2019" s="8" t="s">
        <v>28</v>
      </c>
      <c r="E2019" s="8" t="s">
        <v>19</v>
      </c>
      <c r="F2019" s="8" t="s">
        <v>20</v>
      </c>
      <c r="G2019" s="8" t="s">
        <v>21</v>
      </c>
      <c r="H2019" s="9"/>
      <c r="I2019" s="9"/>
      <c r="J2019" s="10">
        <f t="shared" ref="J2019:M2019" si="1169">ifs(OR($H2019="R",$I2019="N"),"N/A",OR(C2019="A",C2019="B",C2019="C",C2019="U"),3,TRUE,"FLAG")</f>
        <v>3</v>
      </c>
      <c r="K2019" s="10">
        <f t="shared" si="1169"/>
        <v>3</v>
      </c>
      <c r="L2019" s="10">
        <f t="shared" si="1169"/>
        <v>3</v>
      </c>
      <c r="M2019" s="10" t="str">
        <f t="shared" si="1169"/>
        <v>FLAG</v>
      </c>
      <c r="N2019" s="10" t="str">
        <f t="shared" si="2"/>
        <v>65-4214(a)(3) - Mental Health Tech; Use in connection with one's name any designation intending to imply that such person is a licensed mental health technician without having such license; 2nd or subs. violation</v>
      </c>
      <c r="O2019" s="10" t="str">
        <f t="shared" si="3"/>
        <v>Mental Health Tech</v>
      </c>
    </row>
    <row r="2020">
      <c r="A2020" s="7" t="s">
        <v>3589</v>
      </c>
      <c r="B2020" s="8" t="s">
        <v>3573</v>
      </c>
      <c r="C2020" s="8" t="s">
        <v>28</v>
      </c>
      <c r="D2020" s="8" t="s">
        <v>19</v>
      </c>
      <c r="E2020" s="8" t="s">
        <v>19</v>
      </c>
      <c r="F2020" s="8" t="s">
        <v>20</v>
      </c>
      <c r="G2020" s="8" t="s">
        <v>21</v>
      </c>
      <c r="H2020" s="9"/>
      <c r="I2020" s="9"/>
      <c r="J2020" s="10">
        <f t="shared" ref="J2020:M2020" si="1170">ifs(OR($H2020="R",$I2020="N"),"N/A",OR(C2020="A",C2020="B",C2020="C",C2020="U"),3,TRUE,"FLAG")</f>
        <v>3</v>
      </c>
      <c r="K2020" s="10">
        <f t="shared" si="1170"/>
        <v>3</v>
      </c>
      <c r="L2020" s="10">
        <f t="shared" si="1170"/>
        <v>3</v>
      </c>
      <c r="M2020" s="10" t="str">
        <f t="shared" si="1170"/>
        <v>FLAG</v>
      </c>
      <c r="N2020" s="10" t="str">
        <f t="shared" si="2"/>
        <v>65-4214(a)(5) - Mental Health Tech; Violate any of the provisions of the mental health technician's licensure act; 1st violation</v>
      </c>
      <c r="O2020" s="10" t="str">
        <f t="shared" si="3"/>
        <v>Mental Health Tech</v>
      </c>
    </row>
    <row r="2021">
      <c r="A2021" s="7" t="s">
        <v>3590</v>
      </c>
      <c r="B2021" s="8" t="s">
        <v>3591</v>
      </c>
      <c r="C2021" s="8">
        <v>7.0</v>
      </c>
      <c r="D2021" s="8">
        <v>9.0</v>
      </c>
      <c r="E2021" s="8">
        <v>9.0</v>
      </c>
      <c r="F2021" s="8">
        <v>10.0</v>
      </c>
      <c r="G2021" s="8" t="s">
        <v>21</v>
      </c>
      <c r="H2021" s="9"/>
      <c r="I2021" s="9"/>
      <c r="N2021" s="10" t="str">
        <f t="shared" si="2"/>
        <v>39-717(a)(1) - Mentally Ill, Incapacitated &amp; Dependent Persons; Illegal disposition of assistance; Value $25,000 or more</v>
      </c>
      <c r="O2021" s="10" t="str">
        <f t="shared" si="3"/>
        <v>Mentally Ill, Incapacitated &amp; Dependent Persons</v>
      </c>
    </row>
    <row r="2022">
      <c r="A2022" s="7" t="s">
        <v>3592</v>
      </c>
      <c r="B2022" s="8" t="s">
        <v>3591</v>
      </c>
      <c r="C2022" s="8">
        <v>9.0</v>
      </c>
      <c r="D2022" s="8">
        <v>10.0</v>
      </c>
      <c r="E2022" s="8">
        <v>10.0</v>
      </c>
      <c r="F2022" s="8">
        <v>10.0</v>
      </c>
      <c r="G2022" s="8" t="s">
        <v>21</v>
      </c>
      <c r="H2022" s="9"/>
      <c r="I2022" s="9"/>
      <c r="N2022" s="10" t="str">
        <f t="shared" si="2"/>
        <v>39-717(a)(1) - Mentally Ill, Incapacitated &amp; Dependent Persons; Illegal disposition of assistance; value at least $1,000 but less than $25,000</v>
      </c>
      <c r="O2022" s="10" t="str">
        <f t="shared" si="3"/>
        <v>Mentally Ill, Incapacitated &amp; Dependent Persons</v>
      </c>
    </row>
    <row r="2023">
      <c r="A2023" s="7" t="s">
        <v>3593</v>
      </c>
      <c r="B2023" s="8" t="s">
        <v>3591</v>
      </c>
      <c r="C2023" s="8" t="s">
        <v>27</v>
      </c>
      <c r="D2023" s="8" t="s">
        <v>28</v>
      </c>
      <c r="E2023" s="8" t="s">
        <v>19</v>
      </c>
      <c r="F2023" s="8" t="s">
        <v>20</v>
      </c>
      <c r="G2023" s="8" t="s">
        <v>21</v>
      </c>
      <c r="H2023" s="9"/>
      <c r="I2023" s="9"/>
      <c r="J2023" s="10">
        <f t="shared" ref="J2023:M2023" si="1171">ifs(OR($H2023="R",$I2023="N"),"N/A",OR(C2023="A",C2023="B",C2023="C",C2023="U"),3,TRUE,"FLAG")</f>
        <v>3</v>
      </c>
      <c r="K2023" s="10">
        <f t="shared" si="1171"/>
        <v>3</v>
      </c>
      <c r="L2023" s="10">
        <f t="shared" si="1171"/>
        <v>3</v>
      </c>
      <c r="M2023" s="10" t="str">
        <f t="shared" si="1171"/>
        <v>FLAG</v>
      </c>
      <c r="N2023" s="10" t="str">
        <f t="shared" si="2"/>
        <v>39-717(a)(1) - Mentally Ill, Incapacitated &amp; Dependent Persons; Illegal disposition of assistance; value less than $1,000</v>
      </c>
      <c r="O2023" s="10" t="str">
        <f t="shared" si="3"/>
        <v>Mentally Ill, Incapacitated &amp; Dependent Persons</v>
      </c>
    </row>
    <row r="2024">
      <c r="A2024" s="7" t="s">
        <v>3594</v>
      </c>
      <c r="B2024" s="8" t="s">
        <v>3595</v>
      </c>
      <c r="C2024" s="8">
        <v>7.0</v>
      </c>
      <c r="D2024" s="8">
        <v>9.0</v>
      </c>
      <c r="E2024" s="8">
        <v>9.0</v>
      </c>
      <c r="F2024" s="8">
        <v>10.0</v>
      </c>
      <c r="G2024" s="8" t="s">
        <v>21</v>
      </c>
      <c r="H2024" s="9"/>
      <c r="I2024" s="9"/>
      <c r="N2024" s="10" t="str">
        <f t="shared" si="2"/>
        <v>39-717(a)(2) - Mentally Ill, Incapacitated &amp; Dependent Persons; Illegal purchase, acquisition or possession of assistance; value $25,000 or more</v>
      </c>
      <c r="O2024" s="10" t="str">
        <f t="shared" si="3"/>
        <v>Mentally Ill, Incapacitated &amp; Dependent Persons</v>
      </c>
    </row>
    <row r="2025">
      <c r="A2025" s="7" t="s">
        <v>3596</v>
      </c>
      <c r="B2025" s="8" t="s">
        <v>3595</v>
      </c>
      <c r="C2025" s="8">
        <v>9.0</v>
      </c>
      <c r="D2025" s="8">
        <v>10.0</v>
      </c>
      <c r="E2025" s="8">
        <v>10.0</v>
      </c>
      <c r="F2025" s="8">
        <v>10.0</v>
      </c>
      <c r="G2025" s="8" t="s">
        <v>21</v>
      </c>
      <c r="H2025" s="9"/>
      <c r="I2025" s="9"/>
      <c r="N2025" s="10" t="str">
        <f t="shared" si="2"/>
        <v>39-717(a)(2) - Mentally Ill, Incapacitated &amp; Dependent Persons; Illegal purchase, acquisition or possession of assistance; value at least $1,000 but less than $25,000</v>
      </c>
      <c r="O2025" s="10" t="str">
        <f t="shared" si="3"/>
        <v>Mentally Ill, Incapacitated &amp; Dependent Persons</v>
      </c>
    </row>
    <row r="2026">
      <c r="A2026" s="7" t="s">
        <v>3597</v>
      </c>
      <c r="B2026" s="8" t="s">
        <v>3595</v>
      </c>
      <c r="C2026" s="8" t="s">
        <v>27</v>
      </c>
      <c r="D2026" s="8" t="s">
        <v>28</v>
      </c>
      <c r="E2026" s="8" t="s">
        <v>19</v>
      </c>
      <c r="F2026" s="8" t="s">
        <v>20</v>
      </c>
      <c r="G2026" s="8" t="s">
        <v>21</v>
      </c>
      <c r="H2026" s="9"/>
      <c r="I2026" s="9"/>
      <c r="J2026" s="10">
        <f t="shared" ref="J2026:M2026" si="1172">ifs(OR($H2026="R",$I2026="N"),"N/A",OR(C2026="A",C2026="B",C2026="C",C2026="U"),3,TRUE,"FLAG")</f>
        <v>3</v>
      </c>
      <c r="K2026" s="10">
        <f t="shared" si="1172"/>
        <v>3</v>
      </c>
      <c r="L2026" s="10">
        <f t="shared" si="1172"/>
        <v>3</v>
      </c>
      <c r="M2026" s="10" t="str">
        <f t="shared" si="1172"/>
        <v>FLAG</v>
      </c>
      <c r="N2026" s="10" t="str">
        <f t="shared" si="2"/>
        <v>39-717(a)(2) - Mentally Ill, Incapacitated &amp; Dependent Persons; Illegal purchase, acquisition or possession of assistance; value less than $1,000</v>
      </c>
      <c r="O2026" s="10" t="str">
        <f t="shared" si="3"/>
        <v>Mentally Ill, Incapacitated &amp; Dependent Persons</v>
      </c>
    </row>
    <row r="2027">
      <c r="A2027" s="7" t="s">
        <v>3598</v>
      </c>
      <c r="B2027" s="8" t="s">
        <v>3599</v>
      </c>
      <c r="C2027" s="8">
        <v>10.0</v>
      </c>
      <c r="D2027" s="8">
        <v>10.0</v>
      </c>
      <c r="E2027" s="8">
        <v>10.0</v>
      </c>
      <c r="F2027" s="8">
        <v>10.0</v>
      </c>
      <c r="G2027" s="8" t="s">
        <v>21</v>
      </c>
      <c r="H2027" s="9"/>
      <c r="I2027" s="9"/>
      <c r="N2027" s="10" t="str">
        <f t="shared" si="2"/>
        <v>39-759(a) - Mentally Ill, Incapacitated &amp; Dependent Persons; Unlawful acts relating to information concerning absent parents; unauthorized requesting, obtaining, or seeking out confidential information obtained by the secretary under K.S.A. 39-758 or K.S.A. 39-7,136, 39-7,143 and 39-7,150 done under false pretenses; unauthorized, willful communicating confidential information</v>
      </c>
      <c r="O2027" s="10" t="str">
        <f t="shared" si="3"/>
        <v>Mentally Ill, Incapacitated &amp; Dependent Persons</v>
      </c>
    </row>
    <row r="2028">
      <c r="A2028" s="7" t="s">
        <v>3600</v>
      </c>
      <c r="B2028" s="8" t="s">
        <v>3599</v>
      </c>
      <c r="C2028" s="8" t="s">
        <v>28</v>
      </c>
      <c r="D2028" s="8" t="s">
        <v>19</v>
      </c>
      <c r="E2028" s="8" t="s">
        <v>19</v>
      </c>
      <c r="F2028" s="8" t="s">
        <v>20</v>
      </c>
      <c r="G2028" s="8" t="s">
        <v>21</v>
      </c>
      <c r="H2028" s="9"/>
      <c r="I2028" s="9"/>
      <c r="J2028" s="10">
        <f t="shared" ref="J2028:M2028" si="1173">ifs(OR($H2028="R",$I2028="N"),"N/A",OR(C2028="A",C2028="B",C2028="C",C2028="U"),3,TRUE,"FLAG")</f>
        <v>3</v>
      </c>
      <c r="K2028" s="10">
        <f t="shared" si="1173"/>
        <v>3</v>
      </c>
      <c r="L2028" s="10">
        <f t="shared" si="1173"/>
        <v>3</v>
      </c>
      <c r="M2028" s="10" t="str">
        <f t="shared" si="1173"/>
        <v>FLAG</v>
      </c>
      <c r="N2028" s="10" t="str">
        <f t="shared" si="2"/>
        <v>39-759(a) - Mentally Ill, Incapacitated &amp; Dependent Persons; Unlawful acts relating to information concerning absent parents; unauthorized requesting, obtaining, or seeking out confidential information obtained by the secretary under K.S.A. 39-758 or K.S.A. 39-7,136, 39-7,143 and 39-7,150</v>
      </c>
      <c r="O2028" s="10" t="str">
        <f t="shared" si="3"/>
        <v>Mentally Ill, Incapacitated &amp; Dependent Persons</v>
      </c>
    </row>
    <row r="2029">
      <c r="A2029" s="7" t="s">
        <v>3601</v>
      </c>
      <c r="B2029" s="8" t="s">
        <v>3602</v>
      </c>
      <c r="C2029" s="8">
        <v>5.0</v>
      </c>
      <c r="D2029" s="8">
        <v>7.0</v>
      </c>
      <c r="E2029" s="8">
        <v>7.0</v>
      </c>
      <c r="F2029" s="8">
        <v>8.0</v>
      </c>
      <c r="G2029" s="8" t="s">
        <v>21</v>
      </c>
      <c r="H2029" s="9"/>
      <c r="I2029" s="9"/>
      <c r="N2029" s="10" t="str">
        <f t="shared" si="2"/>
        <v>39-720 - Mentally Ill, Incapacitated &amp; Dependent Persons; Welfare fraud; $100,000 or more</v>
      </c>
      <c r="O2029" s="10" t="str">
        <f t="shared" si="3"/>
        <v>Mentally Ill, Incapacitated &amp; Dependent Persons</v>
      </c>
    </row>
    <row r="2030">
      <c r="A2030" s="7" t="s">
        <v>3603</v>
      </c>
      <c r="B2030" s="8" t="s">
        <v>3602</v>
      </c>
      <c r="C2030" s="8" t="s">
        <v>27</v>
      </c>
      <c r="D2030" s="8" t="s">
        <v>28</v>
      </c>
      <c r="E2030" s="8" t="s">
        <v>19</v>
      </c>
      <c r="F2030" s="8" t="s">
        <v>20</v>
      </c>
      <c r="G2030" s="8" t="s">
        <v>21</v>
      </c>
      <c r="H2030" s="9"/>
      <c r="I2030" s="9"/>
      <c r="J2030" s="10">
        <f t="shared" ref="J2030:M2030" si="1174">ifs(OR($H2030="R",$I2030="N"),"N/A",OR(C2030="A",C2030="B",C2030="C",C2030="U"),3,TRUE,"FLAG")</f>
        <v>3</v>
      </c>
      <c r="K2030" s="10">
        <f t="shared" si="1174"/>
        <v>3</v>
      </c>
      <c r="L2030" s="10">
        <f t="shared" si="1174"/>
        <v>3</v>
      </c>
      <c r="M2030" s="10" t="str">
        <f t="shared" si="1174"/>
        <v>FLAG</v>
      </c>
      <c r="N2030" s="10" t="str">
        <f t="shared" si="2"/>
        <v>39-720 - Mentally Ill, Incapacitated &amp; Dependent Persons; Welfare fraud; punished according to K.S.A. 21-3701; value less than $1,000</v>
      </c>
      <c r="O2030" s="10" t="str">
        <f t="shared" si="3"/>
        <v>Mentally Ill, Incapacitated &amp; Dependent Persons</v>
      </c>
    </row>
    <row r="2031">
      <c r="A2031" s="7" t="s">
        <v>3604</v>
      </c>
      <c r="B2031" s="8" t="s">
        <v>3602</v>
      </c>
      <c r="C2031" s="8">
        <v>9.0</v>
      </c>
      <c r="D2031" s="8">
        <v>10.0</v>
      </c>
      <c r="E2031" s="8">
        <v>10.0</v>
      </c>
      <c r="F2031" s="8">
        <v>10.0</v>
      </c>
      <c r="G2031" s="8" t="s">
        <v>21</v>
      </c>
      <c r="H2031" s="9"/>
      <c r="I2031" s="9"/>
      <c r="N2031" s="10" t="str">
        <f t="shared" si="2"/>
        <v>39-720 - Mentally Ill, Incapacitated &amp; Dependent Persons; Welfare fraud; value at least $1,000 but less than $25,000</v>
      </c>
      <c r="O2031" s="10" t="str">
        <f t="shared" si="3"/>
        <v>Mentally Ill, Incapacitated &amp; Dependent Persons</v>
      </c>
    </row>
    <row r="2032">
      <c r="A2032" s="7" t="s">
        <v>3605</v>
      </c>
      <c r="B2032" s="8" t="s">
        <v>3602</v>
      </c>
      <c r="C2032" s="8">
        <v>7.0</v>
      </c>
      <c r="D2032" s="8">
        <v>9.0</v>
      </c>
      <c r="E2032" s="8">
        <v>9.0</v>
      </c>
      <c r="F2032" s="8">
        <v>10.0</v>
      </c>
      <c r="G2032" s="8" t="s">
        <v>21</v>
      </c>
      <c r="H2032" s="9"/>
      <c r="I2032" s="9"/>
      <c r="N2032" s="10" t="str">
        <f t="shared" si="2"/>
        <v>39-720 - Mentally Ill, Incapacitated &amp; Dependent Persons; Welfare fraud; value at least $25,000 but less than $100,000</v>
      </c>
      <c r="O2032" s="10" t="str">
        <f t="shared" si="3"/>
        <v>Mentally Ill, Incapacitated &amp; Dependent Persons</v>
      </c>
    </row>
    <row r="2033">
      <c r="A2033" s="7" t="s">
        <v>3606</v>
      </c>
      <c r="B2033" s="8" t="s">
        <v>3607</v>
      </c>
      <c r="C2033" s="8" t="s">
        <v>18</v>
      </c>
      <c r="D2033" s="8" t="s">
        <v>18</v>
      </c>
      <c r="E2033" s="8" t="s">
        <v>19</v>
      </c>
      <c r="F2033" s="8" t="s">
        <v>20</v>
      </c>
      <c r="G2033" s="8" t="s">
        <v>21</v>
      </c>
      <c r="H2033" s="9"/>
      <c r="I2033" s="9"/>
      <c r="J2033" s="10">
        <f t="shared" ref="J2033:M2033" si="1175">ifs(OR($H2033="R",$I2033="N"),"N/A",OR(C2033="A",C2033="B",C2033="C",C2033="U"),3,TRUE,"FLAG")</f>
        <v>3</v>
      </c>
      <c r="K2033" s="10">
        <f t="shared" si="1175"/>
        <v>3</v>
      </c>
      <c r="L2033" s="10">
        <f t="shared" si="1175"/>
        <v>3</v>
      </c>
      <c r="M2033" s="10" t="str">
        <f t="shared" si="1175"/>
        <v>FLAG</v>
      </c>
      <c r="N2033" s="10" t="str">
        <f t="shared" si="2"/>
        <v>65-789(c) - Milk, Cream &amp; Dairy Products; Adulterate or misbrand any milk, milk products or dairy products</v>
      </c>
      <c r="O2033" s="10" t="str">
        <f t="shared" si="3"/>
        <v>Milk, Cream &amp; Dairy Products</v>
      </c>
    </row>
    <row r="2034">
      <c r="A2034" s="7" t="s">
        <v>3608</v>
      </c>
      <c r="B2034" s="8" t="s">
        <v>3609</v>
      </c>
      <c r="C2034" s="8" t="s">
        <v>18</v>
      </c>
      <c r="D2034" s="8" t="s">
        <v>18</v>
      </c>
      <c r="E2034" s="8" t="s">
        <v>19</v>
      </c>
      <c r="F2034" s="8" t="s">
        <v>20</v>
      </c>
      <c r="G2034" s="8" t="s">
        <v>21</v>
      </c>
      <c r="H2034" s="9"/>
      <c r="I2034" s="9"/>
      <c r="J2034" s="10">
        <f t="shared" ref="J2034:M2034" si="1176">ifs(OR($H2034="R",$I2034="N"),"N/A",OR(C2034="A",C2034="B",C2034="C",C2034="U"),3,TRUE,"FLAG")</f>
        <v>3</v>
      </c>
      <c r="K2034" s="10">
        <f t="shared" si="1176"/>
        <v>3</v>
      </c>
      <c r="L2034" s="10">
        <f t="shared" si="1176"/>
        <v>3</v>
      </c>
      <c r="M2034" s="10" t="str">
        <f t="shared" si="1176"/>
        <v>FLAG</v>
      </c>
      <c r="N2034" s="10" t="str">
        <f t="shared" si="2"/>
        <v>65-789(a) - Milk, Cream &amp; Dairy Products; Engage in any business or activity requiring a license or permit under this act without having a license or permit</v>
      </c>
      <c r="O2034" s="10" t="str">
        <f t="shared" si="3"/>
        <v>Milk, Cream &amp; Dairy Products</v>
      </c>
    </row>
    <row r="2035">
      <c r="A2035" s="7" t="s">
        <v>3610</v>
      </c>
      <c r="B2035" s="8" t="s">
        <v>3611</v>
      </c>
      <c r="C2035" s="8" t="s">
        <v>18</v>
      </c>
      <c r="D2035" s="8" t="s">
        <v>18</v>
      </c>
      <c r="E2035" s="8" t="s">
        <v>19</v>
      </c>
      <c r="F2035" s="8" t="s">
        <v>20</v>
      </c>
      <c r="G2035" s="8" t="s">
        <v>21</v>
      </c>
      <c r="H2035" s="9"/>
      <c r="I2035" s="9"/>
      <c r="J2035" s="10">
        <f t="shared" ref="J2035:M2035" si="1177">ifs(OR($H2035="R",$I2035="N"),"N/A",OR(C2035="A",C2035="B",C2035="C",C2035="U"),3,TRUE,"FLAG")</f>
        <v>3</v>
      </c>
      <c r="K2035" s="10">
        <f t="shared" si="1177"/>
        <v>3</v>
      </c>
      <c r="L2035" s="10">
        <f t="shared" si="1177"/>
        <v>3</v>
      </c>
      <c r="M2035" s="10" t="str">
        <f t="shared" si="1177"/>
        <v>FLAG</v>
      </c>
      <c r="N2035" s="10" t="str">
        <f t="shared" si="2"/>
        <v>65-789(d) - Milk, Cream &amp; Dairy Products; Sell, offer for sale or have possession with intent to sell at retail to the final consumer any milk or milk product which has not been inspected and designated grade A pasteurized</v>
      </c>
      <c r="O2035" s="10" t="str">
        <f t="shared" si="3"/>
        <v>Milk, Cream &amp; Dairy Products</v>
      </c>
    </row>
    <row r="2036">
      <c r="A2036" s="7" t="s">
        <v>3612</v>
      </c>
      <c r="B2036" s="8" t="s">
        <v>3613</v>
      </c>
      <c r="C2036" s="8" t="s">
        <v>18</v>
      </c>
      <c r="D2036" s="8" t="s">
        <v>18</v>
      </c>
      <c r="E2036" s="8" t="s">
        <v>19</v>
      </c>
      <c r="F2036" s="8" t="s">
        <v>20</v>
      </c>
      <c r="G2036" s="8" t="s">
        <v>21</v>
      </c>
      <c r="H2036" s="9"/>
      <c r="I2036" s="9"/>
      <c r="J2036" s="10">
        <f t="shared" ref="J2036:M2036" si="1178">ifs(OR($H2036="R",$I2036="N"),"N/A",OR(C2036="A",C2036="B",C2036="C",C2036="U"),3,TRUE,"FLAG")</f>
        <v>3</v>
      </c>
      <c r="K2036" s="10">
        <f t="shared" si="1178"/>
        <v>3</v>
      </c>
      <c r="L2036" s="10">
        <f t="shared" si="1178"/>
        <v>3</v>
      </c>
      <c r="M2036" s="10" t="str">
        <f t="shared" si="1178"/>
        <v>FLAG</v>
      </c>
      <c r="N2036" s="10" t="str">
        <f t="shared" si="2"/>
        <v>65-789(b)(2) - Milk, Cream &amp; Dairy Products; Sell, offer or expose for sale any milk, milk products or dairy products which are adulterated or misbranded</v>
      </c>
      <c r="O2036" s="10" t="str">
        <f t="shared" si="3"/>
        <v>Milk, Cream &amp; Dairy Products</v>
      </c>
    </row>
    <row r="2037">
      <c r="A2037" s="7" t="s">
        <v>3614</v>
      </c>
      <c r="B2037" s="8" t="s">
        <v>3615</v>
      </c>
      <c r="C2037" s="8" t="s">
        <v>18</v>
      </c>
      <c r="D2037" s="8" t="s">
        <v>18</v>
      </c>
      <c r="E2037" s="8" t="s">
        <v>19</v>
      </c>
      <c r="F2037" s="8" t="s">
        <v>20</v>
      </c>
      <c r="G2037" s="8" t="s">
        <v>21</v>
      </c>
      <c r="H2037" s="9"/>
      <c r="I2037" s="9"/>
      <c r="J2037" s="10">
        <f t="shared" ref="J2037:M2037" si="1179">ifs(OR($H2037="R",$I2037="N"),"N/A",OR(C2037="A",C2037="B",C2037="C",C2037="U"),3,TRUE,"FLAG")</f>
        <v>3</v>
      </c>
      <c r="K2037" s="10">
        <f t="shared" si="1179"/>
        <v>3</v>
      </c>
      <c r="L2037" s="10">
        <f t="shared" si="1179"/>
        <v>3</v>
      </c>
      <c r="M2037" s="10" t="str">
        <f t="shared" si="1179"/>
        <v>FLAG</v>
      </c>
      <c r="N2037" s="10" t="str">
        <f t="shared" si="2"/>
        <v>65-789(b)(1) - Milk, Cream &amp; Dairy Products; Sell, offer or expose for sale any nonconforming milk, milk products or dairy products</v>
      </c>
      <c r="O2037" s="10" t="str">
        <f t="shared" si="3"/>
        <v>Milk, Cream &amp; Dairy Products</v>
      </c>
    </row>
    <row r="2038">
      <c r="A2038" s="7" t="s">
        <v>3616</v>
      </c>
      <c r="B2038" s="8" t="s">
        <v>3617</v>
      </c>
      <c r="C2038" s="8" t="s">
        <v>18</v>
      </c>
      <c r="D2038" s="8" t="s">
        <v>18</v>
      </c>
      <c r="E2038" s="8" t="s">
        <v>19</v>
      </c>
      <c r="F2038" s="8" t="s">
        <v>20</v>
      </c>
      <c r="G2038" s="8" t="s">
        <v>21</v>
      </c>
      <c r="H2038" s="9"/>
      <c r="I2038" s="9"/>
      <c r="J2038" s="10">
        <f t="shared" ref="J2038:M2038" si="1180">ifs(OR($H2038="R",$I2038="N"),"N/A",OR(C2038="A",C2038="B",C2038="C",C2038="U"),3,TRUE,"FLAG")</f>
        <v>3</v>
      </c>
      <c r="K2038" s="10">
        <f t="shared" si="1180"/>
        <v>3</v>
      </c>
      <c r="L2038" s="10">
        <f t="shared" si="1180"/>
        <v>3</v>
      </c>
      <c r="M2038" s="10" t="str">
        <f t="shared" si="1180"/>
        <v>FLAG</v>
      </c>
      <c r="N2038" s="10" t="str">
        <f t="shared" si="2"/>
        <v>65-789(e) - Milk, Cream &amp; Dairy Products; Violate any provision of this act or any rules or regulations promulgated thereunder</v>
      </c>
      <c r="O2038" s="10" t="str">
        <f t="shared" si="3"/>
        <v>Milk, Cream &amp; Dairy Products</v>
      </c>
    </row>
    <row r="2039">
      <c r="A2039" s="7" t="s">
        <v>3618</v>
      </c>
      <c r="B2039" s="8" t="s">
        <v>3619</v>
      </c>
      <c r="C2039" s="8" t="s">
        <v>19</v>
      </c>
      <c r="D2039" s="8" t="s">
        <v>19</v>
      </c>
      <c r="E2039" s="8" t="s">
        <v>19</v>
      </c>
      <c r="F2039" s="8" t="s">
        <v>20</v>
      </c>
      <c r="G2039" s="8" t="s">
        <v>21</v>
      </c>
      <c r="H2039" s="9"/>
      <c r="I2039" s="9"/>
      <c r="J2039" s="10">
        <f t="shared" ref="J2039:M2039" si="1181">ifs(OR($H2039="R",$I2039="N"),"N/A",OR(C2039="A",C2039="B",C2039="C",C2039="U"),3,TRUE,"FLAG")</f>
        <v>3</v>
      </c>
      <c r="K2039" s="10">
        <f t="shared" si="1181"/>
        <v>3</v>
      </c>
      <c r="L2039" s="10">
        <f t="shared" si="1181"/>
        <v>3</v>
      </c>
      <c r="M2039" s="10" t="str">
        <f t="shared" si="1181"/>
        <v>FLAG</v>
      </c>
      <c r="N2039" s="10" t="str">
        <f t="shared" si="2"/>
        <v>79-4225(d) - Mineral Severance Tax; Fail to make a return, or pay tax; make a false or fraudulent return; fail to keep required books or records; willful violation of any rules and regulations of this act; aid and abet another in attempting to evade the payment of any tax; violation of any other provisions of this act</v>
      </c>
      <c r="O2039" s="10" t="str">
        <f t="shared" si="3"/>
        <v>Mineral Severance Tax</v>
      </c>
    </row>
    <row r="2040">
      <c r="A2040" s="7" t="s">
        <v>3620</v>
      </c>
      <c r="B2040" s="8" t="s">
        <v>3621</v>
      </c>
      <c r="C2040" s="8" t="s">
        <v>27</v>
      </c>
      <c r="D2040" s="8" t="s">
        <v>28</v>
      </c>
      <c r="E2040" s="8" t="s">
        <v>19</v>
      </c>
      <c r="F2040" s="8" t="s">
        <v>20</v>
      </c>
      <c r="G2040" s="8" t="s">
        <v>21</v>
      </c>
      <c r="H2040" s="9"/>
      <c r="I2040" s="9"/>
      <c r="J2040" s="10">
        <f t="shared" ref="J2040:M2040" si="1182">ifs(OR($H2040="R",$I2040="N"),"N/A",OR(C2040="A",C2040="B",C2040="C",C2040="U"),3,TRUE,"FLAG")</f>
        <v>3</v>
      </c>
      <c r="K2040" s="10">
        <f t="shared" si="1182"/>
        <v>3</v>
      </c>
      <c r="L2040" s="10">
        <f t="shared" si="1182"/>
        <v>3</v>
      </c>
      <c r="M2040" s="10" t="str">
        <f t="shared" si="1182"/>
        <v>FLAG</v>
      </c>
      <c r="N2040" s="10" t="str">
        <f t="shared" si="2"/>
        <v>49-607(a) - Mines &amp; Mining; Falsification of information in application for registration of mining site</v>
      </c>
      <c r="O2040" s="10" t="str">
        <f t="shared" si="3"/>
        <v>Mines &amp; Mining</v>
      </c>
    </row>
    <row r="2041">
      <c r="A2041" s="7" t="s">
        <v>3622</v>
      </c>
      <c r="B2041" s="8" t="s">
        <v>3623</v>
      </c>
      <c r="C2041" s="8" t="s">
        <v>18</v>
      </c>
      <c r="D2041" s="8" t="s">
        <v>18</v>
      </c>
      <c r="E2041" s="8" t="s">
        <v>19</v>
      </c>
      <c r="F2041" s="8" t="s">
        <v>20</v>
      </c>
      <c r="G2041" s="8" t="s">
        <v>21</v>
      </c>
      <c r="H2041" s="9"/>
      <c r="I2041" s="9"/>
      <c r="J2041" s="10">
        <f t="shared" ref="J2041:M2041" si="1183">ifs(OR($H2041="R",$I2041="N"),"N/A",OR(C2041="A",C2041="B",C2041="C",C2041="U"),3,TRUE,"FLAG")</f>
        <v>3</v>
      </c>
      <c r="K2041" s="10">
        <f t="shared" si="1183"/>
        <v>3</v>
      </c>
      <c r="L2041" s="10">
        <f t="shared" si="1183"/>
        <v>3</v>
      </c>
      <c r="M2041" s="10" t="str">
        <f t="shared" si="1183"/>
        <v>FLAG</v>
      </c>
      <c r="N2041" s="10" t="str">
        <f t="shared" si="2"/>
        <v>49-105 - Mines &amp; Mining; Ingress and egress for survey; penalty for interference with survey</v>
      </c>
      <c r="O2041" s="10" t="str">
        <f t="shared" si="3"/>
        <v>Mines &amp; Mining</v>
      </c>
    </row>
    <row r="2042">
      <c r="A2042" s="7" t="s">
        <v>3624</v>
      </c>
      <c r="B2042" s="8" t="s">
        <v>3625</v>
      </c>
      <c r="C2042" s="8" t="s">
        <v>19</v>
      </c>
      <c r="D2042" s="8" t="s">
        <v>19</v>
      </c>
      <c r="E2042" s="8" t="s">
        <v>19</v>
      </c>
      <c r="F2042" s="8" t="s">
        <v>20</v>
      </c>
      <c r="G2042" s="8" t="s">
        <v>21</v>
      </c>
      <c r="H2042" s="9"/>
      <c r="I2042" s="9"/>
      <c r="J2042" s="10">
        <f t="shared" ref="J2042:M2042" si="1184">ifs(OR($H2042="R",$I2042="N"),"N/A",OR(C2042="A",C2042="B",C2042="C",C2042="U"),3,TRUE,"FLAG")</f>
        <v>3</v>
      </c>
      <c r="K2042" s="10">
        <f t="shared" si="1184"/>
        <v>3</v>
      </c>
      <c r="L2042" s="10">
        <f t="shared" si="1184"/>
        <v>3</v>
      </c>
      <c r="M2042" s="10" t="str">
        <f t="shared" si="1184"/>
        <v>FLAG</v>
      </c>
      <c r="N2042" s="10" t="str">
        <f t="shared" si="2"/>
        <v>49-108 - Mines &amp; Mining; Penalty for interfering with survey ordered pursuant to K.S.A. 49-106</v>
      </c>
      <c r="O2042" s="10" t="str">
        <f t="shared" si="3"/>
        <v>Mines &amp; Mining</v>
      </c>
    </row>
    <row r="2043">
      <c r="A2043" s="7" t="s">
        <v>3626</v>
      </c>
      <c r="B2043" s="8" t="s">
        <v>3627</v>
      </c>
      <c r="C2043" s="8" t="s">
        <v>27</v>
      </c>
      <c r="D2043" s="8" t="s">
        <v>28</v>
      </c>
      <c r="E2043" s="8" t="s">
        <v>19</v>
      </c>
      <c r="F2043" s="8" t="s">
        <v>20</v>
      </c>
      <c r="G2043" s="8" t="s">
        <v>24</v>
      </c>
      <c r="H2043" s="9"/>
      <c r="I2043" s="9"/>
      <c r="J2043" s="10">
        <f t="shared" ref="J2043:M2043" si="1185">ifs(OR($H2043="R",$I2043="N"),"N/A",OR(C2043="A",C2043="B",C2043="C",C2043="U"),3,TRUE,"FLAG")</f>
        <v>3</v>
      </c>
      <c r="K2043" s="10">
        <f t="shared" si="1185"/>
        <v>3</v>
      </c>
      <c r="L2043" s="10">
        <f t="shared" si="1185"/>
        <v>3</v>
      </c>
      <c r="M2043" s="10" t="str">
        <f t="shared" si="1185"/>
        <v>FLAG</v>
      </c>
      <c r="N2043" s="10" t="str">
        <f t="shared" si="2"/>
        <v>21-5416(a) - Mistreatment of a Confined Person</v>
      </c>
      <c r="O2043" s="10" t="str">
        <f t="shared" si="3"/>
        <v>Mistreatment of a Confined Person</v>
      </c>
    </row>
    <row r="2044">
      <c r="A2044" s="7" t="s">
        <v>3628</v>
      </c>
      <c r="B2044" s="8" t="s">
        <v>3629</v>
      </c>
      <c r="C2044" s="8">
        <v>2.0</v>
      </c>
      <c r="D2044" s="8">
        <v>4.0</v>
      </c>
      <c r="E2044" s="8">
        <v>4.0</v>
      </c>
      <c r="F2044" s="8">
        <v>5.0</v>
      </c>
      <c r="G2044" s="8" t="s">
        <v>24</v>
      </c>
      <c r="H2044" s="9"/>
      <c r="I2044" s="9"/>
      <c r="N2044" s="10" t="str">
        <f t="shared" si="2"/>
        <v>21-5417(b)(1) - Mistreatment of an Elder Person; Knowingly taking the personal property or financial resources of a elder person by taking control, title, use or management of such property or resources; amount of $1,000,000 or more</v>
      </c>
      <c r="O2044" s="10" t="str">
        <f t="shared" si="3"/>
        <v>Mistreatment of an Elder Person</v>
      </c>
    </row>
    <row r="2045">
      <c r="A2045" s="7" t="s">
        <v>3630</v>
      </c>
      <c r="B2045" s="8" t="s">
        <v>3629</v>
      </c>
      <c r="C2045" s="8">
        <v>4.0</v>
      </c>
      <c r="D2045" s="8">
        <v>6.0</v>
      </c>
      <c r="E2045" s="8">
        <v>6.0</v>
      </c>
      <c r="F2045" s="8">
        <v>7.0</v>
      </c>
      <c r="G2045" s="8" t="s">
        <v>24</v>
      </c>
      <c r="H2045" s="9"/>
      <c r="I2045" s="9"/>
      <c r="N2045" s="10" t="str">
        <f t="shared" si="2"/>
        <v>21-5417(b)(1) - Mistreatment of an Elder Person; Knowingly taking the personal property or financial resources of a elder person by taking control, title, use or management of such property or resources; amount of at least $100,000 but less than $250,000</v>
      </c>
      <c r="O2045" s="10" t="str">
        <f t="shared" si="3"/>
        <v>Mistreatment of an Elder Person</v>
      </c>
    </row>
    <row r="2046">
      <c r="A2046" s="7" t="s">
        <v>3631</v>
      </c>
      <c r="B2046" s="8" t="s">
        <v>3629</v>
      </c>
      <c r="C2046" s="8">
        <v>5.0</v>
      </c>
      <c r="D2046" s="8">
        <v>7.0</v>
      </c>
      <c r="E2046" s="8">
        <v>7.0</v>
      </c>
      <c r="F2046" s="8">
        <v>8.0</v>
      </c>
      <c r="G2046" s="8" t="s">
        <v>24</v>
      </c>
      <c r="H2046" s="9"/>
      <c r="I2046" s="9"/>
      <c r="N2046" s="10" t="str">
        <f t="shared" si="2"/>
        <v>21-5417(b)(1) - Mistreatment of an Elder Person; Knowingly taking the personal property or financial resources of a elder person by taking control, title, use or management of such property or resources; amount of at least $25,000 but less than $100,000</v>
      </c>
      <c r="O2046" s="10" t="str">
        <f t="shared" si="3"/>
        <v>Mistreatment of an Elder Person</v>
      </c>
    </row>
    <row r="2047">
      <c r="A2047" s="7" t="s">
        <v>3632</v>
      </c>
      <c r="B2047" s="8" t="s">
        <v>3629</v>
      </c>
      <c r="C2047" s="8">
        <v>3.0</v>
      </c>
      <c r="D2047" s="8">
        <v>5.0</v>
      </c>
      <c r="E2047" s="8">
        <v>5.0</v>
      </c>
      <c r="F2047" s="8">
        <v>6.0</v>
      </c>
      <c r="G2047" s="8" t="s">
        <v>24</v>
      </c>
      <c r="H2047" s="9"/>
      <c r="I2047" s="9"/>
      <c r="N2047" s="10" t="str">
        <f t="shared" si="2"/>
        <v>21-5417(b)(1) - Mistreatment of an Elder Person; Knowingly taking the personal property or financial resources of a elder person by taking control, title, use or management of such property or resources; amount of at least $250,000 but less than $1,000,000</v>
      </c>
      <c r="O2047" s="10" t="str">
        <f t="shared" si="3"/>
        <v>Mistreatment of an Elder Person</v>
      </c>
    </row>
    <row r="2048">
      <c r="A2048" s="7" t="s">
        <v>3633</v>
      </c>
      <c r="B2048" s="8" t="s">
        <v>3629</v>
      </c>
      <c r="C2048" s="8">
        <v>7.0</v>
      </c>
      <c r="D2048" s="8">
        <v>9.0</v>
      </c>
      <c r="E2048" s="8">
        <v>9.0</v>
      </c>
      <c r="F2048" s="8">
        <v>10.0</v>
      </c>
      <c r="G2048" s="8" t="s">
        <v>24</v>
      </c>
      <c r="H2048" s="9"/>
      <c r="I2048" s="9"/>
      <c r="N2048" s="10" t="str">
        <f t="shared" si="2"/>
        <v>21-5417(b)(1) - Mistreatment of an Elder Person; Knowingly taking the personal property or financial resources of a elder person by taking control, title, use or management of such property or resources; amount of at least $5000 but less than $25,000</v>
      </c>
      <c r="O2048" s="10" t="str">
        <f t="shared" si="3"/>
        <v>Mistreatment of an Elder Person</v>
      </c>
    </row>
    <row r="2049">
      <c r="A2049" s="7" t="s">
        <v>3634</v>
      </c>
      <c r="B2049" s="8" t="s">
        <v>3629</v>
      </c>
      <c r="C2049" s="8" t="s">
        <v>27</v>
      </c>
      <c r="D2049" s="8" t="s">
        <v>28</v>
      </c>
      <c r="E2049" s="8" t="s">
        <v>19</v>
      </c>
      <c r="F2049" s="8" t="s">
        <v>20</v>
      </c>
      <c r="G2049" s="8" t="s">
        <v>24</v>
      </c>
      <c r="H2049" s="9"/>
      <c r="I2049" s="9"/>
      <c r="J2049" s="10">
        <f t="shared" ref="J2049:M2049" si="1186">ifs(OR($H2049="R",$I2049="N"),"N/A",OR(C2049="A",C2049="B",C2049="C",C2049="U"),3,TRUE,"FLAG")</f>
        <v>3</v>
      </c>
      <c r="K2049" s="10">
        <f t="shared" si="1186"/>
        <v>3</v>
      </c>
      <c r="L2049" s="10">
        <f t="shared" si="1186"/>
        <v>3</v>
      </c>
      <c r="M2049" s="10" t="str">
        <f t="shared" si="1186"/>
        <v>FLAG</v>
      </c>
      <c r="N2049" s="10" t="str">
        <f t="shared" si="2"/>
        <v>21-5417(b)(1) - Mistreatment of an Elder Person; Knowingly taking the personal property or financial resources of a elder person by taking control, title, use or management of such property or resources; amount of less than $5000</v>
      </c>
      <c r="O2049" s="10" t="str">
        <f t="shared" si="3"/>
        <v>Mistreatment of an Elder Person</v>
      </c>
    </row>
    <row r="2050">
      <c r="A2050" s="7" t="s">
        <v>3635</v>
      </c>
      <c r="B2050" s="8" t="s">
        <v>3629</v>
      </c>
      <c r="C2050" s="8">
        <v>7.0</v>
      </c>
      <c r="D2050" s="8">
        <v>9.0</v>
      </c>
      <c r="E2050" s="8">
        <v>9.0</v>
      </c>
      <c r="F2050" s="8">
        <v>10.0</v>
      </c>
      <c r="G2050" s="8" t="s">
        <v>24</v>
      </c>
      <c r="H2050" s="9"/>
      <c r="I2050" s="9"/>
      <c r="N2050" s="10" t="str">
        <f t="shared" si="2"/>
        <v>21-5417(b)(1) - Mistreatment of an Elder Person; Knowingly taking the personal property or financial resources of a elder person by taking control, title, use or management of such property or resources; amount of less than $5000 if committed by a person who has been convicted of mistreatment of an elder person two or more times in the previous 5 years</v>
      </c>
      <c r="O2050" s="10" t="str">
        <f t="shared" si="3"/>
        <v>Mistreatment of an Elder Person</v>
      </c>
    </row>
    <row r="2051">
      <c r="A2051" s="7" t="s">
        <v>3636</v>
      </c>
      <c r="B2051" s="8" t="s">
        <v>3637</v>
      </c>
      <c r="C2051" s="8">
        <v>8.0</v>
      </c>
      <c r="D2051" s="8">
        <v>10.0</v>
      </c>
      <c r="E2051" s="8">
        <v>10.0</v>
      </c>
      <c r="F2051" s="8">
        <v>10.0</v>
      </c>
      <c r="G2051" s="8" t="s">
        <v>24</v>
      </c>
      <c r="H2051" s="9"/>
      <c r="I2051" s="9"/>
      <c r="N2051" s="10" t="str">
        <f t="shared" si="2"/>
        <v>21-5417(b)(2) - Mistreatment of an Elder Person; Omission or deprivation of treatment, goods or services that are necessary to maintain physical or mental health of such elder person</v>
      </c>
      <c r="O2051" s="10" t="str">
        <f t="shared" si="3"/>
        <v>Mistreatment of an Elder Person</v>
      </c>
    </row>
    <row r="2052">
      <c r="A2052" s="7" t="s">
        <v>3638</v>
      </c>
      <c r="B2052" s="8" t="s">
        <v>3639</v>
      </c>
      <c r="C2052" s="8">
        <v>5.0</v>
      </c>
      <c r="D2052" s="8">
        <v>7.0</v>
      </c>
      <c r="E2052" s="8">
        <v>7.0</v>
      </c>
      <c r="F2052" s="8">
        <v>8.0</v>
      </c>
      <c r="G2052" s="8" t="s">
        <v>24</v>
      </c>
      <c r="H2052" s="9"/>
      <c r="I2052" s="9"/>
      <c r="N2052" s="10" t="str">
        <f t="shared" si="2"/>
        <v>21-5417(a)(1) - Mistreatment of Dependent Adult; Knowingly inflict physical injury, unreasonable confinement or unreasonable punishment upon a dependent adult</v>
      </c>
      <c r="O2052" s="10" t="str">
        <f t="shared" si="3"/>
        <v>Mistreatment of Dependent Adult</v>
      </c>
    </row>
    <row r="2053">
      <c r="A2053" s="7" t="s">
        <v>3640</v>
      </c>
      <c r="B2053" s="8" t="s">
        <v>3641</v>
      </c>
      <c r="C2053" s="8">
        <v>8.0</v>
      </c>
      <c r="D2053" s="8">
        <v>10.0</v>
      </c>
      <c r="E2053" s="8">
        <v>10.0</v>
      </c>
      <c r="F2053" s="8">
        <v>10.0</v>
      </c>
      <c r="G2053" s="8" t="s">
        <v>24</v>
      </c>
      <c r="H2053" s="9"/>
      <c r="I2053" s="9"/>
      <c r="N2053" s="10" t="str">
        <f t="shared" si="2"/>
        <v>21-5417(a)(3) - Mistreatment of Dependent Adult; Knowingly omit or deprive of treatment, goods or services necessary to maintain physical or mental health of a dependent adult</v>
      </c>
      <c r="O2053" s="10" t="str">
        <f t="shared" si="3"/>
        <v>Mistreatment of Dependent Adult</v>
      </c>
    </row>
    <row r="2054">
      <c r="A2054" s="7" t="s">
        <v>3642</v>
      </c>
      <c r="B2054" s="8" t="s">
        <v>3643</v>
      </c>
      <c r="C2054" s="8">
        <v>2.0</v>
      </c>
      <c r="D2054" s="8">
        <v>4.0</v>
      </c>
      <c r="E2054" s="8">
        <v>4.0</v>
      </c>
      <c r="F2054" s="8">
        <v>5.0</v>
      </c>
      <c r="G2054" s="8" t="s">
        <v>24</v>
      </c>
      <c r="H2054" s="9"/>
      <c r="I2054" s="9"/>
      <c r="N2054" s="10" t="str">
        <f t="shared" si="2"/>
        <v>21-5417(a)(2) - Mistreatment of Dependent Adult; Knowingly taking the personal property or financial resources of a dependent adult by taking control, title, use or management of such property or resources; amount is $1,000,000 or more</v>
      </c>
      <c r="O2054" s="10" t="str">
        <f t="shared" si="3"/>
        <v>Mistreatment of Dependent Adult</v>
      </c>
    </row>
    <row r="2055">
      <c r="A2055" s="7" t="s">
        <v>3644</v>
      </c>
      <c r="B2055" s="8" t="s">
        <v>3643</v>
      </c>
      <c r="C2055" s="8">
        <v>7.0</v>
      </c>
      <c r="D2055" s="8">
        <v>9.0</v>
      </c>
      <c r="E2055" s="8">
        <v>9.0</v>
      </c>
      <c r="F2055" s="8">
        <v>10.0</v>
      </c>
      <c r="G2055" s="8" t="s">
        <v>24</v>
      </c>
      <c r="H2055" s="9"/>
      <c r="I2055" s="9"/>
      <c r="N2055" s="10" t="str">
        <f t="shared" si="2"/>
        <v>21-5417(a)(2) - Mistreatment of Dependent Adult; Knowingly taking the personal property or financial resources of a dependent adult by taking control, title, use or management of such property or resources; amount is at least $1,000 but less than $25,000</v>
      </c>
      <c r="O2055" s="10" t="str">
        <f t="shared" si="3"/>
        <v>Mistreatment of Dependent Adult</v>
      </c>
    </row>
    <row r="2056">
      <c r="A2056" s="7" t="s">
        <v>3645</v>
      </c>
      <c r="B2056" s="8" t="s">
        <v>3643</v>
      </c>
      <c r="C2056" s="8">
        <v>4.0</v>
      </c>
      <c r="D2056" s="8">
        <v>6.0</v>
      </c>
      <c r="E2056" s="8">
        <v>6.0</v>
      </c>
      <c r="F2056" s="8">
        <v>7.0</v>
      </c>
      <c r="G2056" s="8" t="s">
        <v>24</v>
      </c>
      <c r="H2056" s="9"/>
      <c r="I2056" s="9"/>
      <c r="N2056" s="10" t="str">
        <f t="shared" si="2"/>
        <v>21-5417(a)(2) - Mistreatment of Dependent Adult; Knowingly taking the personal property or financial resources of a dependent adult by taking control, title, use or management of such property or resources; amount is at least $100,000 but less than $250,000</v>
      </c>
      <c r="O2056" s="10" t="str">
        <f t="shared" si="3"/>
        <v>Mistreatment of Dependent Adult</v>
      </c>
    </row>
    <row r="2057">
      <c r="A2057" s="7" t="s">
        <v>3646</v>
      </c>
      <c r="B2057" s="8" t="s">
        <v>3643</v>
      </c>
      <c r="C2057" s="8">
        <v>5.0</v>
      </c>
      <c r="D2057" s="8">
        <v>7.0</v>
      </c>
      <c r="E2057" s="8">
        <v>7.0</v>
      </c>
      <c r="F2057" s="8">
        <v>8.0</v>
      </c>
      <c r="G2057" s="8" t="s">
        <v>24</v>
      </c>
      <c r="H2057" s="9"/>
      <c r="I2057" s="9"/>
      <c r="N2057" s="10" t="str">
        <f t="shared" si="2"/>
        <v>21-5417(a)(2) - Mistreatment of Dependent Adult; Knowingly taking the personal property or financial resources of a dependent adult by taking control, title, use or management of such property or resources; amount is at least $25,000 but less than $100,000</v>
      </c>
      <c r="O2057" s="10" t="str">
        <f t="shared" si="3"/>
        <v>Mistreatment of Dependent Adult</v>
      </c>
    </row>
    <row r="2058">
      <c r="A2058" s="7" t="s">
        <v>3647</v>
      </c>
      <c r="B2058" s="8" t="s">
        <v>3643</v>
      </c>
      <c r="C2058" s="8">
        <v>3.0</v>
      </c>
      <c r="D2058" s="8">
        <v>5.0</v>
      </c>
      <c r="E2058" s="8">
        <v>5.0</v>
      </c>
      <c r="F2058" s="8">
        <v>6.0</v>
      </c>
      <c r="G2058" s="8" t="s">
        <v>24</v>
      </c>
      <c r="H2058" s="9"/>
      <c r="I2058" s="9"/>
      <c r="N2058" s="10" t="str">
        <f t="shared" si="2"/>
        <v>21-5417(a)(2) - Mistreatment of Dependent Adult; Knowingly taking the personal property or financial resources of a dependent adult by taking control, title, use or management of such property or resources; amount is at least $250,000 but less than $1,000,000</v>
      </c>
      <c r="O2058" s="10" t="str">
        <f t="shared" si="3"/>
        <v>Mistreatment of Dependent Adult</v>
      </c>
    </row>
    <row r="2059">
      <c r="A2059" s="7" t="s">
        <v>3648</v>
      </c>
      <c r="B2059" s="8" t="s">
        <v>3643</v>
      </c>
      <c r="C2059" s="8">
        <v>7.0</v>
      </c>
      <c r="D2059" s="8">
        <v>9.0</v>
      </c>
      <c r="E2059" s="8">
        <v>9.0</v>
      </c>
      <c r="F2059" s="8">
        <v>10.0</v>
      </c>
      <c r="G2059" s="8" t="s">
        <v>24</v>
      </c>
      <c r="H2059" s="9"/>
      <c r="I2059" s="9"/>
      <c r="N2059" s="10" t="str">
        <f t="shared" si="2"/>
        <v>21-5417(a)(2) - Mistreatment of Dependent Adult; Knowingly taking the personal property or financial resources of a dependent adult by taking control, title, use or management of such property or resources; amount is less than $1,000 but committed by a person who has been convicted of this 2 or more times within 5 yrs</v>
      </c>
      <c r="O2059" s="10" t="str">
        <f t="shared" si="3"/>
        <v>Mistreatment of Dependent Adult</v>
      </c>
    </row>
    <row r="2060">
      <c r="A2060" s="7" t="s">
        <v>3649</v>
      </c>
      <c r="B2060" s="8" t="s">
        <v>3643</v>
      </c>
      <c r="C2060" s="8" t="s">
        <v>27</v>
      </c>
      <c r="D2060" s="8" t="s">
        <v>28</v>
      </c>
      <c r="E2060" s="8" t="s">
        <v>19</v>
      </c>
      <c r="F2060" s="8" t="s">
        <v>20</v>
      </c>
      <c r="G2060" s="8" t="s">
        <v>24</v>
      </c>
      <c r="H2060" s="9"/>
      <c r="I2060" s="9"/>
      <c r="J2060" s="10">
        <f t="shared" ref="J2060:M2060" si="1187">ifs(OR($H2060="R",$I2060="N"),"N/A",OR(C2060="A",C2060="B",C2060="C",C2060="U"),3,TRUE,"FLAG")</f>
        <v>3</v>
      </c>
      <c r="K2060" s="10">
        <f t="shared" si="1187"/>
        <v>3</v>
      </c>
      <c r="L2060" s="10">
        <f t="shared" si="1187"/>
        <v>3</v>
      </c>
      <c r="M2060" s="10" t="str">
        <f t="shared" si="1187"/>
        <v>FLAG</v>
      </c>
      <c r="N2060" s="10" t="str">
        <f t="shared" si="2"/>
        <v>21-5417(a)(2) - Mistreatment of Dependent Adult; Knowingly taking the personal property or financial resources of a dependent adult by taking control, title, use or management of such property or resources; amount less than $1,000</v>
      </c>
      <c r="O2060" s="10" t="str">
        <f t="shared" si="3"/>
        <v>Mistreatment of Dependent Adult</v>
      </c>
    </row>
    <row r="2061">
      <c r="A2061" s="7" t="s">
        <v>3650</v>
      </c>
      <c r="B2061" s="8" t="s">
        <v>3651</v>
      </c>
      <c r="C2061" s="8">
        <v>5.0</v>
      </c>
      <c r="D2061" s="8">
        <v>7.0</v>
      </c>
      <c r="E2061" s="8">
        <v>7.0</v>
      </c>
      <c r="F2061" s="8">
        <v>8.0</v>
      </c>
      <c r="G2061" s="8" t="s">
        <v>21</v>
      </c>
      <c r="H2061" s="9"/>
      <c r="I2061" s="9"/>
      <c r="N2061" s="10" t="str">
        <f t="shared" si="2"/>
        <v>21-6005(a) - Misuse of Public Funds; Aggregate is $100,000 or more</v>
      </c>
      <c r="O2061" s="10" t="str">
        <f t="shared" si="3"/>
        <v>Misuse of Public Funds</v>
      </c>
    </row>
    <row r="2062">
      <c r="A2062" s="7" t="s">
        <v>3652</v>
      </c>
      <c r="B2062" s="8" t="s">
        <v>3651</v>
      </c>
      <c r="C2062" s="8">
        <v>9.0</v>
      </c>
      <c r="D2062" s="8">
        <v>10.0</v>
      </c>
      <c r="E2062" s="8">
        <v>10.0</v>
      </c>
      <c r="F2062" s="8">
        <v>10.0</v>
      </c>
      <c r="G2062" s="8" t="s">
        <v>21</v>
      </c>
      <c r="H2062" s="9"/>
      <c r="I2062" s="9"/>
      <c r="N2062" s="10" t="str">
        <f t="shared" si="2"/>
        <v>21-6005(a) - Misuse of Public Funds; Aggregate is at least $1,000 but less than $25,000</v>
      </c>
      <c r="O2062" s="10" t="str">
        <f t="shared" si="3"/>
        <v>Misuse of Public Funds</v>
      </c>
    </row>
    <row r="2063">
      <c r="A2063" s="7" t="s">
        <v>3653</v>
      </c>
      <c r="B2063" s="8" t="s">
        <v>3651</v>
      </c>
      <c r="C2063" s="8">
        <v>7.0</v>
      </c>
      <c r="D2063" s="8">
        <v>9.0</v>
      </c>
      <c r="E2063" s="8">
        <v>9.0</v>
      </c>
      <c r="F2063" s="8">
        <v>10.0</v>
      </c>
      <c r="G2063" s="8" t="s">
        <v>21</v>
      </c>
      <c r="H2063" s="9"/>
      <c r="I2063" s="9"/>
      <c r="N2063" s="10" t="str">
        <f t="shared" si="2"/>
        <v>21-6005(a) - Misuse of Public Funds; Aggregate is at least $25,000 but less than $100,000</v>
      </c>
      <c r="O2063" s="10" t="str">
        <f t="shared" si="3"/>
        <v>Misuse of Public Funds</v>
      </c>
    </row>
    <row r="2064">
      <c r="A2064" s="7" t="s">
        <v>3654</v>
      </c>
      <c r="B2064" s="8" t="s">
        <v>3651</v>
      </c>
      <c r="C2064" s="8" t="s">
        <v>27</v>
      </c>
      <c r="D2064" s="8" t="s">
        <v>28</v>
      </c>
      <c r="E2064" s="8" t="s">
        <v>19</v>
      </c>
      <c r="F2064" s="8" t="s">
        <v>20</v>
      </c>
      <c r="G2064" s="8" t="s">
        <v>21</v>
      </c>
      <c r="H2064" s="9"/>
      <c r="I2064" s="9"/>
      <c r="J2064" s="10">
        <f t="shared" ref="J2064:M2064" si="1188">ifs(OR($H2064="R",$I2064="N"),"N/A",OR(C2064="A",C2064="B",C2064="C",C2064="U"),3,TRUE,"FLAG")</f>
        <v>3</v>
      </c>
      <c r="K2064" s="10">
        <f t="shared" si="1188"/>
        <v>3</v>
      </c>
      <c r="L2064" s="10">
        <f t="shared" si="1188"/>
        <v>3</v>
      </c>
      <c r="M2064" s="10" t="str">
        <f t="shared" si="1188"/>
        <v>FLAG</v>
      </c>
      <c r="N2064" s="10" t="str">
        <f t="shared" si="2"/>
        <v>21-6005(a) - Misuse of Public Funds; Aggregate is less than $1,000</v>
      </c>
      <c r="O2064" s="10" t="str">
        <f t="shared" si="3"/>
        <v>Misuse of Public Funds</v>
      </c>
    </row>
    <row r="2065">
      <c r="A2065" s="7" t="s">
        <v>3655</v>
      </c>
      <c r="B2065" s="8" t="s">
        <v>3656</v>
      </c>
      <c r="C2065" s="8">
        <v>7.0</v>
      </c>
      <c r="D2065" s="8">
        <v>9.0</v>
      </c>
      <c r="E2065" s="8">
        <v>9.0</v>
      </c>
      <c r="F2065" s="8">
        <v>10.0</v>
      </c>
      <c r="G2065" s="8" t="s">
        <v>21</v>
      </c>
      <c r="H2065" s="9"/>
      <c r="I2065" s="9"/>
      <c r="N2065" s="10" t="str">
        <f t="shared" si="2"/>
        <v>9-2212(i) - Mortgage Business Act; Advertise, display, distribute, broadcast or televise, or cause or permit such, any false, misleading or deceptive statement or representation with regard to rates, terms or conditions for a mortgage loan</v>
      </c>
      <c r="O2065" s="10" t="str">
        <f t="shared" si="3"/>
        <v>Mortgage Business Act</v>
      </c>
    </row>
    <row r="2066">
      <c r="A2066" s="7" t="s">
        <v>3657</v>
      </c>
      <c r="B2066" s="8" t="s">
        <v>3658</v>
      </c>
      <c r="C2066" s="8">
        <v>7.0</v>
      </c>
      <c r="D2066" s="8">
        <v>9.0</v>
      </c>
      <c r="E2066" s="8">
        <v>9.0</v>
      </c>
      <c r="F2066" s="8">
        <v>10.0</v>
      </c>
      <c r="G2066" s="8" t="s">
        <v>21</v>
      </c>
      <c r="H2066" s="9"/>
      <c r="I2066" s="9"/>
      <c r="N2066" s="10" t="str">
        <f t="shared" si="2"/>
        <v>9-2212(a) - Mortgage Business Act; Compensate, contract with or employ, any person engaged in mortgage business who is not properly licensed or registered</v>
      </c>
      <c r="O2066" s="10" t="str">
        <f t="shared" si="3"/>
        <v>Mortgage Business Act</v>
      </c>
    </row>
    <row r="2067">
      <c r="A2067" s="7" t="s">
        <v>3659</v>
      </c>
      <c r="B2067" s="8" t="s">
        <v>3660</v>
      </c>
      <c r="C2067" s="8">
        <v>7.0</v>
      </c>
      <c r="D2067" s="8">
        <v>9.0</v>
      </c>
      <c r="E2067" s="8">
        <v>9.0</v>
      </c>
      <c r="F2067" s="8">
        <v>10.0</v>
      </c>
      <c r="G2067" s="8" t="s">
        <v>21</v>
      </c>
      <c r="H2067" s="9"/>
      <c r="I2067" s="9"/>
      <c r="N2067" s="10" t="str">
        <f t="shared" si="2"/>
        <v>9-2212(c) - Mortgage Business Act; Delay closing of a mortgage loan for the purpose of increasing interest, costs, fees or charges payable by the borrower</v>
      </c>
      <c r="O2067" s="10" t="str">
        <f t="shared" si="3"/>
        <v>Mortgage Business Act</v>
      </c>
    </row>
    <row r="2068">
      <c r="A2068" s="7" t="s">
        <v>3661</v>
      </c>
      <c r="B2068" s="8" t="s">
        <v>3662</v>
      </c>
      <c r="C2068" s="8">
        <v>7.0</v>
      </c>
      <c r="D2068" s="8">
        <v>9.0</v>
      </c>
      <c r="E2068" s="8">
        <v>9.0</v>
      </c>
      <c r="F2068" s="8">
        <v>10.0</v>
      </c>
      <c r="G2068" s="8" t="s">
        <v>21</v>
      </c>
      <c r="H2068" s="9"/>
      <c r="I2068" s="9"/>
      <c r="N2068" s="10" t="str">
        <f t="shared" si="2"/>
        <v>9-2212(f) - Mortgage Business Act; Engage in any transaction, practice or business conduct that is not in good faith, or that operates a fraud upon any person connected with the making of, purchase or sale of any mortgage loan</v>
      </c>
      <c r="O2068" s="10" t="str">
        <f t="shared" si="3"/>
        <v>Mortgage Business Act</v>
      </c>
    </row>
    <row r="2069">
      <c r="A2069" s="7" t="s">
        <v>3663</v>
      </c>
      <c r="B2069" s="8" t="s">
        <v>3664</v>
      </c>
      <c r="C2069" s="8">
        <v>7.0</v>
      </c>
      <c r="D2069" s="8">
        <v>9.0</v>
      </c>
      <c r="E2069" s="8">
        <v>9.0</v>
      </c>
      <c r="F2069" s="8">
        <v>10.0</v>
      </c>
      <c r="G2069" s="8" t="s">
        <v>21</v>
      </c>
      <c r="H2069" s="9"/>
      <c r="I2069" s="9"/>
      <c r="N2069" s="10" t="str">
        <f t="shared" si="2"/>
        <v>9-2212(h) - Mortgage Business Act; Engage in fraudulent residential mortgage brokerage or underwriting practices</v>
      </c>
      <c r="O2069" s="10" t="str">
        <f t="shared" si="3"/>
        <v>Mortgage Business Act</v>
      </c>
    </row>
    <row r="2070">
      <c r="A2070" s="7" t="s">
        <v>3665</v>
      </c>
      <c r="B2070" s="8" t="s">
        <v>3666</v>
      </c>
      <c r="C2070" s="8">
        <v>7.0</v>
      </c>
      <c r="D2070" s="8">
        <v>9.0</v>
      </c>
      <c r="E2070" s="8">
        <v>9.0</v>
      </c>
      <c r="F2070" s="8">
        <v>10.0</v>
      </c>
      <c r="G2070" s="8" t="s">
        <v>21</v>
      </c>
      <c r="H2070" s="9"/>
      <c r="I2070" s="9"/>
      <c r="N2070" s="10" t="str">
        <f t="shared" si="2"/>
        <v>9-2203(a) - Mortgage Business Act; License required to conduct mortgage business</v>
      </c>
      <c r="O2070" s="10" t="str">
        <f t="shared" si="3"/>
        <v>Mortgage Business Act</v>
      </c>
    </row>
    <row r="2071">
      <c r="A2071" s="7" t="s">
        <v>3667</v>
      </c>
      <c r="B2071" s="8" t="s">
        <v>3668</v>
      </c>
      <c r="C2071" s="8">
        <v>7.0</v>
      </c>
      <c r="D2071" s="8">
        <v>9.0</v>
      </c>
      <c r="E2071" s="8">
        <v>9.0</v>
      </c>
      <c r="F2071" s="8">
        <v>10.0</v>
      </c>
      <c r="G2071" s="8" t="s">
        <v>21</v>
      </c>
      <c r="H2071" s="9"/>
      <c r="I2071" s="9"/>
      <c r="N2071" s="10" t="str">
        <f t="shared" si="2"/>
        <v>9-2212(d) - Mortgage Business Act; Misrepresent material facts or make false promises intended to influence, persuade or induce an applicant for a mortgage loan, or mortgagee, to take a mortgage loan; cause or contribute to such misrepresentation</v>
      </c>
      <c r="O2071" s="10" t="str">
        <f t="shared" si="3"/>
        <v>Mortgage Business Act</v>
      </c>
    </row>
    <row r="2072">
      <c r="A2072" s="7" t="s">
        <v>3669</v>
      </c>
      <c r="B2072" s="8" t="s">
        <v>3670</v>
      </c>
      <c r="C2072" s="8">
        <v>7.0</v>
      </c>
      <c r="D2072" s="8">
        <v>9.0</v>
      </c>
      <c r="E2072" s="8">
        <v>9.0</v>
      </c>
      <c r="F2072" s="8">
        <v>10.0</v>
      </c>
      <c r="G2072" s="8" t="s">
        <v>21</v>
      </c>
      <c r="H2072" s="9"/>
      <c r="I2072" s="9"/>
      <c r="N2072" s="10" t="str">
        <f t="shared" si="2"/>
        <v>9-2212(e) - Mortgage Business Act; Misrepresent to or conceal from an applicant for a mortgage loan or mortgagor, material facts, terms or conditions of a transaction to which the licensee or registrant is a party</v>
      </c>
      <c r="O2072" s="10" t="str">
        <f t="shared" si="3"/>
        <v>Mortgage Business Act</v>
      </c>
    </row>
    <row r="2073">
      <c r="A2073" s="7" t="s">
        <v>3671</v>
      </c>
      <c r="B2073" s="8" t="s">
        <v>3672</v>
      </c>
      <c r="C2073" s="8">
        <v>7.0</v>
      </c>
      <c r="D2073" s="8">
        <v>9.0</v>
      </c>
      <c r="E2073" s="8">
        <v>9.0</v>
      </c>
      <c r="F2073" s="8">
        <v>10.0</v>
      </c>
      <c r="G2073" s="8" t="s">
        <v>21</v>
      </c>
      <c r="H2073" s="9"/>
      <c r="I2073" s="9"/>
      <c r="N2073" s="10" t="str">
        <f t="shared" si="2"/>
        <v>9-2212(g) - Mortgage Business Act; Receive compensation for rendering mortgage business services when licensee or registrant has otherwise acted as a real estate broker or agent in connection with the sale of the real estate which secures the mortgage transaction without providing written disclosure as required</v>
      </c>
      <c r="O2073" s="10" t="str">
        <f t="shared" si="3"/>
        <v>Mortgage Business Act</v>
      </c>
    </row>
    <row r="2074">
      <c r="A2074" s="7" t="s">
        <v>3673</v>
      </c>
      <c r="B2074" s="8" t="s">
        <v>3674</v>
      </c>
      <c r="C2074" s="8">
        <v>7.0</v>
      </c>
      <c r="D2074" s="8">
        <v>9.0</v>
      </c>
      <c r="E2074" s="8">
        <v>9.0</v>
      </c>
      <c r="F2074" s="8">
        <v>10.0</v>
      </c>
      <c r="G2074" s="8" t="s">
        <v>21</v>
      </c>
      <c r="H2074" s="9"/>
      <c r="I2074" s="9"/>
      <c r="N2074" s="10" t="str">
        <f t="shared" si="2"/>
        <v>9-2212(j) - Mortgage Business Act; Record a mortgage if moneys are not available for the immediate disbursal to the mortgagor without informing the mortgagor in writing of a definite date by which payment shall be made and obtaining the mortgagor's written permission for the delay</v>
      </c>
      <c r="O2074" s="10" t="str">
        <f t="shared" si="3"/>
        <v>Mortgage Business Act</v>
      </c>
    </row>
    <row r="2075">
      <c r="A2075" s="7" t="s">
        <v>3675</v>
      </c>
      <c r="B2075" s="8" t="s">
        <v>3676</v>
      </c>
      <c r="C2075" s="8">
        <v>7.0</v>
      </c>
      <c r="D2075" s="8">
        <v>9.0</v>
      </c>
      <c r="E2075" s="8">
        <v>9.0</v>
      </c>
      <c r="F2075" s="8">
        <v>10.0</v>
      </c>
      <c r="G2075" s="8" t="s">
        <v>21</v>
      </c>
      <c r="H2075" s="9"/>
      <c r="I2075" s="9"/>
      <c r="N2075" s="10" t="str">
        <f t="shared" si="2"/>
        <v>9-2203(b) - Mortgage Business Act; Registration required for a loan originator</v>
      </c>
      <c r="O2075" s="10" t="str">
        <f t="shared" si="3"/>
        <v>Mortgage Business Act</v>
      </c>
    </row>
    <row r="2076">
      <c r="A2076" s="7" t="s">
        <v>3677</v>
      </c>
      <c r="B2076" s="8" t="s">
        <v>3678</v>
      </c>
      <c r="C2076" s="8">
        <v>7.0</v>
      </c>
      <c r="D2076" s="8">
        <v>9.0</v>
      </c>
      <c r="E2076" s="8">
        <v>9.0</v>
      </c>
      <c r="F2076" s="8">
        <v>10.0</v>
      </c>
      <c r="G2076" s="8" t="s">
        <v>21</v>
      </c>
      <c r="H2076" s="9"/>
      <c r="I2076" s="9"/>
      <c r="N2076" s="10" t="str">
        <f t="shared" si="2"/>
        <v>9-2212(k) - Mortgage Business Act; Transfer, assign or attempt to transfer or assign, a license or registration to any other person</v>
      </c>
      <c r="O2076" s="10" t="str">
        <f t="shared" si="3"/>
        <v>Mortgage Business Act</v>
      </c>
    </row>
    <row r="2077">
      <c r="A2077" s="7" t="s">
        <v>3679</v>
      </c>
      <c r="B2077" s="8" t="s">
        <v>3680</v>
      </c>
      <c r="C2077" s="8">
        <v>7.0</v>
      </c>
      <c r="D2077" s="8">
        <v>9.0</v>
      </c>
      <c r="E2077" s="8">
        <v>9.0</v>
      </c>
      <c r="F2077" s="8">
        <v>10.0</v>
      </c>
      <c r="G2077" s="8" t="s">
        <v>21</v>
      </c>
      <c r="H2077" s="9"/>
      <c r="I2077" s="9"/>
      <c r="N2077" s="10" t="str">
        <f t="shared" si="2"/>
        <v>9-2212(b) - Mortgage Business Act; Unauthorized employment of a person who has: (1) had a license or registration denied, revoked, suspended or refused renewal; or (2) been convicted of any crime involving fraud, dishonesty or deceit</v>
      </c>
      <c r="O2077" s="10" t="str">
        <f t="shared" si="3"/>
        <v>Mortgage Business Act</v>
      </c>
    </row>
    <row r="2078">
      <c r="A2078" s="7" t="s">
        <v>3681</v>
      </c>
      <c r="B2078" s="8" t="s">
        <v>3682</v>
      </c>
      <c r="C2078" s="8">
        <v>7.0</v>
      </c>
      <c r="D2078" s="8">
        <v>9.0</v>
      </c>
      <c r="E2078" s="8">
        <v>9.0</v>
      </c>
      <c r="F2078" s="8">
        <v>10.0</v>
      </c>
      <c r="G2078" s="8" t="s">
        <v>21</v>
      </c>
      <c r="H2078" s="9"/>
      <c r="I2078" s="9"/>
      <c r="N2078" s="10" t="str">
        <f t="shared" si="2"/>
        <v>9-2203(c) - Mortgage Business Act; Willful or knowing violation any of the provisions of this act, any rule and regulation</v>
      </c>
      <c r="O2078" s="10" t="str">
        <f t="shared" si="3"/>
        <v>Mortgage Business Act</v>
      </c>
    </row>
    <row r="2079">
      <c r="A2079" s="7" t="s">
        <v>3683</v>
      </c>
      <c r="B2079" s="8" t="s">
        <v>3684</v>
      </c>
      <c r="C2079" s="8" t="s">
        <v>27</v>
      </c>
      <c r="D2079" s="8" t="s">
        <v>28</v>
      </c>
      <c r="E2079" s="8" t="s">
        <v>19</v>
      </c>
      <c r="F2079" s="8" t="s">
        <v>20</v>
      </c>
      <c r="G2079" s="8" t="s">
        <v>21</v>
      </c>
      <c r="H2079" s="9"/>
      <c r="I2079" s="9"/>
      <c r="J2079" s="10">
        <f t="shared" ref="J2079:M2079" si="1189">ifs(OR($H2079="R",$I2079="N"),"N/A",OR(C2079="A",C2079="B",C2079="C",C2079="U"),3,TRUE,"FLAG")</f>
        <v>3</v>
      </c>
      <c r="K2079" s="10">
        <f t="shared" si="1189"/>
        <v>3</v>
      </c>
      <c r="L2079" s="10">
        <f t="shared" si="1189"/>
        <v>3</v>
      </c>
      <c r="M2079" s="10" t="str">
        <f t="shared" si="1189"/>
        <v>FLAG</v>
      </c>
      <c r="N2079" s="10" t="str">
        <f t="shared" si="2"/>
        <v>51-301(a) - Motion Pictures; Unlawful use of a recording device; 1st conviction</v>
      </c>
      <c r="O2079" s="10" t="str">
        <f t="shared" si="3"/>
        <v>Motion Pictures</v>
      </c>
    </row>
    <row r="2080">
      <c r="A2080" s="7" t="s">
        <v>3685</v>
      </c>
      <c r="B2080" s="8" t="s">
        <v>3684</v>
      </c>
      <c r="C2080" s="8">
        <v>9.0</v>
      </c>
      <c r="D2080" s="8">
        <v>10.0</v>
      </c>
      <c r="E2080" s="8">
        <v>10.0</v>
      </c>
      <c r="F2080" s="8">
        <v>10.0</v>
      </c>
      <c r="G2080" s="8" t="s">
        <v>21</v>
      </c>
      <c r="H2080" s="9"/>
      <c r="I2080" s="9"/>
      <c r="N2080" s="10" t="str">
        <f t="shared" si="2"/>
        <v>51-301(a) - Motion Pictures; Unlawful use of a recording device; 2nd or subs. conviction</v>
      </c>
      <c r="O2080" s="10" t="str">
        <f t="shared" si="3"/>
        <v>Motion Pictures</v>
      </c>
    </row>
    <row r="2081">
      <c r="A2081" s="7" t="s">
        <v>3686</v>
      </c>
      <c r="B2081" s="8" t="s">
        <v>3687</v>
      </c>
      <c r="C2081" s="8" t="s">
        <v>18</v>
      </c>
      <c r="D2081" s="8" t="s">
        <v>18</v>
      </c>
      <c r="E2081" s="8" t="s">
        <v>19</v>
      </c>
      <c r="F2081" s="8" t="s">
        <v>20</v>
      </c>
      <c r="G2081" s="8" t="s">
        <v>21</v>
      </c>
      <c r="H2081" s="9"/>
      <c r="I2081" s="9"/>
      <c r="J2081" s="10">
        <f t="shared" ref="J2081:M2081" si="1190">ifs(OR($H2081="R",$I2081="N"),"N/A",OR(C2081="A",C2081="B",C2081="C",C2081="U"),3,TRUE,"FLAG")</f>
        <v>3</v>
      </c>
      <c r="K2081" s="10">
        <f t="shared" si="1190"/>
        <v>3</v>
      </c>
      <c r="L2081" s="10">
        <f t="shared" si="1190"/>
        <v>3</v>
      </c>
      <c r="M2081" s="10" t="str">
        <f t="shared" si="1190"/>
        <v>FLAG</v>
      </c>
      <c r="N2081" s="10" t="str">
        <f t="shared" si="2"/>
        <v>66-1319(a) - Motor Carriers; Failure or refusal of driver of a vehicle to drive such vehicle to the nearest inspection station or other suitable place when so directed by a member of the highway patrol</v>
      </c>
      <c r="O2081" s="10" t="str">
        <f t="shared" si="3"/>
        <v>Motor Carriers</v>
      </c>
    </row>
    <row r="2082">
      <c r="A2082" s="7" t="s">
        <v>3688</v>
      </c>
      <c r="B2082" s="8" t="s">
        <v>3689</v>
      </c>
      <c r="C2082" s="8" t="s">
        <v>18</v>
      </c>
      <c r="D2082" s="8" t="s">
        <v>18</v>
      </c>
      <c r="E2082" s="8" t="s">
        <v>19</v>
      </c>
      <c r="F2082" s="8" t="s">
        <v>20</v>
      </c>
      <c r="G2082" s="8" t="s">
        <v>21</v>
      </c>
      <c r="H2082" s="9"/>
      <c r="I2082" s="9"/>
      <c r="J2082" s="10">
        <f t="shared" ref="J2082:M2082" si="1191">ifs(OR($H2082="R",$I2082="N"),"N/A",OR(C2082="A",C2082="B",C2082="C",C2082="U"),3,TRUE,"FLAG")</f>
        <v>3</v>
      </c>
      <c r="K2082" s="10">
        <f t="shared" si="1191"/>
        <v>3</v>
      </c>
      <c r="L2082" s="10">
        <f t="shared" si="1191"/>
        <v>3</v>
      </c>
      <c r="M2082" s="10" t="str">
        <f t="shared" si="1191"/>
        <v>FLAG</v>
      </c>
      <c r="N2082" s="10" t="str">
        <f t="shared" si="2"/>
        <v>66-1315 - Motor Carriers; Penalty for violating any of the provisions of K.S.A. 66-1,139 or 66-1,140</v>
      </c>
      <c r="O2082" s="10" t="str">
        <f t="shared" si="3"/>
        <v>Motor Carriers</v>
      </c>
    </row>
    <row r="2083">
      <c r="A2083" s="7" t="s">
        <v>3690</v>
      </c>
      <c r="B2083" s="8" t="s">
        <v>3691</v>
      </c>
      <c r="C2083" s="8" t="s">
        <v>19</v>
      </c>
      <c r="D2083" s="8" t="s">
        <v>19</v>
      </c>
      <c r="E2083" s="8" t="s">
        <v>19</v>
      </c>
      <c r="F2083" s="8" t="s">
        <v>20</v>
      </c>
      <c r="G2083" s="8" t="s">
        <v>21</v>
      </c>
      <c r="H2083" s="9"/>
      <c r="I2083" s="9"/>
      <c r="J2083" s="10">
        <f t="shared" ref="J2083:M2083" si="1192">ifs(OR($H2083="R",$I2083="N"),"N/A",OR(C2083="A",C2083="B",C2083="C",C2083="U"),3,TRUE,"FLAG")</f>
        <v>3</v>
      </c>
      <c r="K2083" s="10">
        <f t="shared" si="1192"/>
        <v>3</v>
      </c>
      <c r="L2083" s="10">
        <f t="shared" si="1192"/>
        <v>3</v>
      </c>
      <c r="M2083" s="10" t="str">
        <f t="shared" si="1192"/>
        <v>FLAG</v>
      </c>
      <c r="N2083" s="10" t="str">
        <f t="shared" si="2"/>
        <v>32-1120(a) - Motorboat Exhaust Noise Emissions in Violation of Limits</v>
      </c>
      <c r="O2083" s="10" t="str">
        <f t="shared" si="3"/>
        <v>Motorboat Exhaust Noise Emissions in Violation of Limits</v>
      </c>
    </row>
    <row r="2084">
      <c r="A2084" s="7" t="s">
        <v>3692</v>
      </c>
      <c r="B2084" s="8" t="s">
        <v>3693</v>
      </c>
      <c r="C2084" s="8" t="s">
        <v>19</v>
      </c>
      <c r="D2084" s="8" t="s">
        <v>19</v>
      </c>
      <c r="E2084" s="8" t="s">
        <v>19</v>
      </c>
      <c r="F2084" s="8" t="s">
        <v>20</v>
      </c>
      <c r="G2084" s="8" t="s">
        <v>21</v>
      </c>
      <c r="H2084" s="9"/>
      <c r="I2084" s="9"/>
      <c r="J2084" s="10">
        <f t="shared" ref="J2084:M2084" si="1193">ifs(OR($H2084="R",$I2084="N"),"N/A",OR(C2084="A",C2084="B",C2084="C",C2084="U"),3,TRUE,"FLAG")</f>
        <v>3</v>
      </c>
      <c r="K2084" s="10">
        <f t="shared" si="1193"/>
        <v>3</v>
      </c>
      <c r="L2084" s="10">
        <f t="shared" si="1193"/>
        <v>3</v>
      </c>
      <c r="M2084" s="10" t="str">
        <f t="shared" si="1193"/>
        <v>FLAG</v>
      </c>
      <c r="N2084" s="10" t="str">
        <f t="shared" si="2"/>
        <v>32-1120(c) - Motorboat Exhaust Noise Emissions in Violation of Limits; Failure to comply with a request or direction of officer</v>
      </c>
      <c r="O2084" s="10" t="str">
        <f t="shared" si="3"/>
        <v>Motorboat Exhaust Noise Emissions in Violation of Limits</v>
      </c>
    </row>
    <row r="2085">
      <c r="A2085" s="7" t="s">
        <v>3694</v>
      </c>
      <c r="B2085" s="8" t="s">
        <v>3695</v>
      </c>
      <c r="C2085" s="8" t="s">
        <v>178</v>
      </c>
      <c r="D2085" s="8">
        <v>1.0</v>
      </c>
      <c r="E2085" s="8">
        <v>2.0</v>
      </c>
      <c r="F2085" s="8">
        <v>3.0</v>
      </c>
      <c r="G2085" s="8" t="s">
        <v>24</v>
      </c>
      <c r="H2085" s="8" t="s">
        <v>109</v>
      </c>
      <c r="I2085" s="8" t="s">
        <v>54</v>
      </c>
      <c r="N2085" s="10" t="str">
        <f t="shared" si="2"/>
        <v>21-5402(a)(2) - Murder; 1st Degree; in the commission of, attempt to commit, or flight from an inherently dangerous felony as defined in K.S.A. 21-5402(c)</v>
      </c>
      <c r="O2085" s="10" t="str">
        <f t="shared" si="3"/>
        <v>Murder</v>
      </c>
    </row>
    <row r="2086">
      <c r="A2086" s="7" t="s">
        <v>3696</v>
      </c>
      <c r="B2086" s="8" t="s">
        <v>3697</v>
      </c>
      <c r="C2086" s="8" t="s">
        <v>178</v>
      </c>
      <c r="D2086" s="8">
        <v>1.0</v>
      </c>
      <c r="E2086" s="8">
        <v>2.0</v>
      </c>
      <c r="F2086" s="8">
        <v>3.0</v>
      </c>
      <c r="G2086" s="8" t="s">
        <v>24</v>
      </c>
      <c r="H2086" s="8" t="s">
        <v>109</v>
      </c>
      <c r="I2086" s="8" t="s">
        <v>54</v>
      </c>
      <c r="N2086" s="10" t="str">
        <f t="shared" si="2"/>
        <v>21-5402(a)(1) - Murder; 1st Degree; intentionally and with premeditation</v>
      </c>
      <c r="O2086" s="10" t="str">
        <f t="shared" si="3"/>
        <v>Murder</v>
      </c>
    </row>
    <row r="2087">
      <c r="A2087" s="7" t="s">
        <v>3698</v>
      </c>
      <c r="B2087" s="8" t="s">
        <v>3699</v>
      </c>
      <c r="C2087" s="8">
        <v>1.0</v>
      </c>
      <c r="D2087" s="8">
        <v>3.0</v>
      </c>
      <c r="E2087" s="8">
        <v>3.0</v>
      </c>
      <c r="F2087" s="8">
        <v>4.0</v>
      </c>
      <c r="G2087" s="8" t="s">
        <v>24</v>
      </c>
      <c r="H2087" s="8" t="s">
        <v>109</v>
      </c>
      <c r="I2087" s="8" t="s">
        <v>54</v>
      </c>
      <c r="N2087" s="10" t="str">
        <f t="shared" si="2"/>
        <v>21-5403(a)(1) - Murder; 2nd Degree; intentional killing</v>
      </c>
      <c r="O2087" s="10" t="str">
        <f t="shared" si="3"/>
        <v>Murder</v>
      </c>
    </row>
    <row r="2088">
      <c r="A2088" s="7" t="s">
        <v>3700</v>
      </c>
      <c r="B2088" s="8" t="s">
        <v>3701</v>
      </c>
      <c r="C2088" s="8">
        <v>2.0</v>
      </c>
      <c r="D2088" s="8">
        <v>4.0</v>
      </c>
      <c r="E2088" s="8">
        <v>4.0</v>
      </c>
      <c r="F2088" s="8">
        <v>5.0</v>
      </c>
      <c r="G2088" s="8" t="s">
        <v>24</v>
      </c>
      <c r="H2088" s="8" t="s">
        <v>109</v>
      </c>
      <c r="I2088" s="8" t="s">
        <v>54</v>
      </c>
      <c r="N2088" s="10" t="str">
        <f t="shared" si="2"/>
        <v>21-5403(a)(2) - Murder; 2nd Degree; unintentionally but recklessly, under circumstances manifesting extreme indifference to human life</v>
      </c>
      <c r="O2088" s="10" t="str">
        <f t="shared" si="3"/>
        <v>Murder</v>
      </c>
    </row>
    <row r="2089">
      <c r="A2089" s="7" t="s">
        <v>3702</v>
      </c>
      <c r="B2089" s="8" t="s">
        <v>3703</v>
      </c>
      <c r="C2089" s="8" t="s">
        <v>28</v>
      </c>
      <c r="D2089" s="8" t="s">
        <v>19</v>
      </c>
      <c r="E2089" s="8" t="s">
        <v>19</v>
      </c>
      <c r="F2089" s="8" t="s">
        <v>20</v>
      </c>
      <c r="G2089" s="8" t="s">
        <v>24</v>
      </c>
      <c r="H2089" s="9"/>
      <c r="I2089" s="9"/>
      <c r="J2089" s="10">
        <f t="shared" ref="J2089:M2089" si="1194">ifs(OR($H2089="R",$I2089="N"),"N/A",OR(C2089="A",C2089="B",C2089="C",C2089="U"),3,TRUE,"FLAG")</f>
        <v>3</v>
      </c>
      <c r="K2089" s="10">
        <f t="shared" si="1194"/>
        <v>3</v>
      </c>
      <c r="L2089" s="10">
        <f t="shared" si="1194"/>
        <v>3</v>
      </c>
      <c r="M2089" s="10" t="str">
        <f t="shared" si="1194"/>
        <v>FLAG</v>
      </c>
      <c r="N2089" s="10" t="str">
        <f t="shared" si="2"/>
        <v>65-7211 - Naturopathic Doctor Licensure Act; Violations</v>
      </c>
      <c r="O2089" s="10" t="str">
        <f t="shared" si="3"/>
        <v>Naturopathic Doctor Licensure Act</v>
      </c>
    </row>
    <row r="2090">
      <c r="A2090" s="7" t="s">
        <v>3704</v>
      </c>
      <c r="B2090" s="8" t="s">
        <v>3705</v>
      </c>
      <c r="C2090" s="8" t="s">
        <v>18</v>
      </c>
      <c r="D2090" s="8" t="s">
        <v>18</v>
      </c>
      <c r="E2090" s="8" t="s">
        <v>19</v>
      </c>
      <c r="F2090" s="8" t="s">
        <v>20</v>
      </c>
      <c r="G2090" s="8" t="s">
        <v>21</v>
      </c>
      <c r="H2090" s="9"/>
      <c r="I2090" s="9"/>
      <c r="J2090" s="10">
        <f t="shared" ref="J2090:M2090" si="1195">ifs(OR($H2090="R",$I2090="N"),"N/A",OR(C2090="A",C2090="B",C2090="C",C2090="U"),3,TRUE,"FLAG")</f>
        <v>3</v>
      </c>
      <c r="K2090" s="10">
        <f t="shared" si="1195"/>
        <v>3</v>
      </c>
      <c r="L2090" s="10">
        <f t="shared" si="1195"/>
        <v>3</v>
      </c>
      <c r="M2090" s="10" t="str">
        <f t="shared" si="1195"/>
        <v>FLAG</v>
      </c>
      <c r="N2090" s="10" t="str">
        <f t="shared" si="2"/>
        <v>58-1022 - New Goods Public Auction; Engage in, or conduct a public auction, without a license; knowingly advertise, represent or hold forth any sale of goods, wares or merchandise to be conducted contrary to the provisions of this act</v>
      </c>
      <c r="O2090" s="10" t="str">
        <f t="shared" si="3"/>
        <v>New Goods Public Auction</v>
      </c>
    </row>
    <row r="2091">
      <c r="A2091" s="7" t="s">
        <v>3706</v>
      </c>
      <c r="B2091" s="8" t="s">
        <v>3707</v>
      </c>
      <c r="C2091" s="8" t="s">
        <v>18</v>
      </c>
      <c r="D2091" s="8" t="s">
        <v>18</v>
      </c>
      <c r="E2091" s="8" t="s">
        <v>19</v>
      </c>
      <c r="F2091" s="8" t="s">
        <v>20</v>
      </c>
      <c r="G2091" s="8" t="s">
        <v>21</v>
      </c>
      <c r="H2091" s="9"/>
      <c r="I2091" s="9"/>
      <c r="J2091" s="10">
        <f t="shared" ref="J2091:M2091" si="1196">ifs(OR($H2091="R",$I2091="N"),"N/A",OR(C2091="A",C2091="B",C2091="C",C2091="U"),3,TRUE,"FLAG")</f>
        <v>3</v>
      </c>
      <c r="K2091" s="10">
        <f t="shared" si="1196"/>
        <v>3</v>
      </c>
      <c r="L2091" s="10">
        <f t="shared" si="1196"/>
        <v>3</v>
      </c>
      <c r="M2091" s="10" t="str">
        <f t="shared" si="1196"/>
        <v>FLAG</v>
      </c>
      <c r="N2091" s="10" t="str">
        <f t="shared" si="2"/>
        <v>58-1016 - New Goods Public Auction; License required to conduct certain auction sales</v>
      </c>
      <c r="O2091" s="10" t="str">
        <f t="shared" si="3"/>
        <v>New Goods Public Auction</v>
      </c>
    </row>
    <row r="2092">
      <c r="A2092" s="7" t="s">
        <v>3708</v>
      </c>
      <c r="B2092" s="8" t="s">
        <v>3709</v>
      </c>
      <c r="C2092" s="8">
        <v>10.0</v>
      </c>
      <c r="D2092" s="8">
        <v>10.0</v>
      </c>
      <c r="E2092" s="8">
        <v>10.0</v>
      </c>
      <c r="F2092" s="8">
        <v>10.0</v>
      </c>
      <c r="G2092" s="8" t="s">
        <v>21</v>
      </c>
      <c r="H2092" s="9"/>
      <c r="I2092" s="9"/>
      <c r="N2092" s="10" t="str">
        <f t="shared" si="2"/>
        <v>21-5606(a)(1) - Nonsupport of Child; Parent's unlawful failure, neglect or refusal to provide support/maintenance of the child</v>
      </c>
      <c r="O2092" s="10" t="str">
        <f t="shared" si="3"/>
        <v>Nonsupport of Child</v>
      </c>
    </row>
    <row r="2093">
      <c r="A2093" s="7" t="s">
        <v>3710</v>
      </c>
      <c r="B2093" s="8" t="s">
        <v>3711</v>
      </c>
      <c r="C2093" s="8">
        <v>10.0</v>
      </c>
      <c r="D2093" s="8">
        <v>10.0</v>
      </c>
      <c r="E2093" s="8">
        <v>10.0</v>
      </c>
      <c r="F2093" s="8">
        <v>10.0</v>
      </c>
      <c r="G2093" s="8" t="s">
        <v>21</v>
      </c>
      <c r="H2093" s="9"/>
      <c r="I2093" s="9"/>
      <c r="N2093" s="10" t="str">
        <f t="shared" si="2"/>
        <v>21-5606(a)(2) - Nonsupport of Spouse; Failure to provide for the support of a person's spouse</v>
      </c>
      <c r="O2093" s="10" t="str">
        <f t="shared" si="3"/>
        <v>Nonsupport of Spouse</v>
      </c>
    </row>
    <row r="2094">
      <c r="A2094" s="7" t="s">
        <v>3712</v>
      </c>
      <c r="B2094" s="8" t="s">
        <v>3713</v>
      </c>
      <c r="C2094" s="8" t="s">
        <v>19</v>
      </c>
      <c r="D2094" s="8" t="s">
        <v>19</v>
      </c>
      <c r="E2094" s="8" t="s">
        <v>19</v>
      </c>
      <c r="F2094" s="8" t="s">
        <v>20</v>
      </c>
      <c r="G2094" s="8" t="s">
        <v>21</v>
      </c>
      <c r="H2094" s="9"/>
      <c r="I2094" s="9"/>
      <c r="J2094" s="10">
        <f t="shared" ref="J2094:M2094" si="1197">ifs(OR($H2094="R",$I2094="N"),"N/A",OR(C2094="A",C2094="B",C2094="C",C2094="U"),3,TRUE,"FLAG")</f>
        <v>3</v>
      </c>
      <c r="K2094" s="10">
        <f t="shared" si="1197"/>
        <v>3</v>
      </c>
      <c r="L2094" s="10">
        <f t="shared" si="1197"/>
        <v>3</v>
      </c>
      <c r="M2094" s="10" t="str">
        <f t="shared" si="1197"/>
        <v>FLAG</v>
      </c>
      <c r="N2094" s="10" t="str">
        <f t="shared" si="2"/>
        <v>53-106 - Notaries Public &amp; Commissioners; Willful neglect or refusal to provide date of expiration of appointment</v>
      </c>
      <c r="O2094" s="10" t="str">
        <f t="shared" si="3"/>
        <v>Notaries Public &amp; Commissioners</v>
      </c>
    </row>
    <row r="2095">
      <c r="A2095" s="7" t="s">
        <v>3714</v>
      </c>
      <c r="B2095" s="8" t="s">
        <v>3715</v>
      </c>
      <c r="C2095" s="8" t="s">
        <v>28</v>
      </c>
      <c r="D2095" s="8" t="s">
        <v>19</v>
      </c>
      <c r="E2095" s="8" t="s">
        <v>19</v>
      </c>
      <c r="F2095" s="8" t="s">
        <v>20</v>
      </c>
      <c r="G2095" s="8" t="s">
        <v>21</v>
      </c>
      <c r="H2095" s="9"/>
      <c r="I2095" s="9"/>
      <c r="J2095" s="10">
        <f t="shared" ref="J2095:M2095" si="1198">ifs(OR($H2095="R",$I2095="N"),"N/A",OR(C2095="A",C2095="B",C2095="C",C2095="U"),3,TRUE,"FLAG")</f>
        <v>3</v>
      </c>
      <c r="K2095" s="10">
        <f t="shared" si="1198"/>
        <v>3</v>
      </c>
      <c r="L2095" s="10">
        <f t="shared" si="1198"/>
        <v>3</v>
      </c>
      <c r="M2095" s="10" t="str">
        <f t="shared" si="1198"/>
        <v>FLAG</v>
      </c>
      <c r="N2095" s="10" t="str">
        <f t="shared" si="2"/>
        <v>53-121(a)-(b) - Notary public - use of "notario publico" prohibited</v>
      </c>
      <c r="O2095" s="10" t="str">
        <f t="shared" si="3"/>
        <v>Notary public - use of "notario publico" prohibited</v>
      </c>
    </row>
    <row r="2096">
      <c r="A2096" s="7" t="s">
        <v>3716</v>
      </c>
      <c r="B2096" s="8" t="s">
        <v>3717</v>
      </c>
      <c r="C2096" s="8" t="s">
        <v>18</v>
      </c>
      <c r="D2096" s="8" t="s">
        <v>18</v>
      </c>
      <c r="E2096" s="8" t="s">
        <v>19</v>
      </c>
      <c r="F2096" s="8" t="s">
        <v>20</v>
      </c>
      <c r="G2096" s="8" t="s">
        <v>21</v>
      </c>
      <c r="H2096" s="9"/>
      <c r="I2096" s="9"/>
      <c r="J2096" s="10">
        <f t="shared" ref="J2096:M2096" si="1199">ifs(OR($H2096="R",$I2096="N"),"N/A",OR(C2096="A",C2096="B",C2096="C",C2096="U"),3,TRUE,"FLAG")</f>
        <v>3</v>
      </c>
      <c r="K2096" s="10">
        <f t="shared" si="1199"/>
        <v>3</v>
      </c>
      <c r="L2096" s="10">
        <f t="shared" si="1199"/>
        <v>3</v>
      </c>
      <c r="M2096" s="10" t="str">
        <f t="shared" si="1199"/>
        <v>FLAG</v>
      </c>
      <c r="N2096" s="10" t="str">
        <f t="shared" si="2"/>
        <v>48-1612 - Nuclear Energy Development &amp; Radiation Control Act; Prohibited uses</v>
      </c>
      <c r="O2096" s="10" t="str">
        <f t="shared" si="3"/>
        <v>Nuclear Energy Development &amp; Radiation Control Act</v>
      </c>
    </row>
    <row r="2097">
      <c r="A2097" s="7" t="s">
        <v>3718</v>
      </c>
      <c r="B2097" s="8" t="s">
        <v>3719</v>
      </c>
      <c r="C2097" s="8" t="s">
        <v>28</v>
      </c>
      <c r="D2097" s="8" t="s">
        <v>19</v>
      </c>
      <c r="E2097" s="8" t="s">
        <v>19</v>
      </c>
      <c r="F2097" s="8" t="s">
        <v>20</v>
      </c>
      <c r="G2097" s="8" t="s">
        <v>21</v>
      </c>
      <c r="H2097" s="9"/>
      <c r="I2097" s="9"/>
      <c r="J2097" s="10">
        <f t="shared" ref="J2097:M2097" si="1200">ifs(OR($H2097="R",$I2097="N"),"N/A",OR(C2097="A",C2097="B",C2097="C",C2097="U"),3,TRUE,"FLAG")</f>
        <v>3</v>
      </c>
      <c r="K2097" s="10">
        <f t="shared" si="1200"/>
        <v>3</v>
      </c>
      <c r="L2097" s="10">
        <f t="shared" si="1200"/>
        <v>3</v>
      </c>
      <c r="M2097" s="10" t="str">
        <f t="shared" si="1200"/>
        <v>FLAG</v>
      </c>
      <c r="N2097" s="10" t="str">
        <f t="shared" si="2"/>
        <v>65-1162(b)(4) - Nurse Practice Act; Any other violation of the Kansas nurse practice act or rules and regulations adopted pursuant thereto; 1st violation</v>
      </c>
      <c r="O2097" s="10" t="str">
        <f t="shared" si="3"/>
        <v>Nurse Practice Act</v>
      </c>
    </row>
    <row r="2098">
      <c r="A2098" s="7" t="s">
        <v>3720</v>
      </c>
      <c r="B2098" s="8" t="s">
        <v>3719</v>
      </c>
      <c r="C2098" s="8" t="s">
        <v>27</v>
      </c>
      <c r="D2098" s="8" t="s">
        <v>28</v>
      </c>
      <c r="E2098" s="8" t="s">
        <v>19</v>
      </c>
      <c r="F2098" s="8" t="s">
        <v>20</v>
      </c>
      <c r="G2098" s="8" t="s">
        <v>21</v>
      </c>
      <c r="H2098" s="9"/>
      <c r="I2098" s="9"/>
      <c r="J2098" s="10">
        <f t="shared" ref="J2098:M2098" si="1201">ifs(OR($H2098="R",$I2098="N"),"N/A",OR(C2098="A",C2098="B",C2098="C",C2098="U"),3,TRUE,"FLAG")</f>
        <v>3</v>
      </c>
      <c r="K2098" s="10">
        <f t="shared" si="1201"/>
        <v>3</v>
      </c>
      <c r="L2098" s="10">
        <f t="shared" si="1201"/>
        <v>3</v>
      </c>
      <c r="M2098" s="10" t="str">
        <f t="shared" si="1201"/>
        <v>FLAG</v>
      </c>
      <c r="N2098" s="10" t="str">
        <f t="shared" si="2"/>
        <v>65-1162(b)(4) - Nurse Practice Act; Any other violation of the Kansas nurse practice act or rules and regulations adopted pursuant thereto; 2nd or subs. violation</v>
      </c>
      <c r="O2098" s="10" t="str">
        <f t="shared" si="3"/>
        <v>Nurse Practice Act</v>
      </c>
    </row>
    <row r="2099">
      <c r="A2099" s="7" t="s">
        <v>3721</v>
      </c>
      <c r="B2099" s="8" t="s">
        <v>3722</v>
      </c>
      <c r="C2099" s="8" t="s">
        <v>28</v>
      </c>
      <c r="D2099" s="8" t="s">
        <v>19</v>
      </c>
      <c r="E2099" s="8" t="s">
        <v>19</v>
      </c>
      <c r="F2099" s="8" t="s">
        <v>20</v>
      </c>
      <c r="G2099" s="8" t="s">
        <v>21</v>
      </c>
      <c r="H2099" s="9"/>
      <c r="I2099" s="9"/>
      <c r="J2099" s="10">
        <f t="shared" ref="J2099:M2099" si="1202">ifs(OR($H2099="R",$I2099="N"),"N/A",OR(C2099="A",C2099="B",C2099="C",C2099="U"),3,TRUE,"FLAG")</f>
        <v>3</v>
      </c>
      <c r="K2099" s="10">
        <f t="shared" si="1202"/>
        <v>3</v>
      </c>
      <c r="L2099" s="10">
        <f t="shared" si="1202"/>
        <v>3</v>
      </c>
      <c r="M2099" s="10" t="str">
        <f t="shared" si="1202"/>
        <v>FLAG</v>
      </c>
      <c r="N2099" s="10" t="str">
        <f t="shared" si="2"/>
        <v>65-1162(b)(1) - Nurse Practice Act; Employ or offer to employ a person as a registered nurse anesthetist knowing that such person is not authorized to practice as such; 1st violation</v>
      </c>
      <c r="O2099" s="10" t="str">
        <f t="shared" si="3"/>
        <v>Nurse Practice Act</v>
      </c>
    </row>
    <row r="2100">
      <c r="A2100" s="7" t="s">
        <v>3723</v>
      </c>
      <c r="B2100" s="8" t="s">
        <v>3722</v>
      </c>
      <c r="C2100" s="8" t="s">
        <v>27</v>
      </c>
      <c r="D2100" s="8" t="s">
        <v>28</v>
      </c>
      <c r="E2100" s="8" t="s">
        <v>19</v>
      </c>
      <c r="F2100" s="8" t="s">
        <v>20</v>
      </c>
      <c r="G2100" s="8" t="s">
        <v>21</v>
      </c>
      <c r="H2100" s="9"/>
      <c r="I2100" s="9"/>
      <c r="J2100" s="10">
        <f t="shared" ref="J2100:M2100" si="1203">ifs(OR($H2100="R",$I2100="N"),"N/A",OR(C2100="A",C2100="B",C2100="C",C2100="U"),3,TRUE,"FLAG")</f>
        <v>3</v>
      </c>
      <c r="K2100" s="10">
        <f t="shared" si="1203"/>
        <v>3</v>
      </c>
      <c r="L2100" s="10">
        <f t="shared" si="1203"/>
        <v>3</v>
      </c>
      <c r="M2100" s="10" t="str">
        <f t="shared" si="1203"/>
        <v>FLAG</v>
      </c>
      <c r="N2100" s="10" t="str">
        <f t="shared" si="2"/>
        <v>65-1162(b)(1) - Nurse Practice Act; Employ or offer to employ a person as a registered nurse anesthetist knowing that such person is not authorized to practice as such; 2nd or subs. violation</v>
      </c>
      <c r="O2100" s="10" t="str">
        <f t="shared" si="3"/>
        <v>Nurse Practice Act</v>
      </c>
    </row>
    <row r="2101">
      <c r="A2101" s="7" t="s">
        <v>3724</v>
      </c>
      <c r="B2101" s="8" t="s">
        <v>3725</v>
      </c>
      <c r="C2101" s="8" t="s">
        <v>27</v>
      </c>
      <c r="D2101" s="8" t="s">
        <v>28</v>
      </c>
      <c r="E2101" s="8" t="s">
        <v>19</v>
      </c>
      <c r="F2101" s="8" t="s">
        <v>20</v>
      </c>
      <c r="G2101" s="8" t="s">
        <v>21</v>
      </c>
      <c r="H2101" s="9"/>
      <c r="I2101" s="9"/>
      <c r="J2101" s="10">
        <f t="shared" ref="J2101:M2101" si="1204">ifs(OR($H2101="R",$I2101="N"),"N/A",OR(C2101="A",C2101="B",C2101="C",C2101="U"),3,TRUE,"FLAG")</f>
        <v>3</v>
      </c>
      <c r="K2101" s="10">
        <f t="shared" si="1204"/>
        <v>3</v>
      </c>
      <c r="L2101" s="10">
        <f t="shared" si="1204"/>
        <v>3</v>
      </c>
      <c r="M2101" s="10" t="str">
        <f t="shared" si="1204"/>
        <v>FLAG</v>
      </c>
      <c r="N2101" s="10" t="str">
        <f t="shared" si="2"/>
        <v>65-1162(a) - Nurse Practice Act; Engage in the administration of general or regional anesthesia without being authorized by the board to practice as a registered nurse anesthetist</v>
      </c>
      <c r="O2101" s="10" t="str">
        <f t="shared" si="3"/>
        <v>Nurse Practice Act</v>
      </c>
    </row>
    <row r="2102">
      <c r="A2102" s="7" t="s">
        <v>3726</v>
      </c>
      <c r="B2102" s="8" t="s">
        <v>3727</v>
      </c>
      <c r="C2102" s="8" t="s">
        <v>28</v>
      </c>
      <c r="D2102" s="8" t="s">
        <v>19</v>
      </c>
      <c r="E2102" s="8" t="s">
        <v>19</v>
      </c>
      <c r="F2102" s="8" t="s">
        <v>20</v>
      </c>
      <c r="G2102" s="8" t="s">
        <v>21</v>
      </c>
      <c r="H2102" s="9"/>
      <c r="I2102" s="9"/>
      <c r="J2102" s="10">
        <f t="shared" ref="J2102:M2102" si="1205">ifs(OR($H2102="R",$I2102="N"),"N/A",OR(C2102="A",C2102="B",C2102="C",C2102="U"),3,TRUE,"FLAG")</f>
        <v>3</v>
      </c>
      <c r="K2102" s="10">
        <f t="shared" si="1205"/>
        <v>3</v>
      </c>
      <c r="L2102" s="10">
        <f t="shared" si="1205"/>
        <v>3</v>
      </c>
      <c r="M2102" s="10" t="str">
        <f t="shared" si="1205"/>
        <v>FLAG</v>
      </c>
      <c r="N2102" s="10" t="str">
        <f t="shared" si="2"/>
        <v>65-1162(b)(2) - Nurse Practice Act; Fraudulently seek, obtain or furnish documents indicating that a person is authorized by the board to practice as a registered nurse anesthetist when such person is not so authorized; aiding and abetting such activities; 1st violation</v>
      </c>
      <c r="O2102" s="10" t="str">
        <f t="shared" si="3"/>
        <v>Nurse Practice Act</v>
      </c>
    </row>
    <row r="2103">
      <c r="A2103" s="7" t="s">
        <v>3728</v>
      </c>
      <c r="B2103" s="8" t="s">
        <v>3727</v>
      </c>
      <c r="C2103" s="8" t="s">
        <v>27</v>
      </c>
      <c r="D2103" s="8" t="s">
        <v>28</v>
      </c>
      <c r="E2103" s="8" t="s">
        <v>19</v>
      </c>
      <c r="F2103" s="8" t="s">
        <v>20</v>
      </c>
      <c r="G2103" s="8" t="s">
        <v>21</v>
      </c>
      <c r="H2103" s="9"/>
      <c r="I2103" s="9"/>
      <c r="J2103" s="10">
        <f t="shared" ref="J2103:M2103" si="1206">ifs(OR($H2103="R",$I2103="N"),"N/A",OR(C2103="A",C2103="B",C2103="C",C2103="U"),3,TRUE,"FLAG")</f>
        <v>3</v>
      </c>
      <c r="K2103" s="10">
        <f t="shared" si="1206"/>
        <v>3</v>
      </c>
      <c r="L2103" s="10">
        <f t="shared" si="1206"/>
        <v>3</v>
      </c>
      <c r="M2103" s="10" t="str">
        <f t="shared" si="1206"/>
        <v>FLAG</v>
      </c>
      <c r="N2103" s="10" t="str">
        <f t="shared" si="2"/>
        <v>65-1162(b)(2) - Nurse Practice Act; Fraudulently seek, obtain or furnish documents indicating that a person is authorized by the board to practice as a registered nurse anesthetist when such person is not so authorized; aiding and abetting such activities; 2nd or subs. violation</v>
      </c>
      <c r="O2103" s="10" t="str">
        <f t="shared" si="3"/>
        <v>Nurse Practice Act</v>
      </c>
    </row>
    <row r="2104">
      <c r="A2104" s="7" t="s">
        <v>3729</v>
      </c>
      <c r="B2104" s="8" t="s">
        <v>3730</v>
      </c>
      <c r="C2104" s="8" t="s">
        <v>28</v>
      </c>
      <c r="D2104" s="8" t="s">
        <v>19</v>
      </c>
      <c r="E2104" s="8" t="s">
        <v>19</v>
      </c>
      <c r="F2104" s="8" t="s">
        <v>20</v>
      </c>
      <c r="G2104" s="8" t="s">
        <v>21</v>
      </c>
      <c r="H2104" s="9"/>
      <c r="I2104" s="9"/>
      <c r="J2104" s="10">
        <f t="shared" ref="J2104:M2104" si="1207">ifs(OR($H2104="R",$I2104="N"),"N/A",OR(C2104="A",C2104="B",C2104="C",C2104="U"),3,TRUE,"FLAG")</f>
        <v>3</v>
      </c>
      <c r="K2104" s="10">
        <f t="shared" si="1207"/>
        <v>3</v>
      </c>
      <c r="L2104" s="10">
        <f t="shared" si="1207"/>
        <v>3</v>
      </c>
      <c r="M2104" s="10" t="str">
        <f t="shared" si="1207"/>
        <v>FLAG</v>
      </c>
      <c r="N2104" s="10" t="str">
        <f t="shared" si="2"/>
        <v>65-1114(b)(1) - Nurse Practice Act; Practice or offer to practice as an advanced registered nurse practitioner in this state without being so certified; 1st violation</v>
      </c>
      <c r="O2104" s="10" t="str">
        <f t="shared" si="3"/>
        <v>Nurse Practice Act</v>
      </c>
    </row>
    <row r="2105">
      <c r="A2105" s="7" t="s">
        <v>3731</v>
      </c>
      <c r="B2105" s="8" t="s">
        <v>3730</v>
      </c>
      <c r="C2105" s="8" t="s">
        <v>27</v>
      </c>
      <c r="D2105" s="8" t="s">
        <v>28</v>
      </c>
      <c r="E2105" s="8" t="s">
        <v>19</v>
      </c>
      <c r="F2105" s="8" t="s">
        <v>20</v>
      </c>
      <c r="G2105" s="8" t="s">
        <v>21</v>
      </c>
      <c r="H2105" s="9"/>
      <c r="I2105" s="9"/>
      <c r="J2105" s="10">
        <f t="shared" ref="J2105:M2105" si="1208">ifs(OR($H2105="R",$I2105="N"),"N/A",OR(C2105="A",C2105="B",C2105="C",C2105="U"),3,TRUE,"FLAG")</f>
        <v>3</v>
      </c>
      <c r="K2105" s="10">
        <f t="shared" si="1208"/>
        <v>3</v>
      </c>
      <c r="L2105" s="10">
        <f t="shared" si="1208"/>
        <v>3</v>
      </c>
      <c r="M2105" s="10" t="str">
        <f t="shared" si="1208"/>
        <v>FLAG</v>
      </c>
      <c r="N2105" s="10" t="str">
        <f t="shared" si="2"/>
        <v>65-1114(b)(1) - Nurse Practice Act; Practice or offer to practice as an advanced registered nurse practitioner in this state without being so certified; 2nd or subs. violation</v>
      </c>
      <c r="O2105" s="10" t="str">
        <f t="shared" si="3"/>
        <v>Nurse Practice Act</v>
      </c>
    </row>
    <row r="2106">
      <c r="A2106" s="7" t="s">
        <v>3732</v>
      </c>
      <c r="B2106" s="8" t="s">
        <v>3733</v>
      </c>
      <c r="C2106" s="8" t="s">
        <v>28</v>
      </c>
      <c r="D2106" s="8" t="s">
        <v>19</v>
      </c>
      <c r="E2106" s="8" t="s">
        <v>19</v>
      </c>
      <c r="F2106" s="8" t="s">
        <v>20</v>
      </c>
      <c r="G2106" s="8" t="s">
        <v>21</v>
      </c>
      <c r="H2106" s="9"/>
      <c r="I2106" s="9"/>
      <c r="J2106" s="10">
        <f t="shared" ref="J2106:M2106" si="1209">ifs(OR($H2106="R",$I2106="N"),"N/A",OR(C2106="A",C2106="B",C2106="C",C2106="U"),3,TRUE,"FLAG")</f>
        <v>3</v>
      </c>
      <c r="K2106" s="10">
        <f t="shared" si="1209"/>
        <v>3</v>
      </c>
      <c r="L2106" s="10">
        <f t="shared" si="1209"/>
        <v>3</v>
      </c>
      <c r="M2106" s="10" t="str">
        <f t="shared" si="1209"/>
        <v>FLAG</v>
      </c>
      <c r="N2106" s="10" t="str">
        <f t="shared" si="2"/>
        <v>65-1114(a)(3) - Nurse Practice Act; Practice or offer to practice practical nursing in this state without license; 1st violation</v>
      </c>
      <c r="O2106" s="10" t="str">
        <f t="shared" si="3"/>
        <v>Nurse Practice Act</v>
      </c>
    </row>
    <row r="2107">
      <c r="A2107" s="7" t="s">
        <v>3734</v>
      </c>
      <c r="B2107" s="8" t="s">
        <v>3733</v>
      </c>
      <c r="C2107" s="8" t="s">
        <v>27</v>
      </c>
      <c r="D2107" s="8" t="s">
        <v>28</v>
      </c>
      <c r="E2107" s="8" t="s">
        <v>19</v>
      </c>
      <c r="F2107" s="8" t="s">
        <v>20</v>
      </c>
      <c r="G2107" s="8" t="s">
        <v>21</v>
      </c>
      <c r="H2107" s="9"/>
      <c r="I2107" s="9"/>
      <c r="J2107" s="10">
        <f t="shared" ref="J2107:M2107" si="1210">ifs(OR($H2107="R",$I2107="N"),"N/A",OR(C2107="A",C2107="B",C2107="C",C2107="U"),3,TRUE,"FLAG")</f>
        <v>3</v>
      </c>
      <c r="K2107" s="10">
        <f t="shared" si="1210"/>
        <v>3</v>
      </c>
      <c r="L2107" s="10">
        <f t="shared" si="1210"/>
        <v>3</v>
      </c>
      <c r="M2107" s="10" t="str">
        <f t="shared" si="1210"/>
        <v>FLAG</v>
      </c>
      <c r="N2107" s="10" t="str">
        <f t="shared" si="2"/>
        <v>65-1114(a)(3) - Nurse Practice Act; Practice or offer to practice practical nursing in this state without license; 2nd or subs. violation</v>
      </c>
      <c r="O2107" s="10" t="str">
        <f t="shared" si="3"/>
        <v>Nurse Practice Act</v>
      </c>
    </row>
    <row r="2108">
      <c r="A2108" s="7" t="s">
        <v>3735</v>
      </c>
      <c r="B2108" s="8" t="s">
        <v>3736</v>
      </c>
      <c r="C2108" s="8" t="s">
        <v>28</v>
      </c>
      <c r="D2108" s="8" t="s">
        <v>19</v>
      </c>
      <c r="E2108" s="8" t="s">
        <v>19</v>
      </c>
      <c r="F2108" s="8" t="s">
        <v>20</v>
      </c>
      <c r="G2108" s="8" t="s">
        <v>21</v>
      </c>
      <c r="H2108" s="9"/>
      <c r="I2108" s="9"/>
      <c r="J2108" s="10">
        <f t="shared" ref="J2108:M2108" si="1211">ifs(OR($H2108="R",$I2108="N"),"N/A",OR(C2108="A",C2108="B",C2108="C",C2108="U"),3,TRUE,"FLAG")</f>
        <v>3</v>
      </c>
      <c r="K2108" s="10">
        <f t="shared" si="1211"/>
        <v>3</v>
      </c>
      <c r="L2108" s="10">
        <f t="shared" si="1211"/>
        <v>3</v>
      </c>
      <c r="M2108" s="10" t="str">
        <f t="shared" si="1211"/>
        <v>FLAG</v>
      </c>
      <c r="N2108" s="10" t="str">
        <f t="shared" si="2"/>
        <v>65-1114(a)(1) - Nurse Practice Act; Practice or to offer to practice professional nursing in this state without license; 1st violation</v>
      </c>
      <c r="O2108" s="10" t="str">
        <f t="shared" si="3"/>
        <v>Nurse Practice Act</v>
      </c>
    </row>
    <row r="2109">
      <c r="A2109" s="7" t="s">
        <v>3737</v>
      </c>
      <c r="B2109" s="8" t="s">
        <v>3736</v>
      </c>
      <c r="C2109" s="8" t="s">
        <v>27</v>
      </c>
      <c r="D2109" s="8" t="s">
        <v>28</v>
      </c>
      <c r="E2109" s="8" t="s">
        <v>19</v>
      </c>
      <c r="F2109" s="8" t="s">
        <v>20</v>
      </c>
      <c r="G2109" s="8" t="s">
        <v>21</v>
      </c>
      <c r="H2109" s="9"/>
      <c r="I2109" s="9"/>
      <c r="J2109" s="10">
        <f t="shared" ref="J2109:M2109" si="1212">ifs(OR($H2109="R",$I2109="N"),"N/A",OR(C2109="A",C2109="B",C2109="C",C2109="U"),3,TRUE,"FLAG")</f>
        <v>3</v>
      </c>
      <c r="K2109" s="10">
        <f t="shared" si="1212"/>
        <v>3</v>
      </c>
      <c r="L2109" s="10">
        <f t="shared" si="1212"/>
        <v>3</v>
      </c>
      <c r="M2109" s="10" t="str">
        <f t="shared" si="1212"/>
        <v>FLAG</v>
      </c>
      <c r="N2109" s="10" t="str">
        <f t="shared" si="2"/>
        <v>65-1114(a)(1) - Nurse Practice Act; Practice or to offer to practice professional nursing in this state without license; 2nd or subs. violation</v>
      </c>
      <c r="O2109" s="10" t="str">
        <f t="shared" si="3"/>
        <v>Nurse Practice Act</v>
      </c>
    </row>
    <row r="2110">
      <c r="A2110" s="7" t="s">
        <v>3738</v>
      </c>
      <c r="B2110" s="8" t="s">
        <v>3739</v>
      </c>
      <c r="C2110" s="8" t="s">
        <v>28</v>
      </c>
      <c r="D2110" s="8" t="s">
        <v>19</v>
      </c>
      <c r="E2110" s="8" t="s">
        <v>19</v>
      </c>
      <c r="F2110" s="8" t="s">
        <v>20</v>
      </c>
      <c r="G2110" s="8" t="s">
        <v>21</v>
      </c>
      <c r="H2110" s="9"/>
      <c r="I2110" s="9"/>
      <c r="J2110" s="10">
        <f t="shared" ref="J2110:M2110" si="1213">ifs(OR($H2110="R",$I2110="N"),"N/A",OR(C2110="A",C2110="B",C2110="C",C2110="U"),3,TRUE,"FLAG")</f>
        <v>3</v>
      </c>
      <c r="K2110" s="10">
        <f t="shared" si="1213"/>
        <v>3</v>
      </c>
      <c r="L2110" s="10">
        <f t="shared" si="1213"/>
        <v>3</v>
      </c>
      <c r="M2110" s="10" t="str">
        <f t="shared" si="1213"/>
        <v>FLAG</v>
      </c>
      <c r="N2110" s="10" t="str">
        <f t="shared" si="2"/>
        <v>65-1122(d) - Nurse Practice Act; Practice professional nursing, practical nursing or as an advanced registered nurse practitioner while license or certificate has expired or has been suspended or revoked; 1st violation</v>
      </c>
      <c r="O2110" s="10" t="str">
        <f t="shared" si="3"/>
        <v>Nurse Practice Act</v>
      </c>
    </row>
    <row r="2111">
      <c r="A2111" s="7" t="s">
        <v>3740</v>
      </c>
      <c r="B2111" s="8" t="s">
        <v>3739</v>
      </c>
      <c r="C2111" s="8" t="s">
        <v>27</v>
      </c>
      <c r="D2111" s="8" t="s">
        <v>28</v>
      </c>
      <c r="E2111" s="8" t="s">
        <v>19</v>
      </c>
      <c r="F2111" s="8" t="s">
        <v>20</v>
      </c>
      <c r="G2111" s="8" t="s">
        <v>21</v>
      </c>
      <c r="H2111" s="9"/>
      <c r="I2111" s="9"/>
      <c r="J2111" s="10">
        <f t="shared" ref="J2111:M2111" si="1214">ifs(OR($H2111="R",$I2111="N"),"N/A",OR(C2111="A",C2111="B",C2111="C",C2111="U"),3,TRUE,"FLAG")</f>
        <v>3</v>
      </c>
      <c r="K2111" s="10">
        <f t="shared" si="1214"/>
        <v>3</v>
      </c>
      <c r="L2111" s="10">
        <f t="shared" si="1214"/>
        <v>3</v>
      </c>
      <c r="M2111" s="10" t="str">
        <f t="shared" si="1214"/>
        <v>FLAG</v>
      </c>
      <c r="N2111" s="10" t="str">
        <f t="shared" si="2"/>
        <v>65-1122(d) - Nurse Practice Act; Practice professional nursing, practical nursing or as an advanced registered nurse practitioner while license or certificate has expired or has been suspended or revoked; 2nd or subs. violation</v>
      </c>
      <c r="O2111" s="10" t="str">
        <f t="shared" si="3"/>
        <v>Nurse Practice Act</v>
      </c>
    </row>
    <row r="2112">
      <c r="A2112" s="7" t="s">
        <v>3741</v>
      </c>
      <c r="B2112" s="8" t="s">
        <v>3742</v>
      </c>
      <c r="C2112" s="8" t="s">
        <v>28</v>
      </c>
      <c r="D2112" s="8" t="s">
        <v>19</v>
      </c>
      <c r="E2112" s="8" t="s">
        <v>19</v>
      </c>
      <c r="F2112" s="8" t="s">
        <v>20</v>
      </c>
      <c r="G2112" s="8" t="s">
        <v>21</v>
      </c>
      <c r="H2112" s="9"/>
      <c r="I2112" s="9"/>
      <c r="J2112" s="10">
        <f t="shared" ref="J2112:M2112" si="1215">ifs(OR($H2112="R",$I2112="N"),"N/A",OR(C2112="A",C2112="B",C2112="C",C2112="U"),3,TRUE,"FLAG")</f>
        <v>3</v>
      </c>
      <c r="K2112" s="10">
        <f t="shared" si="1215"/>
        <v>3</v>
      </c>
      <c r="L2112" s="10">
        <f t="shared" si="1215"/>
        <v>3</v>
      </c>
      <c r="M2112" s="10" t="str">
        <f t="shared" si="1215"/>
        <v>FLAG</v>
      </c>
      <c r="N2112" s="10" t="str">
        <f t="shared" si="2"/>
        <v>65-1122(b) - Nurse Practice Act; Practice professional nursing, practical nursing or practice as an advanced registered nurse practitioner, without being so licensed or certified; 1st violation</v>
      </c>
      <c r="O2112" s="10" t="str">
        <f t="shared" si="3"/>
        <v>Nurse Practice Act</v>
      </c>
    </row>
    <row r="2113">
      <c r="A2113" s="7" t="s">
        <v>3743</v>
      </c>
      <c r="B2113" s="8" t="s">
        <v>3742</v>
      </c>
      <c r="C2113" s="8" t="s">
        <v>27</v>
      </c>
      <c r="D2113" s="8" t="s">
        <v>28</v>
      </c>
      <c r="E2113" s="8" t="s">
        <v>19</v>
      </c>
      <c r="F2113" s="8" t="s">
        <v>20</v>
      </c>
      <c r="G2113" s="8" t="s">
        <v>21</v>
      </c>
      <c r="H2113" s="9"/>
      <c r="I2113" s="9"/>
      <c r="J2113" s="10">
        <f t="shared" ref="J2113:M2113" si="1216">ifs(OR($H2113="R",$I2113="N"),"N/A",OR(C2113="A",C2113="B",C2113="C",C2113="U"),3,TRUE,"FLAG")</f>
        <v>3</v>
      </c>
      <c r="K2113" s="10">
        <f t="shared" si="1216"/>
        <v>3</v>
      </c>
      <c r="L2113" s="10">
        <f t="shared" si="1216"/>
        <v>3</v>
      </c>
      <c r="M2113" s="10" t="str">
        <f t="shared" si="1216"/>
        <v>FLAG</v>
      </c>
      <c r="N2113" s="10" t="str">
        <f t="shared" si="2"/>
        <v>65-1122(b) - Nurse Practice Act; Practice professional nursing, practical nursing or practice as an advanced registered nurse practitioner, without being so licensed or certified; 2nd or subs. violation</v>
      </c>
      <c r="O2113" s="10" t="str">
        <f t="shared" si="3"/>
        <v>Nurse Practice Act</v>
      </c>
    </row>
    <row r="2114">
      <c r="A2114" s="7" t="s">
        <v>3744</v>
      </c>
      <c r="B2114" s="8" t="s">
        <v>3745</v>
      </c>
      <c r="C2114" s="8" t="s">
        <v>28</v>
      </c>
      <c r="D2114" s="8" t="s">
        <v>19</v>
      </c>
      <c r="E2114" s="8" t="s">
        <v>19</v>
      </c>
      <c r="F2114" s="8" t="s">
        <v>20</v>
      </c>
      <c r="G2114" s="8" t="s">
        <v>21</v>
      </c>
      <c r="H2114" s="9"/>
      <c r="I2114" s="9"/>
      <c r="J2114" s="10">
        <f t="shared" ref="J2114:M2114" si="1217">ifs(OR($H2114="R",$I2114="N"),"N/A",OR(C2114="A",C2114="B",C2114="C",C2114="U"),3,TRUE,"FLAG")</f>
        <v>3</v>
      </c>
      <c r="K2114" s="10">
        <f t="shared" si="1217"/>
        <v>3</v>
      </c>
      <c r="L2114" s="10">
        <f t="shared" si="1217"/>
        <v>3</v>
      </c>
      <c r="M2114" s="10" t="str">
        <f t="shared" si="1217"/>
        <v>FLAG</v>
      </c>
      <c r="N2114" s="10" t="str">
        <f t="shared" si="2"/>
        <v>65-1122(g) - Nurse Practice Act; Represent that a provider of continuing nursing education is approved by the board for educating either professional nurses or practical nurses, without being so approved; 1st violation</v>
      </c>
      <c r="O2114" s="10" t="str">
        <f t="shared" si="3"/>
        <v>Nurse Practice Act</v>
      </c>
    </row>
    <row r="2115">
      <c r="A2115" s="7" t="s">
        <v>3746</v>
      </c>
      <c r="B2115" s="8" t="s">
        <v>3745</v>
      </c>
      <c r="C2115" s="8" t="s">
        <v>27</v>
      </c>
      <c r="D2115" s="8" t="s">
        <v>28</v>
      </c>
      <c r="E2115" s="8" t="s">
        <v>19</v>
      </c>
      <c r="F2115" s="8" t="s">
        <v>20</v>
      </c>
      <c r="G2115" s="8" t="s">
        <v>21</v>
      </c>
      <c r="H2115" s="9"/>
      <c r="I2115" s="9"/>
      <c r="J2115" s="10">
        <f t="shared" ref="J2115:M2115" si="1218">ifs(OR($H2115="R",$I2115="N"),"N/A",OR(C2115="A",C2115="B",C2115="C",C2115="U"),3,TRUE,"FLAG")</f>
        <v>3</v>
      </c>
      <c r="K2115" s="10">
        <f t="shared" si="1218"/>
        <v>3</v>
      </c>
      <c r="L2115" s="10">
        <f t="shared" si="1218"/>
        <v>3</v>
      </c>
      <c r="M2115" s="10" t="str">
        <f t="shared" si="1218"/>
        <v>FLAG</v>
      </c>
      <c r="N2115" s="10" t="str">
        <f t="shared" si="2"/>
        <v>65-1122(g) - Nurse Practice Act; Represent that a provider of continuing nursing education is approved by the board for educating either professional nurses or practical nurses, without being so approved; 2nd or subs. violation</v>
      </c>
      <c r="O2115" s="10" t="str">
        <f t="shared" si="3"/>
        <v>Nurse Practice Act</v>
      </c>
    </row>
    <row r="2116">
      <c r="A2116" s="7" t="s">
        <v>3747</v>
      </c>
      <c r="B2116" s="8" t="s">
        <v>3748</v>
      </c>
      <c r="C2116" s="8" t="s">
        <v>28</v>
      </c>
      <c r="D2116" s="8" t="s">
        <v>19</v>
      </c>
      <c r="E2116" s="8" t="s">
        <v>19</v>
      </c>
      <c r="F2116" s="8" t="s">
        <v>20</v>
      </c>
      <c r="G2116" s="8" t="s">
        <v>21</v>
      </c>
      <c r="H2116" s="9"/>
      <c r="I2116" s="9"/>
      <c r="J2116" s="10">
        <f t="shared" ref="J2116:M2116" si="1219">ifs(OR($H2116="R",$I2116="N"),"N/A",OR(C2116="A",C2116="B",C2116="C",C2116="U"),3,TRUE,"FLAG")</f>
        <v>3</v>
      </c>
      <c r="K2116" s="10">
        <f t="shared" si="1219"/>
        <v>3</v>
      </c>
      <c r="L2116" s="10">
        <f t="shared" si="1219"/>
        <v>3</v>
      </c>
      <c r="M2116" s="10" t="str">
        <f t="shared" si="1219"/>
        <v>FLAG</v>
      </c>
      <c r="N2116" s="10" t="str">
        <f t="shared" si="2"/>
        <v>65-1122(e) - Nurse Practice Act; Represent that a school for nursing is approved for educating either professional nurses or practical nurses, without being so approved; 1st violation</v>
      </c>
      <c r="O2116" s="10" t="str">
        <f t="shared" si="3"/>
        <v>Nurse Practice Act</v>
      </c>
    </row>
    <row r="2117">
      <c r="A2117" s="7" t="s">
        <v>3749</v>
      </c>
      <c r="B2117" s="8" t="s">
        <v>3748</v>
      </c>
      <c r="C2117" s="8" t="s">
        <v>27</v>
      </c>
      <c r="D2117" s="8" t="s">
        <v>28</v>
      </c>
      <c r="E2117" s="8" t="s">
        <v>19</v>
      </c>
      <c r="F2117" s="8" t="s">
        <v>20</v>
      </c>
      <c r="G2117" s="8" t="s">
        <v>21</v>
      </c>
      <c r="H2117" s="9"/>
      <c r="I2117" s="9"/>
      <c r="J2117" s="10">
        <f t="shared" ref="J2117:M2117" si="1220">ifs(OR($H2117="R",$I2117="N"),"N/A",OR(C2117="A",C2117="B",C2117="C",C2117="U"),3,TRUE,"FLAG")</f>
        <v>3</v>
      </c>
      <c r="K2117" s="10">
        <f t="shared" si="1220"/>
        <v>3</v>
      </c>
      <c r="L2117" s="10">
        <f t="shared" si="1220"/>
        <v>3</v>
      </c>
      <c r="M2117" s="10" t="str">
        <f t="shared" si="1220"/>
        <v>FLAG</v>
      </c>
      <c r="N2117" s="10" t="str">
        <f t="shared" si="2"/>
        <v>65-1122(e) - Nurse Practice Act; Represent that a school for nursing is approved for educating either professional nurses or practical nurses, without being so approved; 2nd or subs. violation</v>
      </c>
      <c r="O2117" s="10" t="str">
        <f t="shared" si="3"/>
        <v>Nurse Practice Act</v>
      </c>
    </row>
    <row r="2118">
      <c r="A2118" s="7" t="s">
        <v>3750</v>
      </c>
      <c r="B2118" s="8" t="s">
        <v>3751</v>
      </c>
      <c r="C2118" s="8" t="s">
        <v>28</v>
      </c>
      <c r="D2118" s="8" t="s">
        <v>19</v>
      </c>
      <c r="E2118" s="8" t="s">
        <v>19</v>
      </c>
      <c r="F2118" s="8" t="s">
        <v>20</v>
      </c>
      <c r="G2118" s="8" t="s">
        <v>21</v>
      </c>
      <c r="H2118" s="9"/>
      <c r="I2118" s="9"/>
      <c r="J2118" s="10">
        <f t="shared" ref="J2118:M2118" si="1221">ifs(OR($H2118="R",$I2118="N"),"N/A",OR(C2118="A",C2118="B",C2118="C",C2118="U"),3,TRUE,"FLAG")</f>
        <v>3</v>
      </c>
      <c r="K2118" s="10">
        <f t="shared" si="1221"/>
        <v>3</v>
      </c>
      <c r="L2118" s="10">
        <f t="shared" si="1221"/>
        <v>3</v>
      </c>
      <c r="M2118" s="10" t="str">
        <f t="shared" si="1221"/>
        <v>FLAG</v>
      </c>
      <c r="N2118" s="10" t="str">
        <f t="shared" si="2"/>
        <v>65-1122(a) - Nurse Practice Act; Sell or fraudulently obtain or furnish any nursing diploma, license, record or certificate of qualification; aid and abet such activities; 1st violation</v>
      </c>
      <c r="O2118" s="10" t="str">
        <f t="shared" si="3"/>
        <v>Nurse Practice Act</v>
      </c>
    </row>
    <row r="2119">
      <c r="A2119" s="7" t="s">
        <v>3752</v>
      </c>
      <c r="B2119" s="8" t="s">
        <v>3751</v>
      </c>
      <c r="C2119" s="8" t="s">
        <v>27</v>
      </c>
      <c r="D2119" s="8" t="s">
        <v>28</v>
      </c>
      <c r="E2119" s="8" t="s">
        <v>19</v>
      </c>
      <c r="F2119" s="8" t="s">
        <v>20</v>
      </c>
      <c r="G2119" s="8" t="s">
        <v>21</v>
      </c>
      <c r="H2119" s="9"/>
      <c r="I2119" s="9"/>
      <c r="J2119" s="10">
        <f t="shared" ref="J2119:M2119" si="1222">ifs(OR($H2119="R",$I2119="N"),"N/A",OR(C2119="A",C2119="B",C2119="C",C2119="U"),3,TRUE,"FLAG")</f>
        <v>3</v>
      </c>
      <c r="K2119" s="10">
        <f t="shared" si="1222"/>
        <v>3</v>
      </c>
      <c r="L2119" s="10">
        <f t="shared" si="1222"/>
        <v>3</v>
      </c>
      <c r="M2119" s="10" t="str">
        <f t="shared" si="1222"/>
        <v>FLAG</v>
      </c>
      <c r="N2119" s="10" t="str">
        <f t="shared" si="2"/>
        <v>65-1122(a) - Nurse Practice Act; Sell or fraudulently obtain or furnish any nursing diploma, license, record or certificate of qualification; aid and abet such activities; 2nd or subs. violation</v>
      </c>
      <c r="O2119" s="10" t="str">
        <f t="shared" si="3"/>
        <v>Nurse Practice Act</v>
      </c>
    </row>
    <row r="2120">
      <c r="A2120" s="7" t="s">
        <v>3753</v>
      </c>
      <c r="B2120" s="8" t="s">
        <v>3754</v>
      </c>
      <c r="C2120" s="8" t="s">
        <v>28</v>
      </c>
      <c r="D2120" s="8" t="s">
        <v>19</v>
      </c>
      <c r="E2120" s="8" t="s">
        <v>19</v>
      </c>
      <c r="F2120" s="8" t="s">
        <v>20</v>
      </c>
      <c r="G2120" s="8" t="s">
        <v>21</v>
      </c>
      <c r="H2120" s="9"/>
      <c r="I2120" s="9"/>
      <c r="J2120" s="10">
        <f t="shared" ref="J2120:M2120" si="1223">ifs(OR($H2120="R",$I2120="N"),"N/A",OR(C2120="A",C2120="B",C2120="C",C2120="U"),3,TRUE,"FLAG")</f>
        <v>3</v>
      </c>
      <c r="K2120" s="10">
        <f t="shared" si="1223"/>
        <v>3</v>
      </c>
      <c r="L2120" s="10">
        <f t="shared" si="1223"/>
        <v>3</v>
      </c>
      <c r="M2120" s="10" t="str">
        <f t="shared" si="1223"/>
        <v>FLAG</v>
      </c>
      <c r="N2120" s="10" t="str">
        <f t="shared" si="2"/>
        <v>65-1114(a)(4) - Nurse Practice Act; Use any title, abbreviation, letters, figures, sign, card or device to indicate that any person is a licensed practical nurse without being so licensed; 1st violation</v>
      </c>
      <c r="O2120" s="10" t="str">
        <f t="shared" si="3"/>
        <v>Nurse Practice Act</v>
      </c>
    </row>
    <row r="2121">
      <c r="A2121" s="7" t="s">
        <v>3755</v>
      </c>
      <c r="B2121" s="8" t="s">
        <v>3754</v>
      </c>
      <c r="C2121" s="8" t="s">
        <v>27</v>
      </c>
      <c r="D2121" s="8" t="s">
        <v>28</v>
      </c>
      <c r="E2121" s="8" t="s">
        <v>19</v>
      </c>
      <c r="F2121" s="8" t="s">
        <v>20</v>
      </c>
      <c r="G2121" s="8" t="s">
        <v>21</v>
      </c>
      <c r="H2121" s="9"/>
      <c r="I2121" s="9"/>
      <c r="J2121" s="10">
        <f t="shared" ref="J2121:M2121" si="1224">ifs(OR($H2121="R",$I2121="N"),"N/A",OR(C2121="A",C2121="B",C2121="C",C2121="U"),3,TRUE,"FLAG")</f>
        <v>3</v>
      </c>
      <c r="K2121" s="10">
        <f t="shared" si="1224"/>
        <v>3</v>
      </c>
      <c r="L2121" s="10">
        <f t="shared" si="1224"/>
        <v>3</v>
      </c>
      <c r="M2121" s="10" t="str">
        <f t="shared" si="1224"/>
        <v>FLAG</v>
      </c>
      <c r="N2121" s="10" t="str">
        <f t="shared" si="2"/>
        <v>65-1114(a)(4) - Nurse Practice Act; Use any title, abbreviation, letters, figures, sign, card or device to indicate that any person is a licensed practical nurse without being so licensed; 2nd or subs. violation</v>
      </c>
      <c r="O2121" s="10" t="str">
        <f t="shared" si="3"/>
        <v>Nurse Practice Act</v>
      </c>
    </row>
    <row r="2122">
      <c r="A2122" s="7" t="s">
        <v>3756</v>
      </c>
      <c r="B2122" s="8" t="s">
        <v>3757</v>
      </c>
      <c r="C2122" s="8" t="s">
        <v>28</v>
      </c>
      <c r="D2122" s="8" t="s">
        <v>19</v>
      </c>
      <c r="E2122" s="8" t="s">
        <v>19</v>
      </c>
      <c r="F2122" s="8" t="s">
        <v>20</v>
      </c>
      <c r="G2122" s="8" t="s">
        <v>21</v>
      </c>
      <c r="H2122" s="9"/>
      <c r="I2122" s="9"/>
      <c r="J2122" s="10">
        <f t="shared" ref="J2122:M2122" si="1225">ifs(OR($H2122="R",$I2122="N"),"N/A",OR(C2122="A",C2122="B",C2122="C",C2122="U"),3,TRUE,"FLAG")</f>
        <v>3</v>
      </c>
      <c r="K2122" s="10">
        <f t="shared" si="1225"/>
        <v>3</v>
      </c>
      <c r="L2122" s="10">
        <f t="shared" si="1225"/>
        <v>3</v>
      </c>
      <c r="M2122" s="10" t="str">
        <f t="shared" si="1225"/>
        <v>FLAG</v>
      </c>
      <c r="N2122" s="10" t="str">
        <f t="shared" si="2"/>
        <v>65-1114(a)(2) - Nurse Practice Act; Use any title, abbreviation, letters, figures, sign, card or device to indicate that any person is a registered professional nurse without such license; 1st violation</v>
      </c>
      <c r="O2122" s="10" t="str">
        <f t="shared" si="3"/>
        <v>Nurse Practice Act</v>
      </c>
    </row>
    <row r="2123">
      <c r="A2123" s="7" t="s">
        <v>3758</v>
      </c>
      <c r="B2123" s="8" t="s">
        <v>3757</v>
      </c>
      <c r="C2123" s="8" t="s">
        <v>27</v>
      </c>
      <c r="D2123" s="8" t="s">
        <v>28</v>
      </c>
      <c r="E2123" s="8" t="s">
        <v>19</v>
      </c>
      <c r="F2123" s="8" t="s">
        <v>20</v>
      </c>
      <c r="G2123" s="8" t="s">
        <v>21</v>
      </c>
      <c r="H2123" s="9"/>
      <c r="I2123" s="9"/>
      <c r="J2123" s="10">
        <f t="shared" ref="J2123:M2123" si="1226">ifs(OR($H2123="R",$I2123="N"),"N/A",OR(C2123="A",C2123="B",C2123="C",C2123="U"),3,TRUE,"FLAG")</f>
        <v>3</v>
      </c>
      <c r="K2123" s="10">
        <f t="shared" si="1226"/>
        <v>3</v>
      </c>
      <c r="L2123" s="10">
        <f t="shared" si="1226"/>
        <v>3</v>
      </c>
      <c r="M2123" s="10" t="str">
        <f t="shared" si="1226"/>
        <v>FLAG</v>
      </c>
      <c r="N2123" s="10" t="str">
        <f t="shared" si="2"/>
        <v>65-1114(a)(2) - Nurse Practice Act; Use any title, abbreviation, letters, figures, sign, card or device to indicate that any person is a registered professional nurse without such license; 2nd or subs. violation</v>
      </c>
      <c r="O2123" s="10" t="str">
        <f t="shared" si="3"/>
        <v>Nurse Practice Act</v>
      </c>
    </row>
    <row r="2124">
      <c r="A2124" s="7" t="s">
        <v>3759</v>
      </c>
      <c r="B2124" s="8" t="s">
        <v>3760</v>
      </c>
      <c r="C2124" s="8" t="s">
        <v>28</v>
      </c>
      <c r="D2124" s="8" t="s">
        <v>19</v>
      </c>
      <c r="E2124" s="8" t="s">
        <v>19</v>
      </c>
      <c r="F2124" s="8" t="s">
        <v>20</v>
      </c>
      <c r="G2124" s="8" t="s">
        <v>21</v>
      </c>
      <c r="H2124" s="9"/>
      <c r="I2124" s="9"/>
      <c r="J2124" s="10">
        <f t="shared" ref="J2124:M2124" si="1227">ifs(OR($H2124="R",$I2124="N"),"N/A",OR(C2124="A",C2124="B",C2124="C",C2124="U"),3,TRUE,"FLAG")</f>
        <v>3</v>
      </c>
      <c r="K2124" s="10">
        <f t="shared" si="1227"/>
        <v>3</v>
      </c>
      <c r="L2124" s="10">
        <f t="shared" si="1227"/>
        <v>3</v>
      </c>
      <c r="M2124" s="10" t="str">
        <f t="shared" si="1227"/>
        <v>FLAG</v>
      </c>
      <c r="N2124" s="10" t="str">
        <f t="shared" si="2"/>
        <v>65-1114(b)(2) - Nurse Practice Act; Use any title, abbreviation, letters, figures, sign, card or device to indicate that any person is an advanced registered nurse practitioner without being so certified; 1st violation</v>
      </c>
      <c r="O2124" s="10" t="str">
        <f t="shared" si="3"/>
        <v>Nurse Practice Act</v>
      </c>
    </row>
    <row r="2125">
      <c r="A2125" s="7" t="s">
        <v>3761</v>
      </c>
      <c r="B2125" s="8" t="s">
        <v>3760</v>
      </c>
      <c r="C2125" s="8" t="s">
        <v>27</v>
      </c>
      <c r="D2125" s="8" t="s">
        <v>28</v>
      </c>
      <c r="E2125" s="8" t="s">
        <v>19</v>
      </c>
      <c r="F2125" s="8" t="s">
        <v>20</v>
      </c>
      <c r="G2125" s="8" t="s">
        <v>21</v>
      </c>
      <c r="H2125" s="9"/>
      <c r="I2125" s="9"/>
      <c r="J2125" s="10">
        <f t="shared" ref="J2125:M2125" si="1228">ifs(OR($H2125="R",$I2125="N"),"N/A",OR(C2125="A",C2125="B",C2125="C",C2125="U"),3,TRUE,"FLAG")</f>
        <v>3</v>
      </c>
      <c r="K2125" s="10">
        <f t="shared" si="1228"/>
        <v>3</v>
      </c>
      <c r="L2125" s="10">
        <f t="shared" si="1228"/>
        <v>3</v>
      </c>
      <c r="M2125" s="10" t="str">
        <f t="shared" si="1228"/>
        <v>FLAG</v>
      </c>
      <c r="N2125" s="10" t="str">
        <f t="shared" si="2"/>
        <v>65-1114(b)(2) - Nurse Practice Act; Use any title, abbreviation, letters, figures, sign, card or device to indicate that any person is an advanced registered nurse practitioner without being so certified; 2nd or subs. violation</v>
      </c>
      <c r="O2125" s="10" t="str">
        <f t="shared" si="3"/>
        <v>Nurse Practice Act</v>
      </c>
    </row>
    <row r="2126">
      <c r="A2126" s="7" t="s">
        <v>3762</v>
      </c>
      <c r="B2126" s="8" t="s">
        <v>3763</v>
      </c>
      <c r="C2126" s="8" t="s">
        <v>28</v>
      </c>
      <c r="D2126" s="8" t="s">
        <v>19</v>
      </c>
      <c r="E2126" s="8" t="s">
        <v>19</v>
      </c>
      <c r="F2126" s="8" t="s">
        <v>20</v>
      </c>
      <c r="G2126" s="8" t="s">
        <v>21</v>
      </c>
      <c r="H2126" s="9"/>
      <c r="I2126" s="9"/>
      <c r="J2126" s="10">
        <f t="shared" ref="J2126:M2126" si="1229">ifs(OR($H2126="R",$I2126="N"),"N/A",OR(C2126="A",C2126="B",C2126="C",C2126="U"),3,TRUE,"FLAG")</f>
        <v>3</v>
      </c>
      <c r="K2126" s="10">
        <f t="shared" si="1229"/>
        <v>3</v>
      </c>
      <c r="L2126" s="10">
        <f t="shared" si="1229"/>
        <v>3</v>
      </c>
      <c r="M2126" s="10" t="str">
        <f t="shared" si="1229"/>
        <v>FLAG</v>
      </c>
      <c r="N2126" s="10" t="str">
        <f t="shared" si="2"/>
        <v>65-1122(c) - Nurse Practice Act; Use designation implying that such person is a licensed professional nurse, a licensed practical nurse or an advanced registered nurse practitioner unless so licensed or certified; 1st violation</v>
      </c>
      <c r="O2126" s="10" t="str">
        <f t="shared" si="3"/>
        <v>Nurse Practice Act</v>
      </c>
    </row>
    <row r="2127">
      <c r="A2127" s="7" t="s">
        <v>3764</v>
      </c>
      <c r="B2127" s="8" t="s">
        <v>3763</v>
      </c>
      <c r="C2127" s="8" t="s">
        <v>27</v>
      </c>
      <c r="D2127" s="8" t="s">
        <v>28</v>
      </c>
      <c r="E2127" s="8" t="s">
        <v>19</v>
      </c>
      <c r="F2127" s="8" t="s">
        <v>20</v>
      </c>
      <c r="G2127" s="8" t="s">
        <v>21</v>
      </c>
      <c r="H2127" s="9"/>
      <c r="I2127" s="9"/>
      <c r="J2127" s="10">
        <f t="shared" ref="J2127:M2127" si="1230">ifs(OR($H2127="R",$I2127="N"),"N/A",OR(C2127="A",C2127="B",C2127="C",C2127="U"),3,TRUE,"FLAG")</f>
        <v>3</v>
      </c>
      <c r="K2127" s="10">
        <f t="shared" si="1230"/>
        <v>3</v>
      </c>
      <c r="L2127" s="10">
        <f t="shared" si="1230"/>
        <v>3</v>
      </c>
      <c r="M2127" s="10" t="str">
        <f t="shared" si="1230"/>
        <v>FLAG</v>
      </c>
      <c r="N2127" s="10" t="str">
        <f t="shared" si="2"/>
        <v>65-1122(c) - Nurse Practice Act; Use designation implying that such person is a licensed professional nurse, a licensed practical nurse or an advanced registered nurse practitioner unless so licensed or certified; 2nd or subs. violation</v>
      </c>
      <c r="O2127" s="10" t="str">
        <f t="shared" si="3"/>
        <v>Nurse Practice Act</v>
      </c>
    </row>
    <row r="2128">
      <c r="A2128" s="7" t="s">
        <v>3765</v>
      </c>
      <c r="B2128" s="8" t="s">
        <v>3766</v>
      </c>
      <c r="C2128" s="8" t="s">
        <v>27</v>
      </c>
      <c r="D2128" s="8" t="s">
        <v>28</v>
      </c>
      <c r="E2128" s="8" t="s">
        <v>19</v>
      </c>
      <c r="F2128" s="8" t="s">
        <v>20</v>
      </c>
      <c r="G2128" s="8" t="s">
        <v>21</v>
      </c>
      <c r="H2128" s="9"/>
      <c r="I2128" s="9"/>
      <c r="J2128" s="10">
        <f t="shared" ref="J2128:M2128" si="1231">ifs(OR($H2128="R",$I2128="N"),"N/A",OR(C2128="A",C2128="B",C2128="C",C2128="U"),3,TRUE,"FLAG")</f>
        <v>3</v>
      </c>
      <c r="K2128" s="10">
        <f t="shared" si="1231"/>
        <v>3</v>
      </c>
      <c r="L2128" s="10">
        <f t="shared" si="1231"/>
        <v>3</v>
      </c>
      <c r="M2128" s="10" t="str">
        <f t="shared" si="1231"/>
        <v>FLAG</v>
      </c>
      <c r="N2128" s="10" t="str">
        <f t="shared" si="2"/>
        <v>65-1162(b)(3) - Nurse Practice Act; Use the title registered nurse anesthetist, the abbreviation R.N.A., or any other designation tending to imply that such person is authorized by the board to practice as a registered nurse anesthetist when such person is not so authorized; 2nd or subs. violation</v>
      </c>
      <c r="O2128" s="10" t="str">
        <f t="shared" si="3"/>
        <v>Nurse Practice Act</v>
      </c>
    </row>
    <row r="2129">
      <c r="A2129" s="7" t="s">
        <v>3767</v>
      </c>
      <c r="B2129" s="8" t="s">
        <v>3766</v>
      </c>
      <c r="C2129" s="8" t="s">
        <v>28</v>
      </c>
      <c r="D2129" s="8" t="s">
        <v>19</v>
      </c>
      <c r="E2129" s="8" t="s">
        <v>19</v>
      </c>
      <c r="F2129" s="8" t="s">
        <v>20</v>
      </c>
      <c r="G2129" s="8" t="s">
        <v>21</v>
      </c>
      <c r="H2129" s="9"/>
      <c r="I2129" s="9"/>
      <c r="J2129" s="10">
        <f t="shared" ref="J2129:M2129" si="1232">ifs(OR($H2129="R",$I2129="N"),"N/A",OR(C2129="A",C2129="B",C2129="C",C2129="U"),3,TRUE,"FLAG")</f>
        <v>3</v>
      </c>
      <c r="K2129" s="10">
        <f t="shared" si="1232"/>
        <v>3</v>
      </c>
      <c r="L2129" s="10">
        <f t="shared" si="1232"/>
        <v>3</v>
      </c>
      <c r="M2129" s="10" t="str">
        <f t="shared" si="1232"/>
        <v>FLAG</v>
      </c>
      <c r="N2129" s="10" t="str">
        <f t="shared" si="2"/>
        <v>65-1162(b)(3) - Nurse Practice Act; Use the title registered nurse anesthetist, the abbreviation R.N.A., or any other designation tending to imply that such person is authorized by the board to practice as a registered nurse anesthetist when such person is not so authorized; 1st violation</v>
      </c>
      <c r="O2129" s="10" t="str">
        <f t="shared" si="3"/>
        <v>Nurse Practice Act</v>
      </c>
    </row>
    <row r="2130">
      <c r="A2130" s="7" t="s">
        <v>3768</v>
      </c>
      <c r="B2130" s="8" t="s">
        <v>3769</v>
      </c>
      <c r="C2130" s="8" t="s">
        <v>28</v>
      </c>
      <c r="D2130" s="8" t="s">
        <v>19</v>
      </c>
      <c r="E2130" s="8" t="s">
        <v>19</v>
      </c>
      <c r="F2130" s="8" t="s">
        <v>20</v>
      </c>
      <c r="G2130" s="8" t="s">
        <v>21</v>
      </c>
      <c r="H2130" s="9"/>
      <c r="I2130" s="9"/>
      <c r="J2130" s="10">
        <f t="shared" ref="J2130:M2130" si="1233">ifs(OR($H2130="R",$I2130="N"),"N/A",OR(C2130="A",C2130="B",C2130="C",C2130="U"),3,TRUE,"FLAG")</f>
        <v>3</v>
      </c>
      <c r="K2130" s="10">
        <f t="shared" si="1233"/>
        <v>3</v>
      </c>
      <c r="L2130" s="10">
        <f t="shared" si="1233"/>
        <v>3</v>
      </c>
      <c r="M2130" s="10" t="str">
        <f t="shared" si="1233"/>
        <v>FLAG</v>
      </c>
      <c r="N2130" s="10" t="str">
        <f t="shared" si="2"/>
        <v>65-1122(f) - Nurse Practice Act; Violate any provisions of the Kansas nurse practice act or rules and regulations adopted pursuant to that act; 1st violation</v>
      </c>
      <c r="O2130" s="10" t="str">
        <f t="shared" si="3"/>
        <v>Nurse Practice Act</v>
      </c>
    </row>
    <row r="2131">
      <c r="A2131" s="7" t="s">
        <v>3770</v>
      </c>
      <c r="B2131" s="8" t="s">
        <v>3769</v>
      </c>
      <c r="C2131" s="8" t="s">
        <v>27</v>
      </c>
      <c r="D2131" s="8" t="s">
        <v>28</v>
      </c>
      <c r="E2131" s="8" t="s">
        <v>19</v>
      </c>
      <c r="F2131" s="8" t="s">
        <v>20</v>
      </c>
      <c r="G2131" s="8" t="s">
        <v>21</v>
      </c>
      <c r="H2131" s="9"/>
      <c r="I2131" s="9"/>
      <c r="J2131" s="10">
        <f t="shared" ref="J2131:M2131" si="1234">ifs(OR($H2131="R",$I2131="N"),"N/A",OR(C2131="A",C2131="B",C2131="C",C2131="U"),3,TRUE,"FLAG")</f>
        <v>3</v>
      </c>
      <c r="K2131" s="10">
        <f t="shared" si="1234"/>
        <v>3</v>
      </c>
      <c r="L2131" s="10">
        <f t="shared" si="1234"/>
        <v>3</v>
      </c>
      <c r="M2131" s="10" t="str">
        <f t="shared" si="1234"/>
        <v>FLAG</v>
      </c>
      <c r="N2131" s="10" t="str">
        <f t="shared" si="2"/>
        <v>65-1122(f) - Nurse Practice Act; Violate any provisions of the Kansas nurse practice act or rules and regulations adopted pursuant to that act; 2nd or subs. violation</v>
      </c>
      <c r="O2131" s="10" t="str">
        <f t="shared" si="3"/>
        <v>Nurse Practice Act</v>
      </c>
    </row>
    <row r="2132">
      <c r="A2132" s="7" t="s">
        <v>3771</v>
      </c>
      <c r="B2132" s="8" t="s">
        <v>3772</v>
      </c>
      <c r="C2132" s="8">
        <v>5.0</v>
      </c>
      <c r="D2132" s="8">
        <v>7.0</v>
      </c>
      <c r="E2132" s="8">
        <v>7.0</v>
      </c>
      <c r="F2132" s="8">
        <v>8.0</v>
      </c>
      <c r="G2132" s="8" t="s">
        <v>24</v>
      </c>
      <c r="H2132" s="9"/>
      <c r="I2132" s="9"/>
      <c r="N2132" s="10" t="str">
        <f t="shared" si="2"/>
        <v>21-5913(a)(2) - Obstructing Apprehension or Prosecution; Aiding person required to register under Kansas Offender Registration Act to avoid registration or punishment for failure to comply</v>
      </c>
      <c r="O2132" s="10" t="str">
        <f t="shared" si="3"/>
        <v>Obstructing Apprehension or Prosecution</v>
      </c>
    </row>
    <row r="2133">
      <c r="A2133" s="7" t="s">
        <v>3773</v>
      </c>
      <c r="B2133" s="8" t="s">
        <v>3774</v>
      </c>
      <c r="C2133" s="8">
        <v>8.0</v>
      </c>
      <c r="D2133" s="8">
        <v>10.0</v>
      </c>
      <c r="E2133" s="8">
        <v>10.0</v>
      </c>
      <c r="F2133" s="8">
        <v>10.0</v>
      </c>
      <c r="G2133" s="8" t="s">
        <v>21</v>
      </c>
      <c r="H2133" s="9"/>
      <c r="I2133" s="9"/>
      <c r="N2133" s="10" t="str">
        <f t="shared" si="2"/>
        <v>21-5913(a)(1) - Obstructing Apprehension or Prosecution; Knowingly harbor, conceal or aid any person who has committed or has been charged with committing a felony to avoid or escape from arrest, trial, conviction or punishment for such felony</v>
      </c>
      <c r="O2133" s="10" t="str">
        <f t="shared" si="3"/>
        <v>Obstructing Apprehension or Prosecution</v>
      </c>
    </row>
    <row r="2134">
      <c r="A2134" s="7" t="s">
        <v>3775</v>
      </c>
      <c r="B2134" s="8" t="s">
        <v>3774</v>
      </c>
      <c r="C2134" s="8" t="s">
        <v>19</v>
      </c>
      <c r="D2134" s="8" t="s">
        <v>19</v>
      </c>
      <c r="E2134" s="8" t="s">
        <v>19</v>
      </c>
      <c r="F2134" s="8" t="s">
        <v>20</v>
      </c>
      <c r="G2134" s="8" t="s">
        <v>21</v>
      </c>
      <c r="H2134" s="9"/>
      <c r="I2134" s="9"/>
      <c r="J2134" s="10">
        <f t="shared" ref="J2134:M2134" si="1235">ifs(OR($H2134="R",$I2134="N"),"N/A",OR(C2134="A",C2134="B",C2134="C",C2134="U"),3,TRUE,"FLAG")</f>
        <v>3</v>
      </c>
      <c r="K2134" s="10">
        <f t="shared" si="1235"/>
        <v>3</v>
      </c>
      <c r="L2134" s="10">
        <f t="shared" si="1235"/>
        <v>3</v>
      </c>
      <c r="M2134" s="10" t="str">
        <f t="shared" si="1235"/>
        <v>FLAG</v>
      </c>
      <c r="N2134" s="10" t="str">
        <f t="shared" si="2"/>
        <v>21-5913(a)(1) - Obstructing Apprehension or Prosecution; Knowingly harboring, concealing or aiding a person who has committed or been charged with committing a misdemeanor</v>
      </c>
      <c r="O2134" s="10" t="str">
        <f t="shared" si="3"/>
        <v>Obstructing Apprehension or Prosecution</v>
      </c>
    </row>
    <row r="2135">
      <c r="A2135" s="7" t="s">
        <v>3776</v>
      </c>
      <c r="B2135" s="8" t="s">
        <v>3777</v>
      </c>
      <c r="C2135" s="8">
        <v>9.0</v>
      </c>
      <c r="D2135" s="8">
        <v>10.0</v>
      </c>
      <c r="E2135" s="8">
        <v>10.0</v>
      </c>
      <c r="F2135" s="8">
        <v>10.0</v>
      </c>
      <c r="G2135" s="8" t="s">
        <v>21</v>
      </c>
      <c r="H2135" s="9"/>
      <c r="I2135" s="9"/>
      <c r="N2135" s="10" t="str">
        <f t="shared" si="2"/>
        <v>21-5929(a)(1) - Obstruction of a Medicaid Fraud Investigation; Falsifying, concealing or covering up material fact by any trick, misstatement, scheme or device</v>
      </c>
      <c r="O2135" s="10" t="str">
        <f t="shared" si="3"/>
        <v>Obstruction of a Medicaid Fraud Investigation</v>
      </c>
    </row>
    <row r="2136">
      <c r="A2136" s="7" t="s">
        <v>3778</v>
      </c>
      <c r="B2136" s="8" t="s">
        <v>3779</v>
      </c>
      <c r="C2136" s="8">
        <v>9.0</v>
      </c>
      <c r="D2136" s="8">
        <v>10.0</v>
      </c>
      <c r="E2136" s="8">
        <v>10.0</v>
      </c>
      <c r="F2136" s="8">
        <v>10.0</v>
      </c>
      <c r="G2136" s="8" t="s">
        <v>21</v>
      </c>
      <c r="H2136" s="9"/>
      <c r="I2136" s="9"/>
      <c r="N2136" s="10" t="str">
        <f t="shared" si="2"/>
        <v>21-5929(a)(2) - Obstruction of a Medicaid Fraud Investigation; Knowingly making false writing or document</v>
      </c>
      <c r="O2136" s="10" t="str">
        <f t="shared" si="3"/>
        <v>Obstruction of a Medicaid Fraud Investigation</v>
      </c>
    </row>
    <row r="2137">
      <c r="A2137" s="7" t="s">
        <v>3780</v>
      </c>
      <c r="B2137" s="8" t="s">
        <v>3781</v>
      </c>
      <c r="C2137" s="8">
        <v>9.0</v>
      </c>
      <c r="D2137" s="8">
        <v>10.0</v>
      </c>
      <c r="E2137" s="8">
        <v>10.0</v>
      </c>
      <c r="F2137" s="8">
        <v>10.0</v>
      </c>
      <c r="G2137" s="8" t="s">
        <v>21</v>
      </c>
      <c r="H2137" s="9"/>
      <c r="I2137" s="9"/>
      <c r="N2137" s="10" t="str">
        <f t="shared" si="2"/>
        <v>21-5835(a)(3) - Odometers; Advertise for sale, sell, use or install on any part of a motor vehicle or on any odometer any device which causes the odometer to register other than true mileage</v>
      </c>
      <c r="O2137" s="10" t="str">
        <f t="shared" si="3"/>
        <v>Odometers</v>
      </c>
    </row>
    <row r="2138">
      <c r="A2138" s="7" t="s">
        <v>3782</v>
      </c>
      <c r="B2138" s="8" t="s">
        <v>3783</v>
      </c>
      <c r="C2138" s="8">
        <v>9.0</v>
      </c>
      <c r="D2138" s="8">
        <v>10.0</v>
      </c>
      <c r="E2138" s="8">
        <v>10.0</v>
      </c>
      <c r="F2138" s="8">
        <v>10.0</v>
      </c>
      <c r="G2138" s="8" t="s">
        <v>21</v>
      </c>
      <c r="H2138" s="9"/>
      <c r="I2138" s="9"/>
      <c r="N2138" s="10" t="str">
        <f t="shared" si="2"/>
        <v>21-5835(a)(1) - Odometers; Knowingly tamper with, adjust, alter, change, set back, disconnect or fail to connect the odometer of any motor vehicle in order to reflect lower than true mileage</v>
      </c>
      <c r="O2138" s="10" t="str">
        <f t="shared" si="3"/>
        <v>Odometers</v>
      </c>
    </row>
    <row r="2139">
      <c r="A2139" s="7" t="s">
        <v>3784</v>
      </c>
      <c r="B2139" s="8" t="s">
        <v>3785</v>
      </c>
      <c r="C2139" s="8">
        <v>9.0</v>
      </c>
      <c r="D2139" s="8">
        <v>10.0</v>
      </c>
      <c r="E2139" s="8">
        <v>10.0</v>
      </c>
      <c r="F2139" s="8">
        <v>10.0</v>
      </c>
      <c r="G2139" s="8" t="s">
        <v>21</v>
      </c>
      <c r="H2139" s="9"/>
      <c r="I2139" s="9"/>
      <c r="N2139" s="10" t="str">
        <f t="shared" si="2"/>
        <v>21-5835(a)(2) - Odometers; Operate, with intent to defraud, motor vehicle knowing that the odometer is disconnected or nonfunctional</v>
      </c>
      <c r="O2139" s="10" t="str">
        <f t="shared" si="3"/>
        <v>Odometers</v>
      </c>
    </row>
    <row r="2140">
      <c r="A2140" s="7" t="s">
        <v>3786</v>
      </c>
      <c r="B2140" s="8" t="s">
        <v>3787</v>
      </c>
      <c r="C2140" s="8">
        <v>9.0</v>
      </c>
      <c r="D2140" s="8">
        <v>10.0</v>
      </c>
      <c r="E2140" s="8">
        <v>10.0</v>
      </c>
      <c r="F2140" s="8">
        <v>10.0</v>
      </c>
      <c r="G2140" s="8" t="s">
        <v>21</v>
      </c>
      <c r="H2140" s="9"/>
      <c r="I2140" s="9"/>
      <c r="N2140" s="10" t="str">
        <f t="shared" si="2"/>
        <v>21-5835(b)(1) - Odometers; Repair or replacement; failure to adjust an odometer or affix a notice regarding such adjustment</v>
      </c>
      <c r="O2140" s="10" t="str">
        <f t="shared" si="3"/>
        <v>Odometers</v>
      </c>
    </row>
    <row r="2141">
      <c r="A2141" s="7" t="s">
        <v>3788</v>
      </c>
      <c r="B2141" s="8" t="s">
        <v>3789</v>
      </c>
      <c r="C2141" s="8">
        <v>9.0</v>
      </c>
      <c r="D2141" s="8">
        <v>10.0</v>
      </c>
      <c r="E2141" s="8">
        <v>10.0</v>
      </c>
      <c r="F2141" s="8">
        <v>10.0</v>
      </c>
      <c r="G2141" s="8" t="s">
        <v>21</v>
      </c>
      <c r="H2141" s="9"/>
      <c r="I2141" s="9"/>
      <c r="N2141" s="10" t="str">
        <f t="shared" si="2"/>
        <v>21-5835(b)(2) - Odometers; Repair or replacement; remove or alter any notice affixed to a vehicle</v>
      </c>
      <c r="O2141" s="10" t="str">
        <f t="shared" si="3"/>
        <v>Odometers</v>
      </c>
    </row>
    <row r="2142">
      <c r="A2142" s="7" t="s">
        <v>3790</v>
      </c>
      <c r="B2142" s="8" t="s">
        <v>3791</v>
      </c>
      <c r="C2142" s="8">
        <v>9.0</v>
      </c>
      <c r="D2142" s="8">
        <v>10.0</v>
      </c>
      <c r="E2142" s="8">
        <v>10.0</v>
      </c>
      <c r="F2142" s="8">
        <v>10.0</v>
      </c>
      <c r="G2142" s="8" t="s">
        <v>21</v>
      </c>
      <c r="H2142" s="9"/>
      <c r="I2142" s="9"/>
      <c r="N2142" s="10" t="str">
        <f t="shared" si="2"/>
        <v>21-5835(a)(4) - Odometers; Sell or offer to sell, with intent to defraud, a motor vehicle knowing that the odometer was tampered with or otherwise altered in order to reflect a lower than true mileage</v>
      </c>
      <c r="O2142" s="10" t="str">
        <f t="shared" si="3"/>
        <v>Odometers</v>
      </c>
    </row>
    <row r="2143">
      <c r="A2143" s="7" t="s">
        <v>3792</v>
      </c>
      <c r="B2143" s="8" t="s">
        <v>3793</v>
      </c>
      <c r="C2143" s="8">
        <v>8.0</v>
      </c>
      <c r="D2143" s="8">
        <v>10.0</v>
      </c>
      <c r="E2143" s="8">
        <v>10.0</v>
      </c>
      <c r="F2143" s="8">
        <v>10.0</v>
      </c>
      <c r="G2143" s="8" t="s">
        <v>21</v>
      </c>
      <c r="H2143" s="9"/>
      <c r="I2143" s="9"/>
      <c r="N2143" s="10" t="str">
        <f t="shared" si="2"/>
        <v>21-6002(a)(5) - Official Misconduct; Knowingly destroy, tamper with or conceal evidence of a felony</v>
      </c>
      <c r="O2143" s="10" t="str">
        <f t="shared" si="3"/>
        <v>Official Misconduct</v>
      </c>
    </row>
    <row r="2144">
      <c r="A2144" s="7" t="s">
        <v>3794</v>
      </c>
      <c r="B2144" s="8" t="s">
        <v>3793</v>
      </c>
      <c r="C2144" s="8" t="s">
        <v>27</v>
      </c>
      <c r="D2144" s="8" t="s">
        <v>28</v>
      </c>
      <c r="E2144" s="8" t="s">
        <v>19</v>
      </c>
      <c r="F2144" s="8" t="s">
        <v>20</v>
      </c>
      <c r="G2144" s="8" t="s">
        <v>21</v>
      </c>
      <c r="H2144" s="9"/>
      <c r="I2144" s="9"/>
      <c r="J2144" s="10">
        <f t="shared" ref="J2144:M2144" si="1236">ifs(OR($H2144="R",$I2144="N"),"N/A",OR(C2144="A",C2144="B",C2144="C",C2144="U"),3,TRUE,"FLAG")</f>
        <v>3</v>
      </c>
      <c r="K2144" s="10">
        <f t="shared" si="1236"/>
        <v>3</v>
      </c>
      <c r="L2144" s="10">
        <f t="shared" si="1236"/>
        <v>3</v>
      </c>
      <c r="M2144" s="10" t="str">
        <f t="shared" si="1236"/>
        <v>FLAG</v>
      </c>
      <c r="N2144" s="10" t="str">
        <f t="shared" si="2"/>
        <v>21-6002(a)(5) - Official Misconduct; Knowingly destroy, tamper with or conceal evidence of a misdemeanor crime</v>
      </c>
      <c r="O2144" s="10" t="str">
        <f t="shared" si="3"/>
        <v>Official Misconduct</v>
      </c>
    </row>
    <row r="2145">
      <c r="A2145" s="7" t="s">
        <v>3795</v>
      </c>
      <c r="B2145" s="8" t="s">
        <v>3796</v>
      </c>
      <c r="C2145" s="8" t="s">
        <v>27</v>
      </c>
      <c r="D2145" s="8" t="s">
        <v>28</v>
      </c>
      <c r="E2145" s="8" t="s">
        <v>19</v>
      </c>
      <c r="F2145" s="8" t="s">
        <v>20</v>
      </c>
      <c r="G2145" s="8" t="s">
        <v>21</v>
      </c>
      <c r="H2145" s="9"/>
      <c r="I2145" s="9"/>
      <c r="J2145" s="10">
        <f t="shared" ref="J2145:M2145" si="1237">ifs(OR($H2145="R",$I2145="N"),"N/A",OR(C2145="A",C2145="B",C2145="C",C2145="U"),3,TRUE,"FLAG")</f>
        <v>3</v>
      </c>
      <c r="K2145" s="10">
        <f t="shared" si="1237"/>
        <v>3</v>
      </c>
      <c r="L2145" s="10">
        <f t="shared" si="1237"/>
        <v>3</v>
      </c>
      <c r="M2145" s="10" t="str">
        <f t="shared" si="1237"/>
        <v>FLAG</v>
      </c>
      <c r="N2145" s="10" t="str">
        <f t="shared" si="2"/>
        <v>21-6002(a)(2) - Official Misconduct; Knowingly fail to serve civil process as required by law</v>
      </c>
      <c r="O2145" s="10" t="str">
        <f t="shared" si="3"/>
        <v>Official Misconduct</v>
      </c>
    </row>
    <row r="2146">
      <c r="A2146" s="7" t="s">
        <v>3797</v>
      </c>
      <c r="B2146" s="8" t="s">
        <v>3798</v>
      </c>
      <c r="C2146" s="8">
        <v>7.0</v>
      </c>
      <c r="D2146" s="8">
        <v>9.0</v>
      </c>
      <c r="E2146" s="8">
        <v>9.0</v>
      </c>
      <c r="F2146" s="8">
        <v>10.0</v>
      </c>
      <c r="G2146" s="8" t="s">
        <v>21</v>
      </c>
      <c r="H2146" s="9"/>
      <c r="I2146" s="9"/>
      <c r="N2146" s="10" t="str">
        <f t="shared" si="2"/>
        <v>21-6002(a)(6) - Official Misconduct; Knowingly submit a claim for expenses which is false or duplicate; $25,000 or more</v>
      </c>
      <c r="O2146" s="10" t="str">
        <f t="shared" si="3"/>
        <v>Official Misconduct</v>
      </c>
    </row>
    <row r="2147">
      <c r="A2147" s="7" t="s">
        <v>3799</v>
      </c>
      <c r="B2147" s="8" t="s">
        <v>3798</v>
      </c>
      <c r="C2147" s="8">
        <v>9.0</v>
      </c>
      <c r="D2147" s="8">
        <v>10.0</v>
      </c>
      <c r="E2147" s="8">
        <v>10.0</v>
      </c>
      <c r="F2147" s="8">
        <v>10.0</v>
      </c>
      <c r="G2147" s="8" t="s">
        <v>21</v>
      </c>
      <c r="H2147" s="9"/>
      <c r="I2147" s="9"/>
      <c r="N2147" s="10" t="str">
        <f t="shared" si="2"/>
        <v>21-6002(a)(6) - Official Misconduct; Knowingly submit a claim for expenses which is false or duplicate; at least $1,000 but &lt; $25,000</v>
      </c>
      <c r="O2147" s="10" t="str">
        <f t="shared" si="3"/>
        <v>Official Misconduct</v>
      </c>
    </row>
    <row r="2148">
      <c r="A2148" s="7" t="s">
        <v>3800</v>
      </c>
      <c r="B2148" s="8" t="s">
        <v>3798</v>
      </c>
      <c r="C2148" s="8" t="s">
        <v>27</v>
      </c>
      <c r="D2148" s="8" t="s">
        <v>28</v>
      </c>
      <c r="E2148" s="8" t="s">
        <v>19</v>
      </c>
      <c r="F2148" s="8" t="s">
        <v>20</v>
      </c>
      <c r="G2148" s="8" t="s">
        <v>21</v>
      </c>
      <c r="H2148" s="9"/>
      <c r="I2148" s="9"/>
      <c r="J2148" s="10">
        <f t="shared" ref="J2148:M2148" si="1238">ifs(OR($H2148="R",$I2148="N"),"N/A",OR(C2148="A",C2148="B",C2148="C",C2148="U"),3,TRUE,"FLAG")</f>
        <v>3</v>
      </c>
      <c r="K2148" s="10">
        <f t="shared" si="1238"/>
        <v>3</v>
      </c>
      <c r="L2148" s="10">
        <f t="shared" si="1238"/>
        <v>3</v>
      </c>
      <c r="M2148" s="10" t="str">
        <f t="shared" si="1238"/>
        <v>FLAG</v>
      </c>
      <c r="N2148" s="10" t="str">
        <f t="shared" si="2"/>
        <v>21-6002(a)(6) - Official Misconduct; Knowingly submit false claim; claim less than $1,000</v>
      </c>
      <c r="O2148" s="10" t="str">
        <f t="shared" si="3"/>
        <v>Official Misconduct</v>
      </c>
    </row>
    <row r="2149">
      <c r="A2149" s="7" t="s">
        <v>3801</v>
      </c>
      <c r="B2149" s="8" t="s">
        <v>3802</v>
      </c>
      <c r="C2149" s="8" t="s">
        <v>27</v>
      </c>
      <c r="D2149" s="8" t="s">
        <v>28</v>
      </c>
      <c r="E2149" s="8" t="s">
        <v>19</v>
      </c>
      <c r="F2149" s="8" t="s">
        <v>20</v>
      </c>
      <c r="G2149" s="8" t="s">
        <v>21</v>
      </c>
      <c r="H2149" s="9"/>
      <c r="I2149" s="9"/>
      <c r="J2149" s="10">
        <f t="shared" ref="J2149:M2149" si="1239">ifs(OR($H2149="R",$I2149="N"),"N/A",OR(C2149="A",C2149="B",C2149="C",C2149="U"),3,TRUE,"FLAG")</f>
        <v>3</v>
      </c>
      <c r="K2149" s="10">
        <f t="shared" si="1239"/>
        <v>3</v>
      </c>
      <c r="L2149" s="10">
        <f t="shared" si="1239"/>
        <v>3</v>
      </c>
      <c r="M2149" s="10" t="str">
        <f t="shared" si="1239"/>
        <v>FLAG</v>
      </c>
      <c r="N2149" s="10" t="str">
        <f t="shared" si="2"/>
        <v>21-6002(a)(1) - Official Misconduct; Knowingly use aircraft, vehicle or vessel for private benefit or gain</v>
      </c>
      <c r="O2149" s="10" t="str">
        <f t="shared" si="3"/>
        <v>Official Misconduct</v>
      </c>
    </row>
    <row r="2150">
      <c r="A2150" s="7" t="s">
        <v>3803</v>
      </c>
      <c r="B2150" s="8" t="s">
        <v>3804</v>
      </c>
      <c r="C2150" s="8" t="s">
        <v>27</v>
      </c>
      <c r="D2150" s="8" t="s">
        <v>28</v>
      </c>
      <c r="E2150" s="8" t="s">
        <v>19</v>
      </c>
      <c r="F2150" s="8" t="s">
        <v>20</v>
      </c>
      <c r="G2150" s="8" t="s">
        <v>21</v>
      </c>
      <c r="H2150" s="9"/>
      <c r="I2150" s="9"/>
      <c r="J2150" s="10">
        <f t="shared" ref="J2150:M2150" si="1240">ifs(OR($H2150="R",$I2150="N"),"N/A",OR(C2150="A",C2150="B",C2150="C",C2150="U"),3,TRUE,"FLAG")</f>
        <v>3</v>
      </c>
      <c r="K2150" s="10">
        <f t="shared" si="1240"/>
        <v>3</v>
      </c>
      <c r="L2150" s="10">
        <f t="shared" si="1240"/>
        <v>3</v>
      </c>
      <c r="M2150" s="10" t="str">
        <f t="shared" si="1240"/>
        <v>FLAG</v>
      </c>
      <c r="N2150" s="10" t="str">
        <f t="shared" si="2"/>
        <v>21-6002(a)(4)(B) - Official Misconduct; Unauthorized acceptance of bid after deadline has passed</v>
      </c>
      <c r="O2150" s="10" t="str">
        <f t="shared" si="3"/>
        <v>Official Misconduct</v>
      </c>
    </row>
    <row r="2151">
      <c r="A2151" s="7" t="s">
        <v>3805</v>
      </c>
      <c r="B2151" s="8" t="s">
        <v>3806</v>
      </c>
      <c r="C2151" s="8" t="s">
        <v>27</v>
      </c>
      <c r="D2151" s="8" t="s">
        <v>28</v>
      </c>
      <c r="E2151" s="8" t="s">
        <v>19</v>
      </c>
      <c r="F2151" s="8" t="s">
        <v>20</v>
      </c>
      <c r="G2151" s="8" t="s">
        <v>21</v>
      </c>
      <c r="H2151" s="9"/>
      <c r="I2151" s="9"/>
      <c r="J2151" s="10">
        <f t="shared" ref="J2151:M2151" si="1241">ifs(OR($H2151="R",$I2151="N"),"N/A",OR(C2151="A",C2151="B",C2151="C",C2151="U"),3,TRUE,"FLAG")</f>
        <v>3</v>
      </c>
      <c r="K2151" s="10">
        <f t="shared" si="1241"/>
        <v>3</v>
      </c>
      <c r="L2151" s="10">
        <f t="shared" si="1241"/>
        <v>3</v>
      </c>
      <c r="M2151" s="10" t="str">
        <f t="shared" si="1241"/>
        <v>FLAG</v>
      </c>
      <c r="N2151" s="10" t="str">
        <f t="shared" si="2"/>
        <v>21-6002(a)(4)(C) - Official Misconduct; Unauthorized alteration of bid or proposal</v>
      </c>
      <c r="O2151" s="10" t="str">
        <f t="shared" si="3"/>
        <v>Official Misconduct</v>
      </c>
    </row>
    <row r="2152">
      <c r="A2152" s="7" t="s">
        <v>3807</v>
      </c>
      <c r="B2152" s="8" t="s">
        <v>3808</v>
      </c>
      <c r="C2152" s="8" t="s">
        <v>27</v>
      </c>
      <c r="D2152" s="8" t="s">
        <v>28</v>
      </c>
      <c r="E2152" s="8" t="s">
        <v>19</v>
      </c>
      <c r="F2152" s="8" t="s">
        <v>20</v>
      </c>
      <c r="G2152" s="8" t="s">
        <v>21</v>
      </c>
      <c r="H2152" s="9"/>
      <c r="I2152" s="9"/>
      <c r="J2152" s="10">
        <f t="shared" ref="J2152:M2152" si="1242">ifs(OR($H2152="R",$I2152="N"),"N/A",OR(C2152="A",C2152="B",C2152="C",C2152="U"),3,TRUE,"FLAG")</f>
        <v>3</v>
      </c>
      <c r="K2152" s="10">
        <f t="shared" si="1242"/>
        <v>3</v>
      </c>
      <c r="L2152" s="10">
        <f t="shared" si="1242"/>
        <v>3</v>
      </c>
      <c r="M2152" s="10" t="str">
        <f t="shared" si="1242"/>
        <v>FLAG</v>
      </c>
      <c r="N2152" s="10" t="str">
        <f t="shared" si="2"/>
        <v>21-6002(a)(4)(A) - Official Misconduct; Unauthorized disclosure of bid information</v>
      </c>
      <c r="O2152" s="10" t="str">
        <f t="shared" si="3"/>
        <v>Official Misconduct</v>
      </c>
    </row>
    <row r="2153">
      <c r="A2153" s="7" t="s">
        <v>3809</v>
      </c>
      <c r="B2153" s="8" t="s">
        <v>3810</v>
      </c>
      <c r="C2153" s="8" t="s">
        <v>27</v>
      </c>
      <c r="D2153" s="8" t="s">
        <v>28</v>
      </c>
      <c r="E2153" s="8" t="s">
        <v>19</v>
      </c>
      <c r="F2153" s="8" t="s">
        <v>20</v>
      </c>
      <c r="G2153" s="8" t="s">
        <v>21</v>
      </c>
      <c r="H2153" s="9"/>
      <c r="I2153" s="9"/>
      <c r="J2153" s="10">
        <f t="shared" ref="J2153:M2153" si="1243">ifs(OR($H2153="R",$I2153="N"),"N/A",OR(C2153="A",C2153="B",C2153="C",C2153="U"),3,TRUE,"FLAG")</f>
        <v>3</v>
      </c>
      <c r="K2153" s="10">
        <f t="shared" si="1243"/>
        <v>3</v>
      </c>
      <c r="L2153" s="10">
        <f t="shared" si="1243"/>
        <v>3</v>
      </c>
      <c r="M2153" s="10" t="str">
        <f t="shared" si="1243"/>
        <v>FLAG</v>
      </c>
      <c r="N2153" s="10" t="str">
        <f t="shared" si="2"/>
        <v>21-6002(a)(3) - Official Misconduct; Use confidential information for private benefit or gain or to intentionally harm another</v>
      </c>
      <c r="O2153" s="10" t="str">
        <f t="shared" si="3"/>
        <v>Official Misconduct</v>
      </c>
    </row>
    <row r="2154">
      <c r="A2154" s="7" t="s">
        <v>3811</v>
      </c>
      <c r="B2154" s="8" t="s">
        <v>3812</v>
      </c>
      <c r="C2154" s="8" t="s">
        <v>27</v>
      </c>
      <c r="D2154" s="8" t="s">
        <v>28</v>
      </c>
      <c r="E2154" s="8" t="s">
        <v>19</v>
      </c>
      <c r="F2154" s="8" t="s">
        <v>20</v>
      </c>
      <c r="G2154" s="8" t="s">
        <v>21</v>
      </c>
      <c r="H2154" s="9"/>
      <c r="I2154" s="9"/>
      <c r="J2154" s="10">
        <f t="shared" ref="J2154:M2154" si="1244">ifs(OR($H2154="R",$I2154="N"),"N/A",OR(C2154="A",C2154="B",C2154="C",C2154="U"),3,TRUE,"FLAG")</f>
        <v>3</v>
      </c>
      <c r="K2154" s="10">
        <f t="shared" si="1244"/>
        <v>3</v>
      </c>
      <c r="L2154" s="10">
        <f t="shared" si="1244"/>
        <v>3</v>
      </c>
      <c r="M2154" s="10" t="str">
        <f t="shared" si="1244"/>
        <v>FLAG</v>
      </c>
      <c r="N2154" s="10" t="str">
        <f t="shared" si="2"/>
        <v>55-443(a)(1) - Oil &amp; Gas; Act as or represent oneself to be a technical representative without having such license</v>
      </c>
      <c r="O2154" s="10" t="str">
        <f t="shared" si="3"/>
        <v>Oil &amp; Gas</v>
      </c>
    </row>
    <row r="2155">
      <c r="A2155" s="7" t="s">
        <v>3813</v>
      </c>
      <c r="B2155" s="8" t="s">
        <v>3814</v>
      </c>
      <c r="C2155" s="8" t="s">
        <v>18</v>
      </c>
      <c r="D2155" s="8" t="s">
        <v>18</v>
      </c>
      <c r="E2155" s="8" t="s">
        <v>19</v>
      </c>
      <c r="F2155" s="8" t="s">
        <v>20</v>
      </c>
      <c r="G2155" s="8" t="s">
        <v>21</v>
      </c>
      <c r="H2155" s="9"/>
      <c r="I2155" s="9"/>
      <c r="J2155" s="10">
        <f t="shared" ref="J2155:M2155" si="1245">ifs(OR($H2155="R",$I2155="N"),"N/A",OR(C2155="A",C2155="B",C2155="C",C2155="U"),3,TRUE,"FLAG")</f>
        <v>3</v>
      </c>
      <c r="K2155" s="10">
        <f t="shared" si="1245"/>
        <v>3</v>
      </c>
      <c r="L2155" s="10">
        <f t="shared" si="1245"/>
        <v>3</v>
      </c>
      <c r="M2155" s="10" t="str">
        <f t="shared" si="1245"/>
        <v>FLAG</v>
      </c>
      <c r="N2155" s="10" t="str">
        <f t="shared" si="2"/>
        <v>55-102(a) - Oil &amp; Gas; Control and management of oil and gas wells; unlawful acts</v>
      </c>
      <c r="O2155" s="10" t="str">
        <f t="shared" si="3"/>
        <v>Oil &amp; Gas</v>
      </c>
    </row>
    <row r="2156">
      <c r="A2156" s="7" t="s">
        <v>3815</v>
      </c>
      <c r="B2156" s="8" t="s">
        <v>3816</v>
      </c>
      <c r="C2156" s="8">
        <v>9.0</v>
      </c>
      <c r="D2156" s="8">
        <v>10.0</v>
      </c>
      <c r="E2156" s="8">
        <v>10.0</v>
      </c>
      <c r="F2156" s="8">
        <v>10.0</v>
      </c>
      <c r="G2156" s="8" t="s">
        <v>21</v>
      </c>
      <c r="H2156" s="9"/>
      <c r="I2156" s="9"/>
      <c r="N2156" s="10" t="str">
        <f t="shared" si="2"/>
        <v>55-1004 - Oil &amp; Gas; Disposal of Brines &amp; Mineralized Waters; dispose of certain waste in oil-field disposal wells at excessive pressures</v>
      </c>
      <c r="O2156" s="10" t="str">
        <f t="shared" si="3"/>
        <v>Oil &amp; Gas</v>
      </c>
    </row>
    <row r="2157">
      <c r="A2157" s="7" t="s">
        <v>3817</v>
      </c>
      <c r="B2157" s="8" t="s">
        <v>3818</v>
      </c>
      <c r="C2157" s="8">
        <v>9.0</v>
      </c>
      <c r="D2157" s="8">
        <v>10.0</v>
      </c>
      <c r="E2157" s="8">
        <v>10.0</v>
      </c>
      <c r="F2157" s="8">
        <v>10.0</v>
      </c>
      <c r="G2157" s="8" t="s">
        <v>21</v>
      </c>
      <c r="H2157" s="9"/>
      <c r="I2157" s="9"/>
      <c r="N2157" s="10" t="str">
        <f t="shared" si="2"/>
        <v>55-1005 - Oil &amp; Gas; Disposal of Brines &amp; Mineralized Waters; use wells for the disposal of salt brines or other oil field wastes which do not meet the requirements for minimum depth</v>
      </c>
      <c r="O2157" s="10" t="str">
        <f t="shared" si="3"/>
        <v>Oil &amp; Gas</v>
      </c>
    </row>
    <row r="2158">
      <c r="A2158" s="7" t="s">
        <v>3819</v>
      </c>
      <c r="B2158" s="8" t="s">
        <v>3820</v>
      </c>
      <c r="C2158" s="8">
        <v>9.0</v>
      </c>
      <c r="D2158" s="8">
        <v>10.0</v>
      </c>
      <c r="E2158" s="8">
        <v>10.0</v>
      </c>
      <c r="F2158" s="8">
        <v>10.0</v>
      </c>
      <c r="G2158" s="8" t="s">
        <v>21</v>
      </c>
      <c r="H2158" s="9"/>
      <c r="I2158" s="9"/>
      <c r="N2158" s="10" t="str">
        <f t="shared" si="2"/>
        <v>55-904(a)(3) - Oil &amp; Gas; Disposal of Salt Water; contract for the transportation of such salt water with a person, firm, corporation, partnership or other association not licensed under K.S.A. 66-1,114</v>
      </c>
      <c r="O2158" s="10" t="str">
        <f t="shared" si="3"/>
        <v>Oil &amp; Gas</v>
      </c>
    </row>
    <row r="2159">
      <c r="A2159" s="7" t="s">
        <v>3821</v>
      </c>
      <c r="B2159" s="8" t="s">
        <v>3820</v>
      </c>
      <c r="C2159" s="8">
        <v>8.0</v>
      </c>
      <c r="D2159" s="8">
        <v>10.0</v>
      </c>
      <c r="E2159" s="8">
        <v>10.0</v>
      </c>
      <c r="F2159" s="8">
        <v>10.0</v>
      </c>
      <c r="G2159" s="8" t="s">
        <v>21</v>
      </c>
      <c r="H2159" s="9"/>
      <c r="I2159" s="9"/>
      <c r="N2159" s="10" t="str">
        <f t="shared" si="2"/>
        <v>55-904(a)(3) - Oil &amp; Gas; Disposal of Salt Water; contract for the transportation of such salt water with a person, firm, corporation, partnership or other association not licensed under K.S.A. 66-1,114; 2nd or subs. violation</v>
      </c>
      <c r="O2159" s="10" t="str">
        <f t="shared" si="3"/>
        <v>Oil &amp; Gas</v>
      </c>
    </row>
    <row r="2160">
      <c r="A2160" s="7" t="s">
        <v>3822</v>
      </c>
      <c r="B2160" s="8" t="s">
        <v>3823</v>
      </c>
      <c r="C2160" s="8">
        <v>9.0</v>
      </c>
      <c r="D2160" s="8">
        <v>10.0</v>
      </c>
      <c r="E2160" s="8">
        <v>10.0</v>
      </c>
      <c r="F2160" s="8">
        <v>10.0</v>
      </c>
      <c r="G2160" s="8" t="s">
        <v>21</v>
      </c>
      <c r="H2160" s="9"/>
      <c r="I2160" s="9"/>
      <c r="N2160" s="10" t="str">
        <f t="shared" si="2"/>
        <v>55-904(a)(2) - Oil &amp; Gas; Disposal of Salt Water; dispose of a substance not exempt under 40 C.F.R. 261.4(b)(5), as revised July 1, 1997, in a class II disposal or injection well</v>
      </c>
      <c r="O2160" s="10" t="str">
        <f t="shared" si="3"/>
        <v>Oil &amp; Gas</v>
      </c>
    </row>
    <row r="2161">
      <c r="A2161" s="7" t="s">
        <v>3824</v>
      </c>
      <c r="B2161" s="8" t="s">
        <v>3823</v>
      </c>
      <c r="C2161" s="8">
        <v>8.0</v>
      </c>
      <c r="D2161" s="8">
        <v>10.0</v>
      </c>
      <c r="E2161" s="8">
        <v>10.0</v>
      </c>
      <c r="F2161" s="8">
        <v>10.0</v>
      </c>
      <c r="G2161" s="8" t="s">
        <v>21</v>
      </c>
      <c r="H2161" s="9"/>
      <c r="I2161" s="9"/>
      <c r="N2161" s="10" t="str">
        <f t="shared" si="2"/>
        <v>55-904(a)(2) - Oil &amp; Gas; Disposal of Salt Water; dispose of a substance not exempt under 40 C.F.R. 261.4(b)(5), as revised July 1, 1997, in a class II disposal or injection well; 2nd or subs. violation</v>
      </c>
      <c r="O2161" s="10" t="str">
        <f t="shared" si="3"/>
        <v>Oil &amp; Gas</v>
      </c>
    </row>
    <row r="2162">
      <c r="A2162" s="7" t="s">
        <v>3825</v>
      </c>
      <c r="B2162" s="8" t="s">
        <v>3826</v>
      </c>
      <c r="C2162" s="8">
        <v>9.0</v>
      </c>
      <c r="D2162" s="8">
        <v>10.0</v>
      </c>
      <c r="E2162" s="8">
        <v>10.0</v>
      </c>
      <c r="F2162" s="8">
        <v>10.0</v>
      </c>
      <c r="G2162" s="8" t="s">
        <v>21</v>
      </c>
      <c r="H2162" s="9"/>
      <c r="I2162" s="9"/>
      <c r="N2162" s="10" t="str">
        <f t="shared" si="2"/>
        <v>55-904(a)(1) - Oil &amp; Gas; Disposal of Salt Water; dispose of salt water in unauthorized manner</v>
      </c>
      <c r="O2162" s="10" t="str">
        <f t="shared" si="3"/>
        <v>Oil &amp; Gas</v>
      </c>
    </row>
    <row r="2163">
      <c r="A2163" s="7" t="s">
        <v>3827</v>
      </c>
      <c r="B2163" s="8" t="s">
        <v>3826</v>
      </c>
      <c r="C2163" s="8">
        <v>8.0</v>
      </c>
      <c r="D2163" s="8">
        <v>10.0</v>
      </c>
      <c r="E2163" s="8">
        <v>10.0</v>
      </c>
      <c r="F2163" s="8">
        <v>10.0</v>
      </c>
      <c r="G2163" s="8" t="s">
        <v>21</v>
      </c>
      <c r="H2163" s="9"/>
      <c r="I2163" s="9"/>
      <c r="N2163" s="10" t="str">
        <f t="shared" si="2"/>
        <v>55-904(a)(1) - Oil &amp; Gas; Disposal of Salt Water; dispose of salt water in unauthorized manner; 2nd or subs. violation</v>
      </c>
      <c r="O2163" s="10" t="str">
        <f t="shared" si="3"/>
        <v>Oil &amp; Gas</v>
      </c>
    </row>
    <row r="2164">
      <c r="A2164" s="7" t="s">
        <v>3828</v>
      </c>
      <c r="B2164" s="8" t="s">
        <v>3829</v>
      </c>
      <c r="C2164" s="8">
        <v>9.0</v>
      </c>
      <c r="D2164" s="8">
        <v>10.0</v>
      </c>
      <c r="E2164" s="8">
        <v>10.0</v>
      </c>
      <c r="F2164" s="8">
        <v>10.0</v>
      </c>
      <c r="G2164" s="8" t="s">
        <v>21</v>
      </c>
      <c r="H2164" s="9"/>
      <c r="I2164" s="9"/>
      <c r="N2164" s="10" t="str">
        <f t="shared" si="2"/>
        <v>55-904(a)(4) - Oil &amp; Gas; Disposal of Salt Water; own, operate a vehicle being used for transportation of salt water containing an operable "trip-lever" accessible to a person in the passenger compartment of such vehicle</v>
      </c>
      <c r="O2164" s="10" t="str">
        <f t="shared" si="3"/>
        <v>Oil &amp; Gas</v>
      </c>
    </row>
    <row r="2165">
      <c r="A2165" s="7" t="s">
        <v>3830</v>
      </c>
      <c r="B2165" s="8" t="s">
        <v>3829</v>
      </c>
      <c r="C2165" s="8">
        <v>8.0</v>
      </c>
      <c r="D2165" s="8">
        <v>10.0</v>
      </c>
      <c r="E2165" s="8">
        <v>10.0</v>
      </c>
      <c r="F2165" s="8">
        <v>10.0</v>
      </c>
      <c r="G2165" s="8" t="s">
        <v>21</v>
      </c>
      <c r="H2165" s="9"/>
      <c r="I2165" s="9"/>
      <c r="N2165" s="10" t="str">
        <f t="shared" si="2"/>
        <v>55-904(a)(4) - Oil &amp; Gas; Disposal of Salt Water; own, operate a vehicle being used for transportation of salt water containing an operable "trip-lever" accessible to a person in the passenger compartment of such vehicle; 2nd or subs. violation</v>
      </c>
      <c r="O2165" s="10" t="str">
        <f t="shared" si="3"/>
        <v>Oil &amp; Gas</v>
      </c>
    </row>
    <row r="2166">
      <c r="A2166" s="7" t="s">
        <v>3831</v>
      </c>
      <c r="B2166" s="8" t="s">
        <v>3832</v>
      </c>
      <c r="C2166" s="8" t="s">
        <v>27</v>
      </c>
      <c r="D2166" s="8" t="s">
        <v>28</v>
      </c>
      <c r="E2166" s="8" t="s">
        <v>19</v>
      </c>
      <c r="F2166" s="8" t="s">
        <v>20</v>
      </c>
      <c r="G2166" s="8" t="s">
        <v>21</v>
      </c>
      <c r="H2166" s="9"/>
      <c r="I2166" s="9"/>
      <c r="J2166" s="10">
        <f t="shared" ref="J2166:M2166" si="1246">ifs(OR($H2166="R",$I2166="N"),"N/A",OR(C2166="A",C2166="B",C2166="C",C2166="U"),3,TRUE,"FLAG")</f>
        <v>3</v>
      </c>
      <c r="K2166" s="10">
        <f t="shared" si="1246"/>
        <v>3</v>
      </c>
      <c r="L2166" s="10">
        <f t="shared" si="1246"/>
        <v>3</v>
      </c>
      <c r="M2166" s="10" t="str">
        <f t="shared" si="1246"/>
        <v>FLAG</v>
      </c>
      <c r="N2166" s="10" t="str">
        <f t="shared" si="2"/>
        <v>55-443(a)(4) - Oil &amp; Gas; Fail to complete the testing or placing-in-service report in its entirety and to report the accurate description of the parts replaced, adjusted, reconditioned or work performed</v>
      </c>
      <c r="O2166" s="10" t="str">
        <f t="shared" si="3"/>
        <v>Oil &amp; Gas</v>
      </c>
    </row>
    <row r="2167">
      <c r="A2167" s="7" t="s">
        <v>3833</v>
      </c>
      <c r="B2167" s="8" t="s">
        <v>3834</v>
      </c>
      <c r="C2167" s="8" t="s">
        <v>27</v>
      </c>
      <c r="D2167" s="8" t="s">
        <v>28</v>
      </c>
      <c r="E2167" s="8" t="s">
        <v>19</v>
      </c>
      <c r="F2167" s="8" t="s">
        <v>20</v>
      </c>
      <c r="G2167" s="8" t="s">
        <v>21</v>
      </c>
      <c r="H2167" s="9"/>
      <c r="I2167" s="9"/>
      <c r="J2167" s="10">
        <f t="shared" ref="J2167:M2167" si="1247">ifs(OR($H2167="R",$I2167="N"),"N/A",OR(C2167="A",C2167="B",C2167="C",C2167="U"),3,TRUE,"FLAG")</f>
        <v>3</v>
      </c>
      <c r="K2167" s="10">
        <f t="shared" si="1247"/>
        <v>3</v>
      </c>
      <c r="L2167" s="10">
        <f t="shared" si="1247"/>
        <v>3</v>
      </c>
      <c r="M2167" s="10" t="str">
        <f t="shared" si="1247"/>
        <v>FLAG</v>
      </c>
      <c r="N2167" s="10" t="str">
        <f t="shared" si="2"/>
        <v>55-443(a)(3) - Oil &amp; Gas; Fail to follow the applicable version of NIST Handbook as referenced in chapter 83 of the Kansas Statutes Annotated, or any rules and regulations adopted thereunder when installing, repairing, calibrating or testing a device</v>
      </c>
      <c r="O2167" s="10" t="str">
        <f t="shared" si="3"/>
        <v>Oil &amp; Gas</v>
      </c>
    </row>
    <row r="2168">
      <c r="A2168" s="7" t="s">
        <v>3835</v>
      </c>
      <c r="B2168" s="8" t="s">
        <v>3836</v>
      </c>
      <c r="C2168" s="8" t="s">
        <v>27</v>
      </c>
      <c r="D2168" s="8" t="s">
        <v>28</v>
      </c>
      <c r="E2168" s="8" t="s">
        <v>19</v>
      </c>
      <c r="F2168" s="8" t="s">
        <v>20</v>
      </c>
      <c r="G2168" s="8" t="s">
        <v>21</v>
      </c>
      <c r="H2168" s="9"/>
      <c r="I2168" s="9"/>
      <c r="J2168" s="10">
        <f t="shared" ref="J2168:M2168" si="1248">ifs(OR($H2168="R",$I2168="N"),"N/A",OR(C2168="A",C2168="B",C2168="C",C2168="U"),3,TRUE,"FLAG")</f>
        <v>3</v>
      </c>
      <c r="K2168" s="10">
        <f t="shared" si="1248"/>
        <v>3</v>
      </c>
      <c r="L2168" s="10">
        <f t="shared" si="1248"/>
        <v>3</v>
      </c>
      <c r="M2168" s="10" t="str">
        <f t="shared" si="1248"/>
        <v>FLAG</v>
      </c>
      <c r="N2168" s="10" t="str">
        <f t="shared" si="2"/>
        <v>55-443(a)(8) - Oil &amp; Gas; Fail to have any commercial dispensing device tested as required by the petroleum products inspection law or chapter 83 of the Kansas Statutes Annotated</v>
      </c>
      <c r="O2168" s="10" t="str">
        <f t="shared" si="3"/>
        <v>Oil &amp; Gas</v>
      </c>
    </row>
    <row r="2169">
      <c r="A2169" s="7" t="s">
        <v>3837</v>
      </c>
      <c r="B2169" s="8" t="s">
        <v>3838</v>
      </c>
      <c r="C2169" s="8" t="s">
        <v>27</v>
      </c>
      <c r="D2169" s="8" t="s">
        <v>28</v>
      </c>
      <c r="E2169" s="8" t="s">
        <v>19</v>
      </c>
      <c r="F2169" s="8" t="s">
        <v>20</v>
      </c>
      <c r="G2169" s="8" t="s">
        <v>21</v>
      </c>
      <c r="H2169" s="9"/>
      <c r="I2169" s="9"/>
      <c r="J2169" s="10">
        <f t="shared" ref="J2169:M2169" si="1249">ifs(OR($H2169="R",$I2169="N"),"N/A",OR(C2169="A",C2169="B",C2169="C",C2169="U"),3,TRUE,"FLAG")</f>
        <v>3</v>
      </c>
      <c r="K2169" s="10">
        <f t="shared" si="1249"/>
        <v>3</v>
      </c>
      <c r="L2169" s="10">
        <f t="shared" si="1249"/>
        <v>3</v>
      </c>
      <c r="M2169" s="10" t="str">
        <f t="shared" si="1249"/>
        <v>FLAG</v>
      </c>
      <c r="N2169" s="10" t="str">
        <f t="shared" si="2"/>
        <v>55-443(a)(6) - Oil &amp; Gas; Fail to pay all fees and penalties as required</v>
      </c>
      <c r="O2169" s="10" t="str">
        <f t="shared" si="3"/>
        <v>Oil &amp; Gas</v>
      </c>
    </row>
    <row r="2170">
      <c r="A2170" s="7" t="s">
        <v>3839</v>
      </c>
      <c r="B2170" s="8" t="s">
        <v>3840</v>
      </c>
      <c r="C2170" s="8" t="s">
        <v>19</v>
      </c>
      <c r="D2170" s="8" t="s">
        <v>19</v>
      </c>
      <c r="E2170" s="8" t="s">
        <v>19</v>
      </c>
      <c r="F2170" s="8" t="s">
        <v>20</v>
      </c>
      <c r="G2170" s="8" t="s">
        <v>21</v>
      </c>
      <c r="H2170" s="9"/>
      <c r="I2170" s="9"/>
      <c r="J2170" s="10">
        <f t="shared" ref="J2170:M2170" si="1250">ifs(OR($H2170="R",$I2170="N"),"N/A",OR(C2170="A",C2170="B",C2170="C",C2170="U"),3,TRUE,"FLAG")</f>
        <v>3</v>
      </c>
      <c r="K2170" s="10">
        <f t="shared" si="1250"/>
        <v>3</v>
      </c>
      <c r="L2170" s="10">
        <f t="shared" si="1250"/>
        <v>3</v>
      </c>
      <c r="M2170" s="10" t="str">
        <f t="shared" si="1250"/>
        <v>FLAG</v>
      </c>
      <c r="N2170" s="10" t="str">
        <f t="shared" si="2"/>
        <v>55-159 - Oil &amp; Gas; Failure to notify commission prior to setting surface casing or plugging</v>
      </c>
      <c r="O2170" s="10" t="str">
        <f t="shared" si="3"/>
        <v>Oil &amp; Gas</v>
      </c>
    </row>
    <row r="2171">
      <c r="A2171" s="7" t="s">
        <v>3841</v>
      </c>
      <c r="B2171" s="8" t="s">
        <v>3842</v>
      </c>
      <c r="C2171" s="8" t="s">
        <v>28</v>
      </c>
      <c r="D2171" s="8" t="s">
        <v>19</v>
      </c>
      <c r="E2171" s="8" t="s">
        <v>19</v>
      </c>
      <c r="F2171" s="8" t="s">
        <v>20</v>
      </c>
      <c r="G2171" s="8" t="s">
        <v>21</v>
      </c>
      <c r="H2171" s="9"/>
      <c r="I2171" s="9"/>
      <c r="J2171" s="10">
        <f t="shared" ref="J2171:M2171" si="1251">ifs(OR($H2171="R",$I2171="N"),"N/A",OR(C2171="A",C2171="B",C2171="C",C2171="U"),3,TRUE,"FLAG")</f>
        <v>3</v>
      </c>
      <c r="K2171" s="10">
        <f t="shared" si="1251"/>
        <v>3</v>
      </c>
      <c r="L2171" s="10">
        <f t="shared" si="1251"/>
        <v>3</v>
      </c>
      <c r="M2171" s="10" t="str">
        <f t="shared" si="1251"/>
        <v>FLAG</v>
      </c>
      <c r="N2171" s="10" t="str">
        <f t="shared" si="2"/>
        <v>55-174(a) - Oil &amp; Gas; Failure to notify of intent to drill</v>
      </c>
      <c r="O2171" s="10" t="str">
        <f t="shared" si="3"/>
        <v>Oil &amp; Gas</v>
      </c>
    </row>
    <row r="2172">
      <c r="A2172" s="7" t="s">
        <v>3843</v>
      </c>
      <c r="B2172" s="8" t="s">
        <v>3844</v>
      </c>
      <c r="C2172" s="8" t="s">
        <v>18</v>
      </c>
      <c r="D2172" s="8" t="s">
        <v>18</v>
      </c>
      <c r="E2172" s="8" t="s">
        <v>19</v>
      </c>
      <c r="F2172" s="8" t="s">
        <v>20</v>
      </c>
      <c r="G2172" s="8" t="s">
        <v>21</v>
      </c>
      <c r="H2172" s="9"/>
      <c r="I2172" s="9"/>
      <c r="J2172" s="10">
        <f t="shared" ref="J2172:M2172" si="1252">ifs(OR($H2172="R",$I2172="N"),"N/A",OR(C2172="A",C2172="B",C2172="C",C2172="U"),3,TRUE,"FLAG")</f>
        <v>3</v>
      </c>
      <c r="K2172" s="10">
        <f t="shared" si="1252"/>
        <v>3</v>
      </c>
      <c r="L2172" s="10">
        <f t="shared" si="1252"/>
        <v>3</v>
      </c>
      <c r="M2172" s="10" t="str">
        <f t="shared" si="1252"/>
        <v>FLAG</v>
      </c>
      <c r="N2172" s="10" t="str">
        <f t="shared" si="2"/>
        <v>55-177 - Oil &amp; Gas; Failure to remove structures and abutments from lands after abandoning wells</v>
      </c>
      <c r="O2172" s="10" t="str">
        <f t="shared" si="3"/>
        <v>Oil &amp; Gas</v>
      </c>
    </row>
    <row r="2173">
      <c r="A2173" s="7" t="s">
        <v>3845</v>
      </c>
      <c r="B2173" s="8" t="s">
        <v>3846</v>
      </c>
      <c r="C2173" s="8" t="s">
        <v>19</v>
      </c>
      <c r="D2173" s="8" t="s">
        <v>19</v>
      </c>
      <c r="E2173" s="8" t="s">
        <v>19</v>
      </c>
      <c r="F2173" s="8" t="s">
        <v>20</v>
      </c>
      <c r="G2173" s="8" t="s">
        <v>21</v>
      </c>
      <c r="H2173" s="9"/>
      <c r="I2173" s="9"/>
      <c r="J2173" s="10">
        <f t="shared" ref="J2173:M2173" si="1253">ifs(OR($H2173="R",$I2173="N"),"N/A",OR(C2173="A",C2173="B",C2173="C",C2173="U"),3,TRUE,"FLAG")</f>
        <v>3</v>
      </c>
      <c r="K2173" s="10">
        <f t="shared" si="1253"/>
        <v>3</v>
      </c>
      <c r="L2173" s="10">
        <f t="shared" si="1253"/>
        <v>3</v>
      </c>
      <c r="M2173" s="10" t="str">
        <f t="shared" si="1253"/>
        <v>FLAG</v>
      </c>
      <c r="N2173" s="10" t="str">
        <f t="shared" si="2"/>
        <v>55-158 - Oil &amp; Gas; Failure to submit cement bond logs or other surveys for surface casing</v>
      </c>
      <c r="O2173" s="10" t="str">
        <f t="shared" si="3"/>
        <v>Oil &amp; Gas</v>
      </c>
    </row>
    <row r="2174">
      <c r="A2174" s="7" t="s">
        <v>3847</v>
      </c>
      <c r="B2174" s="8" t="s">
        <v>3848</v>
      </c>
      <c r="C2174" s="8" t="s">
        <v>27</v>
      </c>
      <c r="D2174" s="8" t="s">
        <v>28</v>
      </c>
      <c r="E2174" s="8" t="s">
        <v>19</v>
      </c>
      <c r="F2174" s="8" t="s">
        <v>20</v>
      </c>
      <c r="G2174" s="8" t="s">
        <v>21</v>
      </c>
      <c r="H2174" s="9"/>
      <c r="I2174" s="9"/>
      <c r="J2174" s="10">
        <f t="shared" ref="J2174:M2174" si="1254">ifs(OR($H2174="R",$I2174="N"),"N/A",OR(C2174="A",C2174="B",C2174="C",C2174="U"),3,TRUE,"FLAG")</f>
        <v>3</v>
      </c>
      <c r="K2174" s="10">
        <f t="shared" si="1254"/>
        <v>3</v>
      </c>
      <c r="L2174" s="10">
        <f t="shared" si="1254"/>
        <v>3</v>
      </c>
      <c r="M2174" s="10" t="str">
        <f t="shared" si="1254"/>
        <v>FLAG</v>
      </c>
      <c r="N2174" s="10" t="str">
        <f t="shared" si="2"/>
        <v>55-443(a)(5) - Oil &amp; Gas; File a false or fraudulent application or report to the secretary</v>
      </c>
      <c r="O2174" s="10" t="str">
        <f t="shared" si="3"/>
        <v>Oil &amp; Gas</v>
      </c>
    </row>
    <row r="2175">
      <c r="A2175" s="7" t="s">
        <v>3849</v>
      </c>
      <c r="B2175" s="8" t="s">
        <v>3850</v>
      </c>
      <c r="C2175" s="8" t="s">
        <v>27</v>
      </c>
      <c r="D2175" s="8" t="s">
        <v>28</v>
      </c>
      <c r="E2175" s="8" t="s">
        <v>19</v>
      </c>
      <c r="F2175" s="8" t="s">
        <v>20</v>
      </c>
      <c r="G2175" s="8" t="s">
        <v>21</v>
      </c>
      <c r="H2175" s="9"/>
      <c r="I2175" s="9"/>
      <c r="J2175" s="10">
        <f t="shared" ref="J2175:M2175" si="1255">ifs(OR($H2175="R",$I2175="N"),"N/A",OR(C2175="A",C2175="B",C2175="C",C2175="U"),3,TRUE,"FLAG")</f>
        <v>3</v>
      </c>
      <c r="K2175" s="10">
        <f t="shared" si="1255"/>
        <v>3</v>
      </c>
      <c r="L2175" s="10">
        <f t="shared" si="1255"/>
        <v>3</v>
      </c>
      <c r="M2175" s="10" t="str">
        <f t="shared" si="1255"/>
        <v>FLAG</v>
      </c>
      <c r="N2175" s="10" t="str">
        <f t="shared" si="2"/>
        <v>55-443(a)(11) - Oil &amp; Gas; Misrepresent that diesel fuel is or contains biodiesel fuel blend or otherwise represent that diesel fuel is made from renewable resources</v>
      </c>
      <c r="O2175" s="10" t="str">
        <f t="shared" si="3"/>
        <v>Oil &amp; Gas</v>
      </c>
    </row>
    <row r="2176">
      <c r="A2176" s="7" t="s">
        <v>3851</v>
      </c>
      <c r="B2176" s="8" t="s">
        <v>3852</v>
      </c>
      <c r="C2176" s="8" t="s">
        <v>27</v>
      </c>
      <c r="D2176" s="8" t="s">
        <v>28</v>
      </c>
      <c r="E2176" s="8" t="s">
        <v>19</v>
      </c>
      <c r="F2176" s="8" t="s">
        <v>20</v>
      </c>
      <c r="G2176" s="8" t="s">
        <v>21</v>
      </c>
      <c r="H2176" s="9"/>
      <c r="I2176" s="9"/>
      <c r="J2176" s="10">
        <f t="shared" ref="J2176:M2176" si="1256">ifs(OR($H2176="R",$I2176="N"),"N/A",OR(C2176="A",C2176="B",C2176="C",C2176="U"),3,TRUE,"FLAG")</f>
        <v>3</v>
      </c>
      <c r="K2176" s="10">
        <f t="shared" si="1256"/>
        <v>3</v>
      </c>
      <c r="L2176" s="10">
        <f t="shared" si="1256"/>
        <v>3</v>
      </c>
      <c r="M2176" s="10" t="str">
        <f t="shared" si="1256"/>
        <v>FLAG</v>
      </c>
      <c r="N2176" s="10" t="str">
        <f t="shared" si="2"/>
        <v>55-443(a)(2) - Oil &amp; Gas; Obstruct the secretary or any of the secretary's authorized agents in performance of the secretary's official duties under the petroleum products inspection law</v>
      </c>
      <c r="O2176" s="10" t="str">
        <f t="shared" si="3"/>
        <v>Oil &amp; Gas</v>
      </c>
    </row>
    <row r="2177">
      <c r="A2177" s="7" t="s">
        <v>3853</v>
      </c>
      <c r="B2177" s="8" t="s">
        <v>3854</v>
      </c>
      <c r="C2177" s="8" t="s">
        <v>27</v>
      </c>
      <c r="D2177" s="8" t="s">
        <v>28</v>
      </c>
      <c r="E2177" s="8" t="s">
        <v>19</v>
      </c>
      <c r="F2177" s="8" t="s">
        <v>20</v>
      </c>
      <c r="G2177" s="8" t="s">
        <v>21</v>
      </c>
      <c r="H2177" s="9"/>
      <c r="I2177" s="9"/>
      <c r="J2177" s="10">
        <f t="shared" ref="J2177:M2177" si="1257">ifs(OR($H2177="R",$I2177="N"),"N/A",OR(C2177="A",C2177="B",C2177="C",C2177="U"),3,TRUE,"FLAG")</f>
        <v>3</v>
      </c>
      <c r="K2177" s="10">
        <f t="shared" si="1257"/>
        <v>3</v>
      </c>
      <c r="L2177" s="10">
        <f t="shared" si="1257"/>
        <v>3</v>
      </c>
      <c r="M2177" s="10" t="str">
        <f t="shared" si="1257"/>
        <v>FLAG</v>
      </c>
      <c r="N2177" s="10" t="str">
        <f t="shared" si="2"/>
        <v>55-443(a)(7) - Oil &amp; Gas; Refuse to keep and make available for examination by the Kansas department of agriculture all books, papers, and other information as required</v>
      </c>
      <c r="O2177" s="10" t="str">
        <f t="shared" si="3"/>
        <v>Oil &amp; Gas</v>
      </c>
    </row>
    <row r="2178">
      <c r="A2178" s="7" t="s">
        <v>3855</v>
      </c>
      <c r="B2178" s="8" t="s">
        <v>3856</v>
      </c>
      <c r="C2178" s="8">
        <v>10.0</v>
      </c>
      <c r="D2178" s="8">
        <v>10.0</v>
      </c>
      <c r="E2178" s="8">
        <v>10.0</v>
      </c>
      <c r="F2178" s="8">
        <v>10.0</v>
      </c>
      <c r="G2178" s="8" t="s">
        <v>21</v>
      </c>
      <c r="H2178" s="9"/>
      <c r="I2178" s="9"/>
      <c r="N2178" s="10" t="str">
        <f t="shared" si="2"/>
        <v>55-157 - Oil &amp; Gas; Regulatory provisions; fail to cement in the surface casing as required to protect water</v>
      </c>
      <c r="O2178" s="10" t="str">
        <f t="shared" si="3"/>
        <v>Oil &amp; Gas</v>
      </c>
    </row>
    <row r="2179">
      <c r="A2179" s="7" t="s">
        <v>3857</v>
      </c>
      <c r="B2179" s="8" t="s">
        <v>3858</v>
      </c>
      <c r="C2179" s="8">
        <v>10.0</v>
      </c>
      <c r="D2179" s="8">
        <v>10.0</v>
      </c>
      <c r="E2179" s="8">
        <v>10.0</v>
      </c>
      <c r="F2179" s="8">
        <v>10.0</v>
      </c>
      <c r="G2179" s="8" t="s">
        <v>21</v>
      </c>
      <c r="H2179" s="9"/>
      <c r="I2179" s="9"/>
      <c r="N2179" s="10" t="str">
        <f t="shared" si="2"/>
        <v>55-156 - Oil &amp; Gas; Regulatory provisions; fail to plug well as required to protect water, prior to abandoning well</v>
      </c>
      <c r="O2179" s="10" t="str">
        <f t="shared" si="3"/>
        <v>Oil &amp; Gas</v>
      </c>
    </row>
    <row r="2180">
      <c r="A2180" s="7" t="s">
        <v>3859</v>
      </c>
      <c r="B2180" s="8" t="s">
        <v>3860</v>
      </c>
      <c r="C2180" s="8">
        <v>9.0</v>
      </c>
      <c r="D2180" s="8">
        <v>10.0</v>
      </c>
      <c r="E2180" s="8">
        <v>10.0</v>
      </c>
      <c r="F2180" s="8">
        <v>10.0</v>
      </c>
      <c r="G2180" s="8" t="s">
        <v>21</v>
      </c>
      <c r="H2180" s="9"/>
      <c r="I2180" s="9"/>
      <c r="N2180" s="10" t="str">
        <f t="shared" si="2"/>
        <v>55-162(e) - Oil &amp; Gas; Regulatory provisions; removal of seal on well without proper approval</v>
      </c>
      <c r="O2180" s="10" t="str">
        <f t="shared" si="3"/>
        <v>Oil &amp; Gas</v>
      </c>
    </row>
    <row r="2181">
      <c r="A2181" s="7" t="s">
        <v>3861</v>
      </c>
      <c r="B2181" s="8" t="s">
        <v>3862</v>
      </c>
      <c r="C2181" s="8" t="s">
        <v>27</v>
      </c>
      <c r="D2181" s="8" t="s">
        <v>28</v>
      </c>
      <c r="E2181" s="8" t="s">
        <v>19</v>
      </c>
      <c r="F2181" s="8" t="s">
        <v>20</v>
      </c>
      <c r="G2181" s="8" t="s">
        <v>21</v>
      </c>
      <c r="H2181" s="9"/>
      <c r="I2181" s="9"/>
      <c r="J2181" s="10">
        <f t="shared" ref="J2181:M2181" si="1258">ifs(OR($H2181="R",$I2181="N"),"N/A",OR(C2181="A",C2181="B",C2181="C",C2181="U"),3,TRUE,"FLAG")</f>
        <v>3</v>
      </c>
      <c r="K2181" s="10">
        <f t="shared" si="1258"/>
        <v>3</v>
      </c>
      <c r="L2181" s="10">
        <f t="shared" si="1258"/>
        <v>3</v>
      </c>
      <c r="M2181" s="10" t="str">
        <f t="shared" si="1258"/>
        <v>FLAG</v>
      </c>
      <c r="N2181" s="10" t="str">
        <f t="shared" si="2"/>
        <v>55-443(a)(9) - Oil &amp; Gas; Sell, offer or expose for sale any petroleum product which does not comply with the provisions of the petroleum products inspection law</v>
      </c>
      <c r="O2181" s="10" t="str">
        <f t="shared" si="3"/>
        <v>Oil &amp; Gas</v>
      </c>
    </row>
    <row r="2182">
      <c r="A2182" s="7" t="s">
        <v>3863</v>
      </c>
      <c r="B2182" s="8" t="s">
        <v>3864</v>
      </c>
      <c r="C2182" s="8" t="s">
        <v>27</v>
      </c>
      <c r="D2182" s="8" t="s">
        <v>28</v>
      </c>
      <c r="E2182" s="8" t="s">
        <v>19</v>
      </c>
      <c r="F2182" s="8" t="s">
        <v>20</v>
      </c>
      <c r="G2182" s="8" t="s">
        <v>21</v>
      </c>
      <c r="H2182" s="9"/>
      <c r="I2182" s="9"/>
      <c r="J2182" s="10">
        <f t="shared" ref="J2182:M2182" si="1259">ifs(OR($H2182="R",$I2182="N"),"N/A",OR(C2182="A",C2182="B",C2182="C",C2182="U"),3,TRUE,"FLAG")</f>
        <v>3</v>
      </c>
      <c r="K2182" s="10">
        <f t="shared" si="1259"/>
        <v>3</v>
      </c>
      <c r="L2182" s="10">
        <f t="shared" si="1259"/>
        <v>3</v>
      </c>
      <c r="M2182" s="10" t="str">
        <f t="shared" si="1259"/>
        <v>FLAG</v>
      </c>
      <c r="N2182" s="10" t="str">
        <f t="shared" si="2"/>
        <v>55-443(a)(10) - Oil &amp; Gas; Sell, use, remove, otherwise dispose of or fail to remove from the premises specified, any dispensing device, package or commodity contrary to the terms of any order issued by the secretary</v>
      </c>
      <c r="O2182" s="10" t="str">
        <f t="shared" si="3"/>
        <v>Oil &amp; Gas</v>
      </c>
    </row>
    <row r="2183">
      <c r="A2183" s="7" t="s">
        <v>3865</v>
      </c>
      <c r="B2183" s="8" t="s">
        <v>3866</v>
      </c>
      <c r="C2183" s="8" t="s">
        <v>18</v>
      </c>
      <c r="D2183" s="8" t="s">
        <v>18</v>
      </c>
      <c r="E2183" s="8" t="s">
        <v>19</v>
      </c>
      <c r="F2183" s="8" t="s">
        <v>20</v>
      </c>
      <c r="G2183" s="8" t="s">
        <v>21</v>
      </c>
      <c r="H2183" s="9"/>
      <c r="I2183" s="9"/>
      <c r="J2183" s="10">
        <f t="shared" ref="J2183:M2183" si="1260">ifs(OR($H2183="R",$I2183="N"),"N/A",OR(C2183="A",C2183="B",C2183="C",C2183="U"),3,TRUE,"FLAG")</f>
        <v>3</v>
      </c>
      <c r="K2183" s="10">
        <f t="shared" si="1260"/>
        <v>3</v>
      </c>
      <c r="L2183" s="10">
        <f t="shared" si="1260"/>
        <v>3</v>
      </c>
      <c r="M2183" s="10" t="str">
        <f t="shared" si="1260"/>
        <v>FLAG</v>
      </c>
      <c r="N2183" s="10" t="str">
        <f t="shared" si="2"/>
        <v>55-112(a) - Oil &amp; Gas; Transportation of gas; standards for</v>
      </c>
      <c r="O2183" s="10" t="str">
        <f t="shared" si="3"/>
        <v>Oil &amp; Gas</v>
      </c>
    </row>
    <row r="2184">
      <c r="A2184" s="7" t="s">
        <v>3867</v>
      </c>
      <c r="B2184" s="8" t="s">
        <v>3868</v>
      </c>
      <c r="C2184" s="8" t="s">
        <v>27</v>
      </c>
      <c r="D2184" s="8" t="s">
        <v>28</v>
      </c>
      <c r="E2184" s="8" t="s">
        <v>19</v>
      </c>
      <c r="F2184" s="8" t="s">
        <v>20</v>
      </c>
      <c r="G2184" s="8" t="s">
        <v>21</v>
      </c>
      <c r="H2184" s="9"/>
      <c r="I2184" s="9"/>
      <c r="J2184" s="10">
        <f t="shared" ref="J2184:M2184" si="1261">ifs(OR($H2184="R",$I2184="N"),"N/A",OR(C2184="A",C2184="B",C2184="C",C2184="U"),3,TRUE,"FLAG")</f>
        <v>3</v>
      </c>
      <c r="K2184" s="10">
        <f t="shared" si="1261"/>
        <v>3</v>
      </c>
      <c r="L2184" s="10">
        <f t="shared" si="1261"/>
        <v>3</v>
      </c>
      <c r="M2184" s="10" t="str">
        <f t="shared" si="1261"/>
        <v>FLAG</v>
      </c>
      <c r="N2184" s="10" t="str">
        <f t="shared" si="2"/>
        <v>55-443(a)(12) - Oil &amp; Gas; Violate any order issued by the secretary pursuant to chapter 83 of the Kansas Statutes Annotated</v>
      </c>
      <c r="O2184" s="10" t="str">
        <f t="shared" si="3"/>
        <v>Oil &amp; Gas</v>
      </c>
    </row>
    <row r="2185">
      <c r="A2185" s="7" t="s">
        <v>3869</v>
      </c>
      <c r="B2185" s="8" t="s">
        <v>3870</v>
      </c>
      <c r="C2185" s="8" t="s">
        <v>19</v>
      </c>
      <c r="D2185" s="8" t="s">
        <v>19</v>
      </c>
      <c r="E2185" s="8" t="s">
        <v>19</v>
      </c>
      <c r="F2185" s="8" t="s">
        <v>20</v>
      </c>
      <c r="G2185" s="8" t="s">
        <v>21</v>
      </c>
      <c r="H2185" s="9"/>
      <c r="I2185" s="9"/>
      <c r="J2185" s="10">
        <f t="shared" ref="J2185:M2185" si="1262">ifs(OR($H2185="R",$I2185="N"),"N/A",OR(C2185="A",C2185="B",C2185="C",C2185="U"),3,TRUE,"FLAG")</f>
        <v>3</v>
      </c>
      <c r="K2185" s="10">
        <f t="shared" si="1262"/>
        <v>3</v>
      </c>
      <c r="L2185" s="10">
        <f t="shared" si="1262"/>
        <v>3</v>
      </c>
      <c r="M2185" s="10" t="str">
        <f t="shared" si="1262"/>
        <v>FLAG</v>
      </c>
      <c r="N2185" s="10" t="str">
        <f t="shared" si="2"/>
        <v>65-1504b - Optometry Law; Dispense ophthalmic lens or lenses without prescription order; 1st offense</v>
      </c>
      <c r="O2185" s="10" t="str">
        <f t="shared" si="3"/>
        <v>Optometry Law</v>
      </c>
    </row>
    <row r="2186">
      <c r="A2186" s="7" t="s">
        <v>3871</v>
      </c>
      <c r="B2186" s="8" t="s">
        <v>3870</v>
      </c>
      <c r="C2186" s="8" t="s">
        <v>28</v>
      </c>
      <c r="D2186" s="8" t="s">
        <v>19</v>
      </c>
      <c r="E2186" s="8" t="s">
        <v>19</v>
      </c>
      <c r="F2186" s="8" t="s">
        <v>20</v>
      </c>
      <c r="G2186" s="8" t="s">
        <v>21</v>
      </c>
      <c r="H2186" s="9"/>
      <c r="I2186" s="9"/>
      <c r="J2186" s="10">
        <f t="shared" ref="J2186:M2186" si="1263">ifs(OR($H2186="R",$I2186="N"),"N/A",OR(C2186="A",C2186="B",C2186="C",C2186="U"),3,TRUE,"FLAG")</f>
        <v>3</v>
      </c>
      <c r="K2186" s="10">
        <f t="shared" si="1263"/>
        <v>3</v>
      </c>
      <c r="L2186" s="10">
        <f t="shared" si="1263"/>
        <v>3</v>
      </c>
      <c r="M2186" s="10" t="str">
        <f t="shared" si="1263"/>
        <v>FLAG</v>
      </c>
      <c r="N2186" s="10" t="str">
        <f t="shared" si="2"/>
        <v>65-1504b - Optometry Law; Dispense ophthalmic lens or lenses without prescription order; 2nd or subs. offense</v>
      </c>
      <c r="O2186" s="10" t="str">
        <f t="shared" si="3"/>
        <v>Optometry Law</v>
      </c>
    </row>
    <row r="2187">
      <c r="A2187" s="7" t="s">
        <v>3872</v>
      </c>
      <c r="B2187" s="8" t="s">
        <v>3873</v>
      </c>
      <c r="C2187" s="8" t="s">
        <v>27</v>
      </c>
      <c r="D2187" s="8" t="s">
        <v>28</v>
      </c>
      <c r="E2187" s="8" t="s">
        <v>19</v>
      </c>
      <c r="F2187" s="8" t="s">
        <v>20</v>
      </c>
      <c r="G2187" s="8" t="s">
        <v>21</v>
      </c>
      <c r="H2187" s="9"/>
      <c r="I2187" s="9"/>
      <c r="J2187" s="10">
        <f t="shared" ref="J2187:M2187" si="1264">ifs(OR($H2187="R",$I2187="N"),"N/A",OR(C2187="A",C2187="B",C2187="C",C2187="U"),3,TRUE,"FLAG")</f>
        <v>3</v>
      </c>
      <c r="K2187" s="10">
        <f t="shared" si="1264"/>
        <v>3</v>
      </c>
      <c r="L2187" s="10">
        <f t="shared" si="1264"/>
        <v>3</v>
      </c>
      <c r="M2187" s="10" t="str">
        <f t="shared" si="1264"/>
        <v>FLAG</v>
      </c>
      <c r="N2187" s="10" t="str">
        <f t="shared" si="2"/>
        <v>65-1505(f)(3) - Optometry Law; Unauthorized disclosure of confidential fingerprints and criminal history record check information</v>
      </c>
      <c r="O2187" s="10" t="str">
        <f t="shared" si="3"/>
        <v>Optometry Law</v>
      </c>
    </row>
    <row r="2188">
      <c r="A2188" s="7" t="s">
        <v>3874</v>
      </c>
      <c r="B2188" s="8" t="s">
        <v>3875</v>
      </c>
      <c r="C2188" s="8" t="s">
        <v>27</v>
      </c>
      <c r="D2188" s="8" t="s">
        <v>28</v>
      </c>
      <c r="E2188" s="8" t="s">
        <v>19</v>
      </c>
      <c r="F2188" s="8" t="s">
        <v>20</v>
      </c>
      <c r="G2188" s="8" t="s">
        <v>21</v>
      </c>
      <c r="H2188" s="9"/>
      <c r="I2188" s="9"/>
      <c r="J2188" s="10">
        <f t="shared" ref="J2188:M2188" si="1265">ifs(OR($H2188="R",$I2188="N"),"N/A",OR(C2188="A",C2188="B",C2188="C",C2188="U"),3,TRUE,"FLAG")</f>
        <v>3</v>
      </c>
      <c r="K2188" s="10">
        <f t="shared" si="1265"/>
        <v>3</v>
      </c>
      <c r="L2188" s="10">
        <f t="shared" si="1265"/>
        <v>3</v>
      </c>
      <c r="M2188" s="10" t="str">
        <f t="shared" si="1265"/>
        <v>FLAG</v>
      </c>
      <c r="N2188" s="10" t="str">
        <f t="shared" si="2"/>
        <v>74-8810(i)(2) - Parimutuel Racing; Accept, transmit or deliver, from a person outside a racetrack facility, anything of value to be wagered in any parimutuel system of wagering within a racetrack facility; 1st offense</v>
      </c>
      <c r="O2188" s="10" t="str">
        <f t="shared" si="3"/>
        <v>Parimutuel Racing</v>
      </c>
    </row>
    <row r="2189">
      <c r="A2189" s="7" t="s">
        <v>3876</v>
      </c>
      <c r="B2189" s="8" t="s">
        <v>3877</v>
      </c>
      <c r="C2189" s="8">
        <v>8.0</v>
      </c>
      <c r="D2189" s="8">
        <v>10.0</v>
      </c>
      <c r="E2189" s="8">
        <v>10.0</v>
      </c>
      <c r="F2189" s="8">
        <v>10.0</v>
      </c>
      <c r="G2189" s="8" t="s">
        <v>21</v>
      </c>
      <c r="H2189" s="9"/>
      <c r="I2189" s="9"/>
      <c r="N2189" s="10" t="str">
        <f t="shared" si="2"/>
        <v>74-8810(j)(2) - Parimutuel Racing; Accept, transmit or deliver, from any person outside a racetrack facility, anything of value to be wagered in any parimutuel system of wagering within a racetrack facility; 2nd or subs. offense</v>
      </c>
      <c r="O2189" s="10" t="str">
        <f t="shared" si="3"/>
        <v>Parimutuel Racing</v>
      </c>
    </row>
    <row r="2190">
      <c r="A2190" s="7" t="s">
        <v>3878</v>
      </c>
      <c r="B2190" s="8" t="s">
        <v>3879</v>
      </c>
      <c r="C2190" s="8">
        <v>8.0</v>
      </c>
      <c r="D2190" s="8">
        <v>10.0</v>
      </c>
      <c r="E2190" s="8">
        <v>10.0</v>
      </c>
      <c r="F2190" s="8">
        <v>10.0</v>
      </c>
      <c r="G2190" s="8" t="s">
        <v>21</v>
      </c>
      <c r="H2190" s="9"/>
      <c r="I2190" s="9"/>
      <c r="N2190" s="10" t="str">
        <f t="shared" si="2"/>
        <v>74-8810(j)(7) - Parimutuel Racing; Administer or conspire to administer, any drug or medication to a horse or greyhound in violation of rules and regulations of the commission; 2nd or subs. offense</v>
      </c>
      <c r="O2190" s="10" t="str">
        <f t="shared" si="3"/>
        <v>Parimutuel Racing</v>
      </c>
    </row>
    <row r="2191">
      <c r="A2191" s="7" t="s">
        <v>3880</v>
      </c>
      <c r="B2191" s="8" t="s">
        <v>3881</v>
      </c>
      <c r="C2191" s="8" t="s">
        <v>27</v>
      </c>
      <c r="D2191" s="8" t="s">
        <v>28</v>
      </c>
      <c r="E2191" s="8" t="s">
        <v>19</v>
      </c>
      <c r="F2191" s="8" t="s">
        <v>20</v>
      </c>
      <c r="G2191" s="8" t="s">
        <v>21</v>
      </c>
      <c r="H2191" s="9"/>
      <c r="I2191" s="9"/>
      <c r="J2191" s="10">
        <f t="shared" ref="J2191:M2191" si="1266">ifs(OR($H2191="R",$I2191="N"),"N/A",OR(C2191="A",C2191="B",C2191="C",C2191="U"),3,TRUE,"FLAG")</f>
        <v>3</v>
      </c>
      <c r="K2191" s="10">
        <f t="shared" si="1266"/>
        <v>3</v>
      </c>
      <c r="L2191" s="10">
        <f t="shared" si="1266"/>
        <v>3</v>
      </c>
      <c r="M2191" s="10" t="str">
        <f t="shared" si="1266"/>
        <v>FLAG</v>
      </c>
      <c r="N2191" s="10" t="str">
        <f t="shared" si="2"/>
        <v>74-8810(i)(3) - Parimutuel Racing; Administering any drug or medication to a horse or greyhound within a racetrack facility in violation of rules and regulations; 1st offense</v>
      </c>
      <c r="O2191" s="10" t="str">
        <f t="shared" si="3"/>
        <v>Parimutuel Racing</v>
      </c>
    </row>
    <row r="2192">
      <c r="A2192" s="7" t="s">
        <v>3882</v>
      </c>
      <c r="B2192" s="8" t="s">
        <v>3883</v>
      </c>
      <c r="C2192" s="8">
        <v>8.0</v>
      </c>
      <c r="D2192" s="8">
        <v>10.0</v>
      </c>
      <c r="E2192" s="8">
        <v>10.0</v>
      </c>
      <c r="F2192" s="8">
        <v>10.0</v>
      </c>
      <c r="G2192" s="8" t="s">
        <v>21</v>
      </c>
      <c r="H2192" s="9"/>
      <c r="I2192" s="9"/>
      <c r="N2192" s="10" t="str">
        <f t="shared" si="2"/>
        <v>74-8810(j)(11) - Parimutuel Racing; Alter, or attempt to alter, the natural outcome of any race conducted by, or any simulcast race displayed by, an organization licensee or transmit or receive an altered race or delayed broadcast race if parimutuel wagering is conducted or solicited after off time of the race</v>
      </c>
      <c r="O2192" s="10" t="str">
        <f t="shared" si="3"/>
        <v>Parimutuel Racing</v>
      </c>
    </row>
    <row r="2193">
      <c r="A2193" s="7" t="s">
        <v>3884</v>
      </c>
      <c r="B2193" s="8" t="s">
        <v>3885</v>
      </c>
      <c r="C2193" s="8">
        <v>8.0</v>
      </c>
      <c r="D2193" s="8">
        <v>10.0</v>
      </c>
      <c r="E2193" s="8">
        <v>10.0</v>
      </c>
      <c r="F2193" s="8">
        <v>10.0</v>
      </c>
      <c r="G2193" s="8" t="s">
        <v>21</v>
      </c>
      <c r="H2193" s="9"/>
      <c r="I2193" s="9"/>
      <c r="N2193" s="10" t="str">
        <f t="shared" si="2"/>
        <v>74-8810(j)(3) - Parimutuel Racing; Conduct or assist in the conduct of a horse or greyhound race, or the display of a simulcast race, where the parimutuel system of wagering is used or is intended to be used without a license</v>
      </c>
      <c r="O2193" s="10" t="str">
        <f t="shared" si="3"/>
        <v>Parimutuel Racing</v>
      </c>
    </row>
    <row r="2194">
      <c r="A2194" s="7" t="s">
        <v>3886</v>
      </c>
      <c r="B2194" s="8" t="s">
        <v>3887</v>
      </c>
      <c r="C2194" s="8">
        <v>8.0</v>
      </c>
      <c r="D2194" s="8">
        <v>10.0</v>
      </c>
      <c r="E2194" s="8">
        <v>10.0</v>
      </c>
      <c r="F2194" s="8">
        <v>10.0</v>
      </c>
      <c r="G2194" s="8" t="s">
        <v>21</v>
      </c>
      <c r="H2194" s="9"/>
      <c r="I2194" s="9"/>
      <c r="N2194" s="10" t="str">
        <f t="shared" si="2"/>
        <v>74-8810(j)(4) - Parimutuel Racing; Enter any horse or greyhound in any race conducted by an organization licensee knowing that the class or grade entered is not the true class or grade or knowing that the name under which entered is not the registered name</v>
      </c>
      <c r="O2194" s="10" t="str">
        <f t="shared" si="3"/>
        <v>Parimutuel Racing</v>
      </c>
    </row>
    <row r="2195">
      <c r="A2195" s="7" t="s">
        <v>3888</v>
      </c>
      <c r="B2195" s="8" t="s">
        <v>3889</v>
      </c>
      <c r="C2195" s="8" t="s">
        <v>27</v>
      </c>
      <c r="D2195" s="8" t="s">
        <v>28</v>
      </c>
      <c r="E2195" s="8" t="s">
        <v>19</v>
      </c>
      <c r="F2195" s="8" t="s">
        <v>20</v>
      </c>
      <c r="G2195" s="8" t="s">
        <v>21</v>
      </c>
      <c r="H2195" s="9"/>
      <c r="I2195" s="9"/>
      <c r="J2195" s="10">
        <f t="shared" ref="J2195:M2195" si="1267">ifs(OR($H2195="R",$I2195="N"),"N/A",OR(C2195="A",C2195="B",C2195="C",C2195="U"),3,TRUE,"FLAG")</f>
        <v>3</v>
      </c>
      <c r="K2195" s="10">
        <f t="shared" si="1267"/>
        <v>3</v>
      </c>
      <c r="L2195" s="10">
        <f t="shared" si="1267"/>
        <v>3</v>
      </c>
      <c r="M2195" s="10" t="str">
        <f t="shared" si="1267"/>
        <v>FLAG</v>
      </c>
      <c r="N2195" s="10" t="str">
        <f t="shared" si="2"/>
        <v>74-8810(i)(6) - Parimutuel Racing; Enter any horse or greyhound in any race knowing such horse or greyhound to be ineligible to compete in such race pursuant to K.S.A. 74-8812</v>
      </c>
      <c r="O2195" s="10" t="str">
        <f t="shared" si="3"/>
        <v>Parimutuel Racing</v>
      </c>
    </row>
    <row r="2196">
      <c r="A2196" s="7" t="s">
        <v>3890</v>
      </c>
      <c r="B2196" s="8" t="s">
        <v>3891</v>
      </c>
      <c r="C2196" s="8">
        <v>8.0</v>
      </c>
      <c r="D2196" s="8">
        <v>10.0</v>
      </c>
      <c r="E2196" s="8">
        <v>10.0</v>
      </c>
      <c r="F2196" s="8">
        <v>10.0</v>
      </c>
      <c r="G2196" s="8" t="s">
        <v>21</v>
      </c>
      <c r="H2196" s="9"/>
      <c r="I2196" s="9"/>
      <c r="N2196" s="10" t="str">
        <f t="shared" si="2"/>
        <v>74-8810(j)(14) - Parimutuel Racing; Fail to report knowledge of any violation of this act by another person for the purpose of stimulating or depressing any horse or greyhound, or affecting its speed</v>
      </c>
      <c r="O2196" s="10" t="str">
        <f t="shared" si="3"/>
        <v>Parimutuel Racing</v>
      </c>
    </row>
    <row r="2197">
      <c r="A2197" s="7" t="s">
        <v>3892</v>
      </c>
      <c r="B2197" s="8" t="s">
        <v>3893</v>
      </c>
      <c r="C2197" s="8">
        <v>8.0</v>
      </c>
      <c r="D2197" s="8">
        <v>10.0</v>
      </c>
      <c r="E2197" s="8">
        <v>10.0</v>
      </c>
      <c r="F2197" s="8">
        <v>10.0</v>
      </c>
      <c r="G2197" s="8" t="s">
        <v>21</v>
      </c>
      <c r="H2197" s="9"/>
      <c r="I2197" s="9"/>
      <c r="N2197" s="10" t="str">
        <f t="shared" si="2"/>
        <v>74-8810(j)(15)(A) - Parimutuel Racing; Falsify, conceal or cover up, by any trick, scheme or device, a material fact related to breeding, buying, selling or racing or prior racing record, pedigree, identity or ownership of a registered horse or greyhound</v>
      </c>
      <c r="O2197" s="10" t="str">
        <f t="shared" si="3"/>
        <v>Parimutuel Racing</v>
      </c>
    </row>
    <row r="2198">
      <c r="A2198" s="7" t="s">
        <v>3894</v>
      </c>
      <c r="B2198" s="8" t="s">
        <v>3895</v>
      </c>
      <c r="C2198" s="8" t="s">
        <v>27</v>
      </c>
      <c r="D2198" s="8" t="s">
        <v>28</v>
      </c>
      <c r="E2198" s="8" t="s">
        <v>19</v>
      </c>
      <c r="F2198" s="8" t="s">
        <v>20</v>
      </c>
      <c r="G2198" s="8" t="s">
        <v>21</v>
      </c>
      <c r="H2198" s="9"/>
      <c r="I2198" s="9"/>
      <c r="J2198" s="10">
        <f t="shared" ref="J2198:M2198" si="1268">ifs(OR($H2198="R",$I2198="N"),"N/A",OR(C2198="A",C2198="B",C2198="C",C2198="U"),3,TRUE,"FLAG")</f>
        <v>3</v>
      </c>
      <c r="K2198" s="10">
        <f t="shared" si="1268"/>
        <v>3</v>
      </c>
      <c r="L2198" s="10">
        <f t="shared" si="1268"/>
        <v>3</v>
      </c>
      <c r="M2198" s="10" t="str">
        <f t="shared" si="1268"/>
        <v>FLAG</v>
      </c>
      <c r="N2198" s="10" t="str">
        <f t="shared" si="2"/>
        <v>74-8810(b)(2) - Parimutuel Racing; Holding paid position with any facility manager licensee, facility owner licensee or organization licensee or holding an interest in any racetrack facility if related to a member of the Legislature</v>
      </c>
      <c r="O2198" s="10" t="str">
        <f t="shared" si="3"/>
        <v>Parimutuel Racing</v>
      </c>
    </row>
    <row r="2199">
      <c r="A2199" s="7" t="s">
        <v>3896</v>
      </c>
      <c r="B2199" s="8" t="s">
        <v>3897</v>
      </c>
      <c r="C2199" s="8" t="s">
        <v>27</v>
      </c>
      <c r="D2199" s="8" t="s">
        <v>28</v>
      </c>
      <c r="E2199" s="8" t="s">
        <v>19</v>
      </c>
      <c r="F2199" s="8" t="s">
        <v>20</v>
      </c>
      <c r="G2199" s="8" t="s">
        <v>21</v>
      </c>
      <c r="H2199" s="9"/>
      <c r="I2199" s="9"/>
      <c r="J2199" s="10">
        <f t="shared" ref="J2199:M2199" si="1269">ifs(OR($H2199="R",$I2199="N"),"N/A",OR(C2199="A",C2199="B",C2199="C",C2199="U"),3,TRUE,"FLAG")</f>
        <v>3</v>
      </c>
      <c r="K2199" s="10">
        <f t="shared" si="1269"/>
        <v>3</v>
      </c>
      <c r="L2199" s="10">
        <f t="shared" si="1269"/>
        <v>3</v>
      </c>
      <c r="M2199" s="10" t="str">
        <f t="shared" si="1269"/>
        <v>FLAG</v>
      </c>
      <c r="N2199" s="10" t="str">
        <f t="shared" si="2"/>
        <v>74-8810(b)(1) - Parimutuel Racing; Holding paid position with any facility manger licensee, facility owner licensee or organization licensee or holding an interest in any racetrack facility if a member of the Legislature or within 5 yrs following the end of such term</v>
      </c>
      <c r="O2199" s="10" t="str">
        <f t="shared" si="3"/>
        <v>Parimutuel Racing</v>
      </c>
    </row>
    <row r="2200">
      <c r="A2200" s="7" t="s">
        <v>3898</v>
      </c>
      <c r="B2200" s="8" t="s">
        <v>3899</v>
      </c>
      <c r="C2200" s="8" t="s">
        <v>27</v>
      </c>
      <c r="D2200" s="8" t="s">
        <v>28</v>
      </c>
      <c r="E2200" s="8" t="s">
        <v>19</v>
      </c>
      <c r="F2200" s="8" t="s">
        <v>20</v>
      </c>
      <c r="G2200" s="8" t="s">
        <v>21</v>
      </c>
      <c r="H2200" s="9"/>
      <c r="I2200" s="9"/>
      <c r="J2200" s="10">
        <f t="shared" ref="J2200:M2200" si="1270">ifs(OR($H2200="R",$I2200="N"),"N/A",OR(C2200="A",C2200="B",C2200="C",C2200="U"),3,TRUE,"FLAG")</f>
        <v>3</v>
      </c>
      <c r="K2200" s="10">
        <f t="shared" si="1270"/>
        <v>3</v>
      </c>
      <c r="L2200" s="10">
        <f t="shared" si="1270"/>
        <v>3</v>
      </c>
      <c r="M2200" s="10" t="str">
        <f t="shared" si="1270"/>
        <v>FLAG</v>
      </c>
      <c r="N2200" s="10" t="str">
        <f t="shared" si="2"/>
        <v>74-8810(k)(1) - Parimutuel Racing; Illegal purchase of a parimutuel ticket by person 18 or over but less than 21; 1st offense</v>
      </c>
      <c r="O2200" s="10" t="str">
        <f t="shared" si="3"/>
        <v>Parimutuel Racing</v>
      </c>
    </row>
    <row r="2201">
      <c r="A2201" s="7" t="s">
        <v>3900</v>
      </c>
      <c r="B2201" s="8" t="s">
        <v>3899</v>
      </c>
      <c r="C2201" s="8">
        <v>8.0</v>
      </c>
      <c r="D2201" s="8">
        <v>10.0</v>
      </c>
      <c r="E2201" s="8">
        <v>10.0</v>
      </c>
      <c r="F2201" s="8">
        <v>10.0</v>
      </c>
      <c r="G2201" s="8" t="s">
        <v>21</v>
      </c>
      <c r="H2201" s="9"/>
      <c r="I2201" s="9"/>
      <c r="N2201" s="10" t="str">
        <f t="shared" si="2"/>
        <v>74-8810(k)(1) - Parimutuel Racing; Illegal purchase of a parimutuel ticket by person 18 or over but less than 21; 2nd or subs. offense</v>
      </c>
      <c r="O2201" s="10" t="str">
        <f t="shared" si="3"/>
        <v>Parimutuel Racing</v>
      </c>
    </row>
    <row r="2202">
      <c r="A2202" s="7" t="s">
        <v>3901</v>
      </c>
      <c r="B2202" s="8" t="s">
        <v>3902</v>
      </c>
      <c r="C2202" s="8">
        <v>8.0</v>
      </c>
      <c r="D2202" s="8">
        <v>10.0</v>
      </c>
      <c r="E2202" s="8">
        <v>10.0</v>
      </c>
      <c r="F2202" s="8">
        <v>10.0</v>
      </c>
      <c r="G2202" s="8" t="s">
        <v>21</v>
      </c>
      <c r="H2202" s="9"/>
      <c r="I2202" s="9"/>
      <c r="N2202" s="10" t="str">
        <f t="shared" si="2"/>
        <v>74-8810(j)(13) - Parimutuel Racing; Influence or attempt to influence any member, employee or appointee of the commission, by payment, in the performance of any official duty of that member, employee or appointee</v>
      </c>
      <c r="O2202" s="10" t="str">
        <f t="shared" si="3"/>
        <v>Parimutuel Racing</v>
      </c>
    </row>
    <row r="2203">
      <c r="A2203" s="7" t="s">
        <v>3903</v>
      </c>
      <c r="B2203" s="8" t="s">
        <v>3904</v>
      </c>
      <c r="C2203" s="8">
        <v>8.0</v>
      </c>
      <c r="D2203" s="8">
        <v>10.0</v>
      </c>
      <c r="E2203" s="8">
        <v>10.0</v>
      </c>
      <c r="F2203" s="8">
        <v>10.0</v>
      </c>
      <c r="G2203" s="8" t="s">
        <v>21</v>
      </c>
      <c r="H2203" s="9"/>
      <c r="I2203" s="9"/>
      <c r="N2203" s="10" t="str">
        <f t="shared" si="2"/>
        <v>74-8810(j)(12) - Parimutuel Racing; Influence or attempt to influence, by the payment or promise of payment of money or other valuable consideration, any person to alter the natural outcome of any race conducted by, or any simulcast race displayed by, an organization licensee</v>
      </c>
      <c r="O2203" s="10" t="str">
        <f t="shared" si="3"/>
        <v>Parimutuel Racing</v>
      </c>
    </row>
    <row r="2204">
      <c r="A2204" s="7" t="s">
        <v>3905</v>
      </c>
      <c r="B2204" s="8" t="s">
        <v>3906</v>
      </c>
      <c r="C2204" s="8">
        <v>8.0</v>
      </c>
      <c r="D2204" s="8">
        <v>10.0</v>
      </c>
      <c r="E2204" s="8">
        <v>10.0</v>
      </c>
      <c r="F2204" s="8">
        <v>10.0</v>
      </c>
      <c r="G2204" s="8" t="s">
        <v>21</v>
      </c>
      <c r="H2204" s="9"/>
      <c r="I2204" s="9"/>
      <c r="N2204" s="10" t="str">
        <f t="shared" si="2"/>
        <v>74-8810(j)(15)(C) - Parimutuel Racing; Knowingly make or use any false writing related to breeding, buying, selling or racing or prior racing record, pedigree, identity or ownership of a registered horse or greyhound</v>
      </c>
      <c r="O2204" s="10" t="str">
        <f t="shared" si="3"/>
        <v>Parimutuel Racing</v>
      </c>
    </row>
    <row r="2205">
      <c r="A2205" s="7" t="s">
        <v>3907</v>
      </c>
      <c r="B2205" s="8" t="s">
        <v>3908</v>
      </c>
      <c r="C2205" s="8">
        <v>8.0</v>
      </c>
      <c r="D2205" s="8">
        <v>10.0</v>
      </c>
      <c r="E2205" s="8">
        <v>10.0</v>
      </c>
      <c r="F2205" s="8">
        <v>10.0</v>
      </c>
      <c r="G2205" s="8" t="s">
        <v>21</v>
      </c>
      <c r="H2205" s="9"/>
      <c r="I2205" s="9"/>
      <c r="N2205" s="10" t="str">
        <f t="shared" si="2"/>
        <v>74-8810(j)(15)(B) - Parimutuel Racing; Make any false, fictitious or fraudulent statement or representation related to breeding, buying, selling or racing or prior racing record, pedigree, identity or ownership of a registered horse or greyhound</v>
      </c>
      <c r="O2205" s="10" t="str">
        <f t="shared" si="3"/>
        <v>Parimutuel Racing</v>
      </c>
    </row>
    <row r="2206">
      <c r="A2206" s="7" t="s">
        <v>3909</v>
      </c>
      <c r="B2206" s="8" t="s">
        <v>3910</v>
      </c>
      <c r="C2206" s="8">
        <v>8.0</v>
      </c>
      <c r="D2206" s="8">
        <v>10.0</v>
      </c>
      <c r="E2206" s="8">
        <v>10.0</v>
      </c>
      <c r="F2206" s="8">
        <v>10.0</v>
      </c>
      <c r="G2206" s="8" t="s">
        <v>21</v>
      </c>
      <c r="H2206" s="9"/>
      <c r="I2206" s="9"/>
      <c r="N2206" s="10" t="str">
        <f t="shared" si="2"/>
        <v>74-8810(j)(16) - Parimutuel Racing; Pass or attempt to pass, cash or attempt to cash any altered or forged parimutuel ticket knowing it to have been altered or forged</v>
      </c>
      <c r="O2206" s="10" t="str">
        <f t="shared" si="3"/>
        <v>Parimutuel Racing</v>
      </c>
    </row>
    <row r="2207">
      <c r="A2207" s="7" t="s">
        <v>3911</v>
      </c>
      <c r="B2207" s="8" t="s">
        <v>3912</v>
      </c>
      <c r="C2207" s="8">
        <v>8.0</v>
      </c>
      <c r="D2207" s="8">
        <v>10.0</v>
      </c>
      <c r="E2207" s="8">
        <v>10.0</v>
      </c>
      <c r="F2207" s="8">
        <v>10.0</v>
      </c>
      <c r="G2207" s="8" t="s">
        <v>21</v>
      </c>
      <c r="H2207" s="9"/>
      <c r="I2207" s="9"/>
      <c r="N2207" s="10" t="str">
        <f t="shared" si="2"/>
        <v>74-8810(j)(6) - Parimutuel Racing; Possess any unusual device or lure designed or intended to affect the speed of a horse or greyhound</v>
      </c>
      <c r="O2207" s="10" t="str">
        <f t="shared" si="3"/>
        <v>Parimutuel Racing</v>
      </c>
    </row>
    <row r="2208">
      <c r="A2208" s="7" t="s">
        <v>3913</v>
      </c>
      <c r="B2208" s="8" t="s">
        <v>3914</v>
      </c>
      <c r="C2208" s="8">
        <v>8.0</v>
      </c>
      <c r="D2208" s="8">
        <v>10.0</v>
      </c>
      <c r="E2208" s="8">
        <v>10.0</v>
      </c>
      <c r="F2208" s="8">
        <v>10.0</v>
      </c>
      <c r="G2208" s="8" t="s">
        <v>21</v>
      </c>
      <c r="H2208" s="9"/>
      <c r="I2208" s="9"/>
      <c r="N2208" s="10" t="str">
        <f t="shared" si="2"/>
        <v>74-8810(j)(8) - Parimutuel Racing; Possess or conspire to possess, any drug or medication for administration to a horse or greyhound in violation of rules and regulations of the commission; 2nd or subs. offense</v>
      </c>
      <c r="O2208" s="10" t="str">
        <f t="shared" si="3"/>
        <v>Parimutuel Racing</v>
      </c>
    </row>
    <row r="2209">
      <c r="A2209" s="7" t="s">
        <v>3915</v>
      </c>
      <c r="B2209" s="8" t="s">
        <v>3916</v>
      </c>
      <c r="C2209" s="8">
        <v>8.0</v>
      </c>
      <c r="D2209" s="8">
        <v>10.0</v>
      </c>
      <c r="E2209" s="8">
        <v>10.0</v>
      </c>
      <c r="F2209" s="8">
        <v>10.0</v>
      </c>
      <c r="G2209" s="8" t="s">
        <v>21</v>
      </c>
      <c r="H2209" s="9"/>
      <c r="I2209" s="9"/>
      <c r="N2209" s="10" t="str">
        <f t="shared" si="2"/>
        <v>74-8810(j)(9) - Parimutuel Racing; Possess or conspire to possess, equipment for administering drugs or medications to horses or greyhounds in violation of rules and regulations of the commission; 2nd or subs. offense</v>
      </c>
      <c r="O2209" s="10" t="str">
        <f t="shared" si="3"/>
        <v>Parimutuel Racing</v>
      </c>
    </row>
    <row r="2210">
      <c r="A2210" s="7" t="s">
        <v>3917</v>
      </c>
      <c r="B2210" s="8" t="s">
        <v>3918</v>
      </c>
      <c r="C2210" s="8" t="s">
        <v>27</v>
      </c>
      <c r="D2210" s="8" t="s">
        <v>28</v>
      </c>
      <c r="E2210" s="8" t="s">
        <v>19</v>
      </c>
      <c r="F2210" s="8" t="s">
        <v>20</v>
      </c>
      <c r="G2210" s="8" t="s">
        <v>21</v>
      </c>
      <c r="H2210" s="9"/>
      <c r="I2210" s="9"/>
      <c r="J2210" s="10">
        <f t="shared" ref="J2210:M2210" si="1271">ifs(OR($H2210="R",$I2210="N"),"N/A",OR(C2210="A",C2210="B",C2210="C",C2210="U"),3,TRUE,"FLAG")</f>
        <v>3</v>
      </c>
      <c r="K2210" s="10">
        <f t="shared" si="1271"/>
        <v>3</v>
      </c>
      <c r="L2210" s="10">
        <f t="shared" si="1271"/>
        <v>3</v>
      </c>
      <c r="M2210" s="10" t="str">
        <f t="shared" si="1271"/>
        <v>FLAG</v>
      </c>
      <c r="N2210" s="10" t="str">
        <f t="shared" si="2"/>
        <v>74-8810(i)(4) - Parimutuel Racing; Possession within a racetrack facility of any drug or medication for administration to a horse or greyhound in violation of rules and regulations; 1st offense</v>
      </c>
      <c r="O2210" s="10" t="str">
        <f t="shared" si="3"/>
        <v>Parimutuel Racing</v>
      </c>
    </row>
    <row r="2211">
      <c r="A2211" s="7" t="s">
        <v>3919</v>
      </c>
      <c r="B2211" s="8" t="s">
        <v>3920</v>
      </c>
      <c r="C2211" s="8" t="s">
        <v>27</v>
      </c>
      <c r="D2211" s="8" t="s">
        <v>28</v>
      </c>
      <c r="E2211" s="8" t="s">
        <v>19</v>
      </c>
      <c r="F2211" s="8" t="s">
        <v>20</v>
      </c>
      <c r="G2211" s="8" t="s">
        <v>21</v>
      </c>
      <c r="H2211" s="9"/>
      <c r="I2211" s="9"/>
      <c r="J2211" s="10">
        <f t="shared" ref="J2211:M2211" si="1272">ifs(OR($H2211="R",$I2211="N"),"N/A",OR(C2211="A",C2211="B",C2211="C",C2211="U"),3,TRUE,"FLAG")</f>
        <v>3</v>
      </c>
      <c r="K2211" s="10">
        <f t="shared" si="1272"/>
        <v>3</v>
      </c>
      <c r="L2211" s="10">
        <f t="shared" si="1272"/>
        <v>3</v>
      </c>
      <c r="M2211" s="10" t="str">
        <f t="shared" si="1272"/>
        <v>FLAG</v>
      </c>
      <c r="N2211" s="10" t="str">
        <f t="shared" si="2"/>
        <v>74-8810(i)(5) - Parimutuel Racing; Possession within a racetrack facility of equipment for administering drugs or medications to horses or greyhounds in violation of rules &amp; regulations; 1st offense</v>
      </c>
      <c r="O2211" s="10" t="str">
        <f t="shared" si="3"/>
        <v>Parimutuel Racing</v>
      </c>
    </row>
    <row r="2212">
      <c r="A2212" s="7" t="s">
        <v>3921</v>
      </c>
      <c r="B2212" s="8" t="s">
        <v>3922</v>
      </c>
      <c r="C2212" s="8" t="s">
        <v>27</v>
      </c>
      <c r="D2212" s="8" t="s">
        <v>28</v>
      </c>
      <c r="E2212" s="8" t="s">
        <v>19</v>
      </c>
      <c r="F2212" s="8" t="s">
        <v>20</v>
      </c>
      <c r="G2212" s="8" t="s">
        <v>21</v>
      </c>
      <c r="H2212" s="9"/>
      <c r="I2212" s="9"/>
      <c r="J2212" s="10">
        <f t="shared" ref="J2212:M2212" si="1273">ifs(OR($H2212="R",$I2212="N"),"N/A",OR(C2212="A",C2212="B",C2212="C",C2212="U"),3,TRUE,"FLAG")</f>
        <v>3</v>
      </c>
      <c r="K2212" s="10">
        <f t="shared" si="1273"/>
        <v>3</v>
      </c>
      <c r="L2212" s="10">
        <f t="shared" si="1273"/>
        <v>3</v>
      </c>
      <c r="M2212" s="10" t="str">
        <f t="shared" si="1273"/>
        <v>FLAG</v>
      </c>
      <c r="N2212" s="10" t="str">
        <f t="shared" si="2"/>
        <v>74-8810(i)(7) - Parimutuel Racing; Prepare or cause to be prepared an application for registration of a horse pursuant to K.S.A. 74-8830 knowing that such contains false information</v>
      </c>
      <c r="O2212" s="10" t="str">
        <f t="shared" si="3"/>
        <v>Parimutuel Racing</v>
      </c>
    </row>
    <row r="2213">
      <c r="A2213" s="7" t="s">
        <v>3923</v>
      </c>
      <c r="B2213" s="8" t="s">
        <v>3924</v>
      </c>
      <c r="C2213" s="8" t="s">
        <v>27</v>
      </c>
      <c r="D2213" s="8" t="s">
        <v>28</v>
      </c>
      <c r="E2213" s="8" t="s">
        <v>19</v>
      </c>
      <c r="F2213" s="8" t="s">
        <v>20</v>
      </c>
      <c r="G2213" s="8" t="s">
        <v>21</v>
      </c>
      <c r="H2213" s="9"/>
      <c r="I2213" s="9"/>
      <c r="J2213" s="10">
        <f t="shared" ref="J2213:M2213" si="1274">ifs(OR($H2213="R",$I2213="N"),"N/A",OR(C2213="A",C2213="B",C2213="C",C2213="U"),3,TRUE,"FLAG")</f>
        <v>3</v>
      </c>
      <c r="K2213" s="10">
        <f t="shared" si="1274"/>
        <v>3</v>
      </c>
      <c r="L2213" s="10">
        <f t="shared" si="1274"/>
        <v>3</v>
      </c>
      <c r="M2213" s="10" t="str">
        <f t="shared" si="1274"/>
        <v>FLAG</v>
      </c>
      <c r="N2213" s="10" t="str">
        <f t="shared" si="2"/>
        <v>74-8810(a)(1) - Parimutuel Racing; Prohibited acts of executive director or a member of the commission; having financial interest in any racetrack facility or any host facility for a simulcast race</v>
      </c>
      <c r="O2213" s="10" t="str">
        <f t="shared" si="3"/>
        <v>Parimutuel Racing</v>
      </c>
    </row>
    <row r="2214">
      <c r="A2214" s="7" t="s">
        <v>3925</v>
      </c>
      <c r="B2214" s="8" t="s">
        <v>3926</v>
      </c>
      <c r="C2214" s="8" t="s">
        <v>27</v>
      </c>
      <c r="D2214" s="8" t="s">
        <v>28</v>
      </c>
      <c r="E2214" s="8" t="s">
        <v>19</v>
      </c>
      <c r="F2214" s="8" t="s">
        <v>20</v>
      </c>
      <c r="G2214" s="8" t="s">
        <v>21</v>
      </c>
      <c r="H2214" s="9"/>
      <c r="I2214" s="9"/>
      <c r="J2214" s="10">
        <f t="shared" ref="J2214:M2214" si="1275">ifs(OR($H2214="R",$I2214="N"),"N/A",OR(C2214="A",C2214="B",C2214="C",C2214="U"),3,TRUE,"FLAG")</f>
        <v>3</v>
      </c>
      <c r="K2214" s="10">
        <f t="shared" si="1275"/>
        <v>3</v>
      </c>
      <c r="L2214" s="10">
        <f t="shared" si="1275"/>
        <v>3</v>
      </c>
      <c r="M2214" s="10" t="str">
        <f t="shared" si="1275"/>
        <v>FLAG</v>
      </c>
      <c r="N2214" s="10" t="str">
        <f t="shared" si="2"/>
        <v>74-8810(f) - Parimutuel Racing; Prohibited acts of facility owner licensee or facility manager licensee, other than a horsemen's association, or any officer, director, employee, stockholder or shareholder thereof or any person having an ownership interest therein</v>
      </c>
      <c r="O2214" s="10" t="str">
        <f t="shared" si="3"/>
        <v>Parimutuel Racing</v>
      </c>
    </row>
    <row r="2215">
      <c r="A2215" s="7" t="s">
        <v>3927</v>
      </c>
      <c r="B2215" s="8" t="s">
        <v>3928</v>
      </c>
      <c r="C2215" s="8" t="s">
        <v>27</v>
      </c>
      <c r="D2215" s="8" t="s">
        <v>28</v>
      </c>
      <c r="E2215" s="8" t="s">
        <v>19</v>
      </c>
      <c r="F2215" s="8" t="s">
        <v>20</v>
      </c>
      <c r="G2215" s="8" t="s">
        <v>21</v>
      </c>
      <c r="H2215" s="9"/>
      <c r="I2215" s="9"/>
      <c r="J2215" s="10">
        <f t="shared" ref="J2215:M2215" si="1276">ifs(OR($H2215="R",$I2215="N"),"N/A",OR(C2215="A",C2215="B",C2215="C",C2215="U"),3,TRUE,"FLAG")</f>
        <v>3</v>
      </c>
      <c r="K2215" s="10">
        <f t="shared" si="1276"/>
        <v>3</v>
      </c>
      <c r="L2215" s="10">
        <f t="shared" si="1276"/>
        <v>3</v>
      </c>
      <c r="M2215" s="10" t="str">
        <f t="shared" si="1276"/>
        <v>FLAG</v>
      </c>
      <c r="N2215" s="10" t="str">
        <f t="shared" si="2"/>
        <v>74-8810(g) - Parimutuel Racing; Prohibited acts of licensee of the commission, or an officer, director, member or employee of a licensee</v>
      </c>
      <c r="O2215" s="10" t="str">
        <f t="shared" si="3"/>
        <v>Parimutuel Racing</v>
      </c>
    </row>
    <row r="2216">
      <c r="A2216" s="7" t="s">
        <v>3929</v>
      </c>
      <c r="B2216" s="8" t="s">
        <v>3930</v>
      </c>
      <c r="C2216" s="8" t="s">
        <v>27</v>
      </c>
      <c r="D2216" s="8" t="s">
        <v>28</v>
      </c>
      <c r="E2216" s="8" t="s">
        <v>19</v>
      </c>
      <c r="F2216" s="8" t="s">
        <v>20</v>
      </c>
      <c r="G2216" s="8" t="s">
        <v>21</v>
      </c>
      <c r="H2216" s="9"/>
      <c r="I2216" s="9"/>
      <c r="J2216" s="10">
        <f t="shared" ref="J2216:M2216" si="1277">ifs(OR($H2216="R",$I2216="N"),"N/A",OR(C2216="A",C2216="B",C2216="C",C2216="U"),3,TRUE,"FLAG")</f>
        <v>3</v>
      </c>
      <c r="K2216" s="10">
        <f t="shared" si="1277"/>
        <v>3</v>
      </c>
      <c r="L2216" s="10">
        <f t="shared" si="1277"/>
        <v>3</v>
      </c>
      <c r="M2216" s="10" t="str">
        <f t="shared" si="1277"/>
        <v>FLAG</v>
      </c>
      <c r="N2216" s="10" t="str">
        <f t="shared" si="2"/>
        <v>74-8810(c)(2) - Parimutuel Racing; Prohibited acts of member, employee or appointee of the commission, including stewards and racing judges; participate as an owner, owner-trainer or trainer of a horse or greyhound, or as a jockey of a horse entered in a race meeting in this state</v>
      </c>
      <c r="O2216" s="10" t="str">
        <f t="shared" si="3"/>
        <v>Parimutuel Racing</v>
      </c>
    </row>
    <row r="2217">
      <c r="A2217" s="7" t="s">
        <v>3931</v>
      </c>
      <c r="B2217" s="8" t="s">
        <v>3932</v>
      </c>
      <c r="C2217" s="8" t="s">
        <v>27</v>
      </c>
      <c r="D2217" s="8" t="s">
        <v>28</v>
      </c>
      <c r="E2217" s="8" t="s">
        <v>19</v>
      </c>
      <c r="F2217" s="8" t="s">
        <v>20</v>
      </c>
      <c r="G2217" s="8" t="s">
        <v>21</v>
      </c>
      <c r="H2217" s="9"/>
      <c r="I2217" s="9"/>
      <c r="J2217" s="10">
        <f t="shared" ref="J2217:M2217" si="1278">ifs(OR($H2217="R",$I2217="N"),"N/A",OR(C2217="A",C2217="B",C2217="C",C2217="U"),3,TRUE,"FLAG")</f>
        <v>3</v>
      </c>
      <c r="K2217" s="10">
        <f t="shared" si="1278"/>
        <v>3</v>
      </c>
      <c r="L2217" s="10">
        <f t="shared" si="1278"/>
        <v>3</v>
      </c>
      <c r="M2217" s="10" t="str">
        <f t="shared" si="1278"/>
        <v>FLAG</v>
      </c>
      <c r="N2217" s="10" t="str">
        <f t="shared" si="2"/>
        <v>74-8810(c)(1) - Parimutuel Racing; Prohibited acts of member, employee or appointee of the commission, including stewards and racing judges; participate in the operation of or have financial interest in certain business</v>
      </c>
      <c r="O2217" s="10" t="str">
        <f t="shared" si="3"/>
        <v>Parimutuel Racing</v>
      </c>
    </row>
    <row r="2218">
      <c r="A2218" s="7" t="s">
        <v>3933</v>
      </c>
      <c r="B2218" s="8" t="s">
        <v>3934</v>
      </c>
      <c r="C2218" s="8" t="s">
        <v>27</v>
      </c>
      <c r="D2218" s="8" t="s">
        <v>28</v>
      </c>
      <c r="E2218" s="8" t="s">
        <v>19</v>
      </c>
      <c r="F2218" s="8" t="s">
        <v>20</v>
      </c>
      <c r="G2218" s="8" t="s">
        <v>21</v>
      </c>
      <c r="H2218" s="9"/>
      <c r="I2218" s="9"/>
      <c r="J2218" s="10">
        <f t="shared" ref="J2218:M2218" si="1279">ifs(OR($H2218="R",$I2218="N"),"N/A",OR(C2218="A",C2218="B",C2218="C",C2218="U"),3,TRUE,"FLAG")</f>
        <v>3</v>
      </c>
      <c r="K2218" s="10">
        <f t="shared" si="1279"/>
        <v>3</v>
      </c>
      <c r="L2218" s="10">
        <f t="shared" si="1279"/>
        <v>3</v>
      </c>
      <c r="M2218" s="10" t="str">
        <f t="shared" si="1279"/>
        <v>FLAG</v>
      </c>
      <c r="N2218" s="10" t="str">
        <f t="shared" si="2"/>
        <v>74-8810(c)(3) - Parimutuel Racing; Prohibited acts of member, employee or appointee of the commission, including stewards and racing judges; place a wager on an entry in a horse or greyhound race conducted by an organization licensee</v>
      </c>
      <c r="O2218" s="10" t="str">
        <f t="shared" si="3"/>
        <v>Parimutuel Racing</v>
      </c>
    </row>
    <row r="2219">
      <c r="A2219" s="7" t="s">
        <v>3935</v>
      </c>
      <c r="B2219" s="8" t="s">
        <v>3936</v>
      </c>
      <c r="C2219" s="8" t="s">
        <v>27</v>
      </c>
      <c r="D2219" s="8" t="s">
        <v>28</v>
      </c>
      <c r="E2219" s="8" t="s">
        <v>19</v>
      </c>
      <c r="F2219" s="8" t="s">
        <v>20</v>
      </c>
      <c r="G2219" s="8" t="s">
        <v>21</v>
      </c>
      <c r="H2219" s="9"/>
      <c r="I2219" s="9"/>
      <c r="J2219" s="10">
        <f t="shared" ref="J2219:M2219" si="1280">ifs(OR($H2219="R",$I2219="N"),"N/A",OR(C2219="A",C2219="B",C2219="C",C2219="U"),3,TRUE,"FLAG")</f>
        <v>3</v>
      </c>
      <c r="K2219" s="10">
        <f t="shared" si="1280"/>
        <v>3</v>
      </c>
      <c r="L2219" s="10">
        <f t="shared" si="1280"/>
        <v>3</v>
      </c>
      <c r="M2219" s="10" t="str">
        <f t="shared" si="1280"/>
        <v>FLAG</v>
      </c>
      <c r="N2219" s="10" t="str">
        <f t="shared" si="2"/>
        <v>74-8810(c)(4) - Parimutuel Racing; Prohibited acts of member, employee or appointee of the commission, including stewards and racing judges; unauthorized acceptance of any compensation, gift, loan, entertainment, favor or service from any licensee</v>
      </c>
      <c r="O2219" s="10" t="str">
        <f t="shared" si="3"/>
        <v>Parimutuel Racing</v>
      </c>
    </row>
    <row r="2220">
      <c r="A2220" s="7" t="s">
        <v>3937</v>
      </c>
      <c r="B2220" s="8" t="s">
        <v>3938</v>
      </c>
      <c r="C2220" s="8" t="s">
        <v>27</v>
      </c>
      <c r="D2220" s="8" t="s">
        <v>28</v>
      </c>
      <c r="E2220" s="8" t="s">
        <v>19</v>
      </c>
      <c r="F2220" s="8" t="s">
        <v>20</v>
      </c>
      <c r="G2220" s="8" t="s">
        <v>21</v>
      </c>
      <c r="H2220" s="9"/>
      <c r="I2220" s="9"/>
      <c r="J2220" s="10">
        <f t="shared" ref="J2220:M2220" si="1281">ifs(OR($H2220="R",$I2220="N"),"N/A",OR(C2220="A",C2220="B",C2220="C",C2220="U"),3,TRUE,"FLAG")</f>
        <v>3</v>
      </c>
      <c r="K2220" s="10">
        <f t="shared" si="1281"/>
        <v>3</v>
      </c>
      <c r="L2220" s="10">
        <f t="shared" si="1281"/>
        <v>3</v>
      </c>
      <c r="M2220" s="10" t="str">
        <f t="shared" si="1281"/>
        <v>FLAG</v>
      </c>
      <c r="N2220" s="10" t="str">
        <f t="shared" si="2"/>
        <v>74-8810(d)(1)(B) - Parimutuel Racing; Prohibited acts of member, employee or appointee of the commission, or certain relatives thereof; enter into business dealing, venture or contract with an owner or lessee of a racetrack facility</v>
      </c>
      <c r="O2220" s="10" t="str">
        <f t="shared" si="3"/>
        <v>Parimutuel Racing</v>
      </c>
    </row>
    <row r="2221">
      <c r="A2221" s="7" t="s">
        <v>3939</v>
      </c>
      <c r="B2221" s="8" t="s">
        <v>3940</v>
      </c>
      <c r="C2221" s="8" t="s">
        <v>27</v>
      </c>
      <c r="D2221" s="8" t="s">
        <v>28</v>
      </c>
      <c r="E2221" s="8" t="s">
        <v>19</v>
      </c>
      <c r="F2221" s="8" t="s">
        <v>20</v>
      </c>
      <c r="G2221" s="8" t="s">
        <v>21</v>
      </c>
      <c r="H2221" s="9"/>
      <c r="I2221" s="9"/>
      <c r="J2221" s="10">
        <f t="shared" ref="J2221:M2221" si="1282">ifs(OR($H2221="R",$I2221="N"),"N/A",OR(C2221="A",C2221="B",C2221="C",C2221="U"),3,TRUE,"FLAG")</f>
        <v>3</v>
      </c>
      <c r="K2221" s="10">
        <f t="shared" si="1282"/>
        <v>3</v>
      </c>
      <c r="L2221" s="10">
        <f t="shared" si="1282"/>
        <v>3</v>
      </c>
      <c r="M2221" s="10" t="str">
        <f t="shared" si="1282"/>
        <v>FLAG</v>
      </c>
      <c r="N2221" s="10" t="str">
        <f t="shared" si="2"/>
        <v>74-8810(d)(1)(A) - Parimutuel Racing; Prohibited acts of member, employee or appointee of the commission, or certain relatives thereof; holding license issued by the commission</v>
      </c>
      <c r="O2221" s="10" t="str">
        <f t="shared" si="3"/>
        <v>Parimutuel Racing</v>
      </c>
    </row>
    <row r="2222">
      <c r="A2222" s="7" t="s">
        <v>3941</v>
      </c>
      <c r="B2222" s="8" t="s">
        <v>3942</v>
      </c>
      <c r="C2222" s="8" t="s">
        <v>27</v>
      </c>
      <c r="D2222" s="8" t="s">
        <v>28</v>
      </c>
      <c r="E2222" s="8" t="s">
        <v>19</v>
      </c>
      <c r="F2222" s="8" t="s">
        <v>20</v>
      </c>
      <c r="G2222" s="8" t="s">
        <v>21</v>
      </c>
      <c r="H2222" s="9"/>
      <c r="I2222" s="9"/>
      <c r="J2222" s="10">
        <f t="shared" ref="J2222:M2222" si="1283">ifs(OR($H2222="R",$I2222="N"),"N/A",OR(C2222="A",C2222="B",C2222="C",C2222="U"),3,TRUE,"FLAG")</f>
        <v>3</v>
      </c>
      <c r="K2222" s="10">
        <f t="shared" si="1283"/>
        <v>3</v>
      </c>
      <c r="L2222" s="10">
        <f t="shared" si="1283"/>
        <v>3</v>
      </c>
      <c r="M2222" s="10" t="str">
        <f t="shared" si="1283"/>
        <v>FLAG</v>
      </c>
      <c r="N2222" s="10" t="str">
        <f t="shared" si="2"/>
        <v>74-8810(e)(2) - Parimutuel Racing; Prohibited acts of officer, director or member of an organization licensee, other than a fair association or horsemen's nonprofit organization; entering into certain business dealings, ventures or contracts</v>
      </c>
      <c r="O2222" s="10" t="str">
        <f t="shared" si="3"/>
        <v>Parimutuel Racing</v>
      </c>
    </row>
    <row r="2223">
      <c r="A2223" s="7" t="s">
        <v>3943</v>
      </c>
      <c r="B2223" s="8" t="s">
        <v>3944</v>
      </c>
      <c r="C2223" s="8" t="s">
        <v>27</v>
      </c>
      <c r="D2223" s="8" t="s">
        <v>28</v>
      </c>
      <c r="E2223" s="8" t="s">
        <v>19</v>
      </c>
      <c r="F2223" s="8" t="s">
        <v>20</v>
      </c>
      <c r="G2223" s="8" t="s">
        <v>21</v>
      </c>
      <c r="H2223" s="9"/>
      <c r="I2223" s="9"/>
      <c r="J2223" s="10">
        <f t="shared" ref="J2223:M2223" si="1284">ifs(OR($H2223="R",$I2223="N"),"N/A",OR(C2223="A",C2223="B",C2223="C",C2223="U"),3,TRUE,"FLAG")</f>
        <v>3</v>
      </c>
      <c r="K2223" s="10">
        <f t="shared" si="1284"/>
        <v>3</v>
      </c>
      <c r="L2223" s="10">
        <f t="shared" si="1284"/>
        <v>3</v>
      </c>
      <c r="M2223" s="10" t="str">
        <f t="shared" si="1284"/>
        <v>FLAG</v>
      </c>
      <c r="N2223" s="10" t="str">
        <f t="shared" si="2"/>
        <v>74-8810(a)(2) - Parimutuel Racing; Prohibited acts of officer, director or member of an organization licensee, other than a fair association or horsemen's nonprofit organization; financial interest</v>
      </c>
      <c r="O2223" s="10" t="str">
        <f t="shared" si="3"/>
        <v>Parimutuel Racing</v>
      </c>
    </row>
    <row r="2224">
      <c r="A2224" s="7" t="s">
        <v>3945</v>
      </c>
      <c r="B2224" s="8" t="s">
        <v>3946</v>
      </c>
      <c r="C2224" s="8" t="s">
        <v>27</v>
      </c>
      <c r="D2224" s="8" t="s">
        <v>28</v>
      </c>
      <c r="E2224" s="8" t="s">
        <v>19</v>
      </c>
      <c r="F2224" s="8" t="s">
        <v>20</v>
      </c>
      <c r="G2224" s="8" t="s">
        <v>21</v>
      </c>
      <c r="H2224" s="9"/>
      <c r="I2224" s="9"/>
      <c r="J2224" s="10">
        <f t="shared" ref="J2224:M2224" si="1285">ifs(OR($H2224="R",$I2224="N"),"N/A",OR(C2224="A",C2224="B",C2224="C",C2224="U"),3,TRUE,"FLAG")</f>
        <v>3</v>
      </c>
      <c r="K2224" s="10">
        <f t="shared" si="1285"/>
        <v>3</v>
      </c>
      <c r="L2224" s="10">
        <f t="shared" si="1285"/>
        <v>3</v>
      </c>
      <c r="M2224" s="10" t="str">
        <f t="shared" si="1285"/>
        <v>FLAG</v>
      </c>
      <c r="N2224" s="10" t="str">
        <f t="shared" si="2"/>
        <v>74-8810(e)(1) - Parimutuel Racing; Prohibited acts of officer, director or member of an organization licensee, other than a fair association or horsemen's nonprofit organization; unauthorized receipt of certain compensation, reimbursement or payment of expenses</v>
      </c>
      <c r="O2224" s="10" t="str">
        <f t="shared" si="3"/>
        <v>Parimutuel Racing</v>
      </c>
    </row>
    <row r="2225">
      <c r="A2225" s="7" t="s">
        <v>3947</v>
      </c>
      <c r="B2225" s="8" t="s">
        <v>3948</v>
      </c>
      <c r="C2225" s="8" t="s">
        <v>27</v>
      </c>
      <c r="D2225" s="8" t="s">
        <v>28</v>
      </c>
      <c r="E2225" s="8" t="s">
        <v>19</v>
      </c>
      <c r="F2225" s="8" t="s">
        <v>20</v>
      </c>
      <c r="G2225" s="8" t="s">
        <v>21</v>
      </c>
      <c r="H2225" s="9"/>
      <c r="I2225" s="9"/>
      <c r="J2225" s="10">
        <f t="shared" ref="J2225:M2225" si="1286">ifs(OR($H2225="R",$I2225="N"),"N/A",OR(C2225="A",C2225="B",C2225="C",C2225="U"),3,TRUE,"FLAG")</f>
        <v>3</v>
      </c>
      <c r="K2225" s="10">
        <f t="shared" si="1286"/>
        <v>3</v>
      </c>
      <c r="L2225" s="10">
        <f t="shared" si="1286"/>
        <v>3</v>
      </c>
      <c r="M2225" s="10" t="str">
        <f t="shared" si="1286"/>
        <v>FLAG</v>
      </c>
      <c r="N2225" s="10" t="str">
        <f t="shared" si="2"/>
        <v>74-8810(i)(1) - Parimutuel Racing; Sell a parimutuel ticket or an interest in such a ticket to a person knowing such person to be under 21 yrs of age; 1st offense</v>
      </c>
      <c r="O2225" s="10" t="str">
        <f t="shared" si="3"/>
        <v>Parimutuel Racing</v>
      </c>
    </row>
    <row r="2226">
      <c r="A2226" s="7" t="s">
        <v>3949</v>
      </c>
      <c r="B2226" s="8" t="s">
        <v>3950</v>
      </c>
      <c r="C2226" s="8">
        <v>8.0</v>
      </c>
      <c r="D2226" s="8">
        <v>10.0</v>
      </c>
      <c r="E2226" s="8">
        <v>10.0</v>
      </c>
      <c r="F2226" s="8">
        <v>10.0</v>
      </c>
      <c r="G2226" s="8" t="s">
        <v>21</v>
      </c>
      <c r="H2226" s="9"/>
      <c r="I2226" s="9"/>
      <c r="N2226" s="10" t="str">
        <f t="shared" si="2"/>
        <v>74-8810(j)(1) - Parimutuel Racing; Selling a parimutuel ticket or an interest in such a ticket to a person known to be under 21; 2nd or subs. offense</v>
      </c>
      <c r="O2226" s="10" t="str">
        <f t="shared" si="3"/>
        <v>Parimutuel Racing</v>
      </c>
    </row>
    <row r="2227">
      <c r="A2227" s="7" t="s">
        <v>3951</v>
      </c>
      <c r="B2227" s="8" t="s">
        <v>3952</v>
      </c>
      <c r="C2227" s="8">
        <v>8.0</v>
      </c>
      <c r="D2227" s="8">
        <v>10.0</v>
      </c>
      <c r="E2227" s="8">
        <v>10.0</v>
      </c>
      <c r="F2227" s="8">
        <v>10.0</v>
      </c>
      <c r="G2227" s="8" t="s">
        <v>21</v>
      </c>
      <c r="H2227" s="9"/>
      <c r="I2227" s="9"/>
      <c r="N2227" s="10" t="str">
        <f t="shared" si="2"/>
        <v>74-8810(j)(10) - Parimutuel Racing; Sponge the nostrils or windpipe of a horse for the purpose of stimulating or depressing such horse or affecting its speed at any time during a race meeting</v>
      </c>
      <c r="O2227" s="10" t="str">
        <f t="shared" si="3"/>
        <v>Parimutuel Racing</v>
      </c>
    </row>
    <row r="2228">
      <c r="A2228" s="7" t="s">
        <v>3953</v>
      </c>
      <c r="B2228" s="8" t="s">
        <v>3954</v>
      </c>
      <c r="C2228" s="8" t="s">
        <v>27</v>
      </c>
      <c r="D2228" s="8" t="s">
        <v>28</v>
      </c>
      <c r="E2228" s="8" t="s">
        <v>19</v>
      </c>
      <c r="F2228" s="8" t="s">
        <v>20</v>
      </c>
      <c r="G2228" s="8" t="s">
        <v>21</v>
      </c>
      <c r="H2228" s="9"/>
      <c r="I2228" s="9"/>
      <c r="J2228" s="10">
        <f t="shared" ref="J2228:M2228" si="1287">ifs(OR($H2228="R",$I2228="N"),"N/A",OR(C2228="A",C2228="B",C2228="C",C2228="U"),3,TRUE,"FLAG")</f>
        <v>3</v>
      </c>
      <c r="K2228" s="10">
        <f t="shared" si="1287"/>
        <v>3</v>
      </c>
      <c r="L2228" s="10">
        <f t="shared" si="1287"/>
        <v>3</v>
      </c>
      <c r="M2228" s="10" t="str">
        <f t="shared" si="1287"/>
        <v>FLAG</v>
      </c>
      <c r="N2228" s="10" t="str">
        <f t="shared" si="2"/>
        <v>74-8804(o) - Parimutuel Racing; Unauthorized disclosure of confidential information</v>
      </c>
      <c r="O2228" s="10" t="str">
        <f t="shared" si="3"/>
        <v>Parimutuel Racing</v>
      </c>
    </row>
    <row r="2229">
      <c r="A2229" s="7" t="s">
        <v>3955</v>
      </c>
      <c r="B2229" s="8" t="s">
        <v>3956</v>
      </c>
      <c r="C2229" s="8" t="s">
        <v>28</v>
      </c>
      <c r="D2229" s="8" t="s">
        <v>19</v>
      </c>
      <c r="E2229" s="8" t="s">
        <v>19</v>
      </c>
      <c r="F2229" s="8" t="s">
        <v>20</v>
      </c>
      <c r="G2229" s="8" t="s">
        <v>21</v>
      </c>
      <c r="H2229" s="9"/>
      <c r="I2229" s="9"/>
      <c r="J2229" s="10">
        <f t="shared" ref="J2229:M2229" si="1288">ifs(OR($H2229="R",$I2229="N"),"N/A",OR(C2229="A",C2229="B",C2229="C",C2229="U"),3,TRUE,"FLAG")</f>
        <v>3</v>
      </c>
      <c r="K2229" s="10">
        <f t="shared" si="1288"/>
        <v>3</v>
      </c>
      <c r="L2229" s="10">
        <f t="shared" si="1288"/>
        <v>3</v>
      </c>
      <c r="M2229" s="10" t="str">
        <f t="shared" si="1288"/>
        <v>FLAG</v>
      </c>
      <c r="N2229" s="10" t="str">
        <f t="shared" si="2"/>
        <v>74-8810(h) - Parimutuel Racing; Use any animal or fowl in the training or racing of racing greyhounds</v>
      </c>
      <c r="O2229" s="10" t="str">
        <f t="shared" si="3"/>
        <v>Parimutuel Racing</v>
      </c>
    </row>
    <row r="2230">
      <c r="A2230" s="7" t="s">
        <v>3957</v>
      </c>
      <c r="B2230" s="8" t="s">
        <v>3958</v>
      </c>
      <c r="C2230" s="8">
        <v>8.0</v>
      </c>
      <c r="D2230" s="8">
        <v>10.0</v>
      </c>
      <c r="E2230" s="8">
        <v>10.0</v>
      </c>
      <c r="F2230" s="8">
        <v>10.0</v>
      </c>
      <c r="G2230" s="8" t="s">
        <v>21</v>
      </c>
      <c r="H2230" s="9"/>
      <c r="I2230" s="9"/>
      <c r="N2230" s="10" t="str">
        <f t="shared" si="2"/>
        <v>74-8810(j)(5) - Parimutuel Racing; Use or conspire to use any unusual device or lure for the purpose of affecting the speed of any horse or greyhound during a race</v>
      </c>
      <c r="O2230" s="10" t="str">
        <f t="shared" si="3"/>
        <v>Parimutuel Racing</v>
      </c>
    </row>
    <row r="2231">
      <c r="A2231" s="7" t="s">
        <v>3959</v>
      </c>
      <c r="B2231" s="8" t="s">
        <v>3960</v>
      </c>
      <c r="C2231" s="8" t="s">
        <v>18</v>
      </c>
      <c r="D2231" s="8" t="s">
        <v>18</v>
      </c>
      <c r="E2231" s="8" t="s">
        <v>19</v>
      </c>
      <c r="F2231" s="8" t="s">
        <v>20</v>
      </c>
      <c r="G2231" s="8" t="s">
        <v>21</v>
      </c>
      <c r="H2231" s="9"/>
      <c r="I2231" s="9"/>
      <c r="J2231" s="10">
        <f t="shared" ref="J2231:M2231" si="1289">ifs(OR($H2231="R",$I2231="N"),"N/A",OR(C2231="A",C2231="B",C2231="C",C2231="U"),3,TRUE,"FLAG")</f>
        <v>3</v>
      </c>
      <c r="K2231" s="10">
        <f t="shared" si="1289"/>
        <v>3</v>
      </c>
      <c r="L2231" s="10">
        <f t="shared" si="1289"/>
        <v>3</v>
      </c>
      <c r="M2231" s="10" t="str">
        <f t="shared" si="1289"/>
        <v>FLAG</v>
      </c>
      <c r="N2231" s="10" t="str">
        <f t="shared" si="2"/>
        <v>19-2894 - Parks/museums/lakes/recreational grounds; Penalty for violation of any posted or published penal rule or regulations relating to the conduct of persons in the area where improvements are established</v>
      </c>
      <c r="O2231" s="10" t="str">
        <f t="shared" si="3"/>
        <v>Parks/museums/lakes/recreational grounds</v>
      </c>
    </row>
    <row r="2232">
      <c r="A2232" s="7" t="s">
        <v>3961</v>
      </c>
      <c r="B2232" s="8" t="s">
        <v>3962</v>
      </c>
      <c r="C2232" s="8" t="s">
        <v>18</v>
      </c>
      <c r="D2232" s="8" t="s">
        <v>18</v>
      </c>
      <c r="E2232" s="8" t="s">
        <v>19</v>
      </c>
      <c r="F2232" s="8" t="s">
        <v>20</v>
      </c>
      <c r="G2232" s="8" t="s">
        <v>21</v>
      </c>
      <c r="H2232" s="9"/>
      <c r="I2232" s="9"/>
      <c r="J2232" s="10">
        <f t="shared" ref="J2232:M2232" si="1290">ifs(OR($H2232="R",$I2232="N"),"N/A",OR(C2232="A",C2232="B",C2232="C",C2232="U"),3,TRUE,"FLAG")</f>
        <v>3</v>
      </c>
      <c r="K2232" s="10">
        <f t="shared" si="1290"/>
        <v>3</v>
      </c>
      <c r="L2232" s="10">
        <f t="shared" si="1290"/>
        <v>3</v>
      </c>
      <c r="M2232" s="10" t="str">
        <f t="shared" si="1290"/>
        <v>FLAG</v>
      </c>
      <c r="N2232" s="10" t="str">
        <f t="shared" si="2"/>
        <v>19-2873 - Parks/museums/lakes/recreational grounds; Penalty for violation of any posted or published penal rule or regulations relating to the conduct of persons in the parks and playgrounds or park or playgrounds</v>
      </c>
      <c r="O2232" s="10" t="str">
        <f t="shared" si="3"/>
        <v>Parks/museums/lakes/recreational grounds</v>
      </c>
    </row>
    <row r="2233">
      <c r="A2233" s="7" t="s">
        <v>3963</v>
      </c>
      <c r="B2233" s="8" t="s">
        <v>3964</v>
      </c>
      <c r="C2233" s="8" t="s">
        <v>18</v>
      </c>
      <c r="D2233" s="8" t="s">
        <v>18</v>
      </c>
      <c r="E2233" s="8" t="s">
        <v>19</v>
      </c>
      <c r="F2233" s="8" t="s">
        <v>20</v>
      </c>
      <c r="G2233" s="8" t="s">
        <v>21</v>
      </c>
      <c r="H2233" s="9"/>
      <c r="I2233" s="9"/>
      <c r="J2233" s="10">
        <f t="shared" ref="J2233:M2233" si="1291">ifs(OR($H2233="R",$I2233="N"),"N/A",OR(C2233="A",C2233="B",C2233="C",C2233="U"),3,TRUE,"FLAG")</f>
        <v>3</v>
      </c>
      <c r="K2233" s="10">
        <f t="shared" si="1291"/>
        <v>3</v>
      </c>
      <c r="L2233" s="10">
        <f t="shared" si="1291"/>
        <v>3</v>
      </c>
      <c r="M2233" s="10" t="str">
        <f t="shared" si="1291"/>
        <v>FLAG</v>
      </c>
      <c r="N2233" s="10" t="str">
        <f t="shared" si="2"/>
        <v>19-2803a - Parks/museums/lakes/recreational grounds; Penalty for violation of rules and regulations pertaining to the use and enjoyment of any park, lake or other recreational area and for the protection and preservation of such properties</v>
      </c>
      <c r="O2233" s="10" t="str">
        <f t="shared" si="3"/>
        <v>Parks/museums/lakes/recreational grounds</v>
      </c>
    </row>
    <row r="2234">
      <c r="A2234" s="7" t="s">
        <v>3965</v>
      </c>
      <c r="B2234" s="8" t="s">
        <v>3966</v>
      </c>
      <c r="C2234" s="8" t="s">
        <v>28</v>
      </c>
      <c r="D2234" s="8" t="s">
        <v>19</v>
      </c>
      <c r="E2234" s="8" t="s">
        <v>19</v>
      </c>
      <c r="F2234" s="8" t="s">
        <v>20</v>
      </c>
      <c r="G2234" s="8" t="s">
        <v>21</v>
      </c>
      <c r="H2234" s="9"/>
      <c r="I2234" s="9"/>
      <c r="J2234" s="10">
        <f t="shared" ref="J2234:M2234" si="1292">ifs(OR($H2234="R",$I2234="N"),"N/A",OR(C2234="A",C2234="B",C2234="C",C2234="U"),3,TRUE,"FLAG")</f>
        <v>3</v>
      </c>
      <c r="K2234" s="10">
        <f t="shared" si="1292"/>
        <v>3</v>
      </c>
      <c r="L2234" s="10">
        <f t="shared" si="1292"/>
        <v>3</v>
      </c>
      <c r="M2234" s="10" t="str">
        <f t="shared" si="1292"/>
        <v>FLAG</v>
      </c>
      <c r="N2234" s="10" t="str">
        <f t="shared" si="2"/>
        <v>16-721 - Pawn Brokers and Precious Metal Dealers; Penalty for violation of act</v>
      </c>
      <c r="O2234" s="10" t="str">
        <f t="shared" si="3"/>
        <v>Pawn Brokers and Precious Metal Dealers</v>
      </c>
    </row>
    <row r="2235">
      <c r="A2235" s="7" t="s">
        <v>3967</v>
      </c>
      <c r="B2235" s="8" t="s">
        <v>3968</v>
      </c>
      <c r="C2235" s="8" t="s">
        <v>28</v>
      </c>
      <c r="D2235" s="8" t="s">
        <v>19</v>
      </c>
      <c r="E2235" s="8" t="s">
        <v>19</v>
      </c>
      <c r="F2235" s="8" t="s">
        <v>20</v>
      </c>
      <c r="G2235" s="8" t="s">
        <v>21</v>
      </c>
      <c r="H2235" s="9"/>
      <c r="I2235" s="9"/>
      <c r="J2235" s="10">
        <f t="shared" ref="J2235:M2235" si="1293">ifs(OR($H2235="R",$I2235="N"),"N/A",OR(C2235="A",C2235="B",C2235="C",C2235="U"),3,TRUE,"FLAG")</f>
        <v>3</v>
      </c>
      <c r="K2235" s="10">
        <f t="shared" si="1293"/>
        <v>3</v>
      </c>
      <c r="L2235" s="10">
        <f t="shared" si="1293"/>
        <v>3</v>
      </c>
      <c r="M2235" s="10" t="str">
        <f t="shared" si="1293"/>
        <v>FLAG</v>
      </c>
      <c r="N2235" s="10" t="str">
        <f t="shared" si="2"/>
        <v>21-5919(a)(2) - Performance of an Unauthorized Official Act; Knowingly and without lawful authority certifying an acknowledgment of the execution of any document which by law may be recorded</v>
      </c>
      <c r="O2235" s="10" t="str">
        <f t="shared" si="3"/>
        <v>Performance of an Unauthorized Official Act</v>
      </c>
    </row>
    <row r="2236">
      <c r="A2236" s="7" t="s">
        <v>3969</v>
      </c>
      <c r="B2236" s="8" t="s">
        <v>3970</v>
      </c>
      <c r="C2236" s="8" t="s">
        <v>28</v>
      </c>
      <c r="D2236" s="8" t="s">
        <v>19</v>
      </c>
      <c r="E2236" s="8" t="s">
        <v>19</v>
      </c>
      <c r="F2236" s="8" t="s">
        <v>20</v>
      </c>
      <c r="G2236" s="8" t="s">
        <v>21</v>
      </c>
      <c r="H2236" s="9"/>
      <c r="I2236" s="9"/>
      <c r="J2236" s="10">
        <f t="shared" ref="J2236:M2236" si="1294">ifs(OR($H2236="R",$I2236="N"),"N/A",OR(C2236="A",C2236="B",C2236="C",C2236="U"),3,TRUE,"FLAG")</f>
        <v>3</v>
      </c>
      <c r="K2236" s="10">
        <f t="shared" si="1294"/>
        <v>3</v>
      </c>
      <c r="L2236" s="10">
        <f t="shared" si="1294"/>
        <v>3</v>
      </c>
      <c r="M2236" s="10" t="str">
        <f t="shared" si="1294"/>
        <v>FLAG</v>
      </c>
      <c r="N2236" s="10" t="str">
        <f t="shared" si="2"/>
        <v>21-5919(a)(1) - Performance of an Unauthorized Official Act; Knowingly and without lawful authority conducting a marriage ceremony</v>
      </c>
      <c r="O2236" s="10" t="str">
        <f t="shared" si="3"/>
        <v>Performance of an Unauthorized Official Act</v>
      </c>
    </row>
    <row r="2237">
      <c r="A2237" s="7" t="s">
        <v>3971</v>
      </c>
      <c r="B2237" s="8" t="s">
        <v>3972</v>
      </c>
      <c r="C2237" s="8">
        <v>7.0</v>
      </c>
      <c r="D2237" s="8">
        <v>9.0</v>
      </c>
      <c r="E2237" s="8">
        <v>9.0</v>
      </c>
      <c r="F2237" s="8">
        <v>10.0</v>
      </c>
      <c r="G2237" s="8" t="s">
        <v>21</v>
      </c>
      <c r="H2237" s="9"/>
      <c r="I2237" s="9"/>
      <c r="N2237" s="10" t="str">
        <f t="shared" si="2"/>
        <v>21-5903(a)(2) - Perjury; Intentionally and falsely subscribe as true and correct under penalty of perjury any material matter in any declaration, verification, certificate or statement as permitted by K.S.A. 53-601; during felony trial</v>
      </c>
      <c r="O2237" s="10" t="str">
        <f t="shared" si="3"/>
        <v>Perjury</v>
      </c>
    </row>
    <row r="2238">
      <c r="A2238" s="7" t="s">
        <v>3973</v>
      </c>
      <c r="B2238" s="8" t="s">
        <v>3972</v>
      </c>
      <c r="C2238" s="8">
        <v>9.0</v>
      </c>
      <c r="D2238" s="8">
        <v>10.0</v>
      </c>
      <c r="E2238" s="8">
        <v>10.0</v>
      </c>
      <c r="F2238" s="8">
        <v>10.0</v>
      </c>
      <c r="G2238" s="8" t="s">
        <v>21</v>
      </c>
      <c r="H2238" s="9"/>
      <c r="I2238" s="9"/>
      <c r="N2238" s="10" t="str">
        <f t="shared" si="2"/>
        <v>21-5903(a)(2) - Perjury; Intentionally and falsely subscribe as true and correct under penalty of perjury any material matter in any declaration, verification, certificate or statement as permitted by K.S.A. 53-601; In a cause, matter or proceeding other than a felony trial</v>
      </c>
      <c r="O2238" s="10" t="str">
        <f t="shared" si="3"/>
        <v>Perjury</v>
      </c>
    </row>
    <row r="2239">
      <c r="A2239" s="7" t="s">
        <v>3974</v>
      </c>
      <c r="B2239" s="8" t="s">
        <v>3975</v>
      </c>
      <c r="C2239" s="8">
        <v>7.0</v>
      </c>
      <c r="D2239" s="8">
        <v>9.0</v>
      </c>
      <c r="E2239" s="8">
        <v>9.0</v>
      </c>
      <c r="F2239" s="8">
        <v>10.0</v>
      </c>
      <c r="G2239" s="8" t="s">
        <v>21</v>
      </c>
      <c r="H2239" s="9"/>
      <c r="I2239" s="9"/>
      <c r="N2239" s="10" t="str">
        <f t="shared" si="2"/>
        <v>21-5903(a)(1) - Perjury; Intentionally and falsely swear, testify, affirm, declare or subscribe to any material fact upon oath or affirmation; during felony trial</v>
      </c>
      <c r="O2239" s="10" t="str">
        <f t="shared" si="3"/>
        <v>Perjury</v>
      </c>
    </row>
    <row r="2240">
      <c r="A2240" s="7" t="s">
        <v>3976</v>
      </c>
      <c r="B2240" s="8" t="s">
        <v>3975</v>
      </c>
      <c r="C2240" s="8">
        <v>9.0</v>
      </c>
      <c r="D2240" s="8">
        <v>10.0</v>
      </c>
      <c r="E2240" s="8">
        <v>10.0</v>
      </c>
      <c r="F2240" s="8">
        <v>10.0</v>
      </c>
      <c r="G2240" s="8" t="s">
        <v>21</v>
      </c>
      <c r="H2240" s="9"/>
      <c r="I2240" s="9"/>
      <c r="N2240" s="10" t="str">
        <f t="shared" si="2"/>
        <v>21-5903(a)(1) - Perjury; Intentionally and falsely swear, testify, affirm, declare or subscribe to any material fact upon oath or affirmation; in a cause, matter or proceeding other than a felony trial</v>
      </c>
      <c r="O2240" s="10" t="str">
        <f t="shared" si="3"/>
        <v>Perjury</v>
      </c>
    </row>
    <row r="2241">
      <c r="A2241" s="7" t="s">
        <v>3977</v>
      </c>
      <c r="B2241" s="8" t="s">
        <v>3978</v>
      </c>
      <c r="C2241" s="8">
        <v>7.0</v>
      </c>
      <c r="D2241" s="8">
        <v>9.0</v>
      </c>
      <c r="E2241" s="8">
        <v>9.0</v>
      </c>
      <c r="F2241" s="8">
        <v>10.0</v>
      </c>
      <c r="G2241" s="8" t="s">
        <v>21</v>
      </c>
      <c r="H2241" s="9"/>
      <c r="I2241" s="9"/>
      <c r="N2241" s="10" t="str">
        <f t="shared" si="2"/>
        <v>21-6004(b) - Permitting False Claim; $25,000 or more</v>
      </c>
      <c r="O2241" s="10" t="str">
        <f t="shared" si="3"/>
        <v>Permitting False Claim</v>
      </c>
    </row>
    <row r="2242">
      <c r="A2242" s="7" t="s">
        <v>3979</v>
      </c>
      <c r="B2242" s="8" t="s">
        <v>3978</v>
      </c>
      <c r="C2242" s="8">
        <v>9.0</v>
      </c>
      <c r="D2242" s="8">
        <v>10.0</v>
      </c>
      <c r="E2242" s="8">
        <v>10.0</v>
      </c>
      <c r="F2242" s="8">
        <v>10.0</v>
      </c>
      <c r="G2242" s="8" t="s">
        <v>21</v>
      </c>
      <c r="H2242" s="9"/>
      <c r="I2242" s="9"/>
      <c r="N2242" s="10" t="str">
        <f t="shared" si="2"/>
        <v>21-6004(b) - Permitting False Claim; At least $1,000 but less than $25,000</v>
      </c>
      <c r="O2242" s="10" t="str">
        <f t="shared" si="3"/>
        <v>Permitting False Claim</v>
      </c>
    </row>
    <row r="2243">
      <c r="A2243" s="7" t="s">
        <v>3980</v>
      </c>
      <c r="B2243" s="8" t="s">
        <v>3978</v>
      </c>
      <c r="C2243" s="8" t="s">
        <v>27</v>
      </c>
      <c r="D2243" s="8" t="s">
        <v>28</v>
      </c>
      <c r="E2243" s="8" t="s">
        <v>19</v>
      </c>
      <c r="F2243" s="8" t="s">
        <v>20</v>
      </c>
      <c r="G2243" s="8" t="s">
        <v>21</v>
      </c>
      <c r="H2243" s="9"/>
      <c r="I2243" s="9"/>
      <c r="J2243" s="10">
        <f t="shared" ref="J2243:M2243" si="1295">ifs(OR($H2243="R",$I2243="N"),"N/A",OR(C2243="A",C2243="B",C2243="C",C2243="U"),3,TRUE,"FLAG")</f>
        <v>3</v>
      </c>
      <c r="K2243" s="10">
        <f t="shared" si="1295"/>
        <v>3</v>
      </c>
      <c r="L2243" s="10">
        <f t="shared" si="1295"/>
        <v>3</v>
      </c>
      <c r="M2243" s="10" t="str">
        <f t="shared" si="1295"/>
        <v>FLAG</v>
      </c>
      <c r="N2243" s="10" t="str">
        <f t="shared" si="2"/>
        <v>21-6004(b) - Permitting False Claim; Claim less than $1,000</v>
      </c>
      <c r="O2243" s="10" t="str">
        <f t="shared" si="3"/>
        <v>Permitting False Claim</v>
      </c>
    </row>
    <row r="2244">
      <c r="A2244" s="7" t="s">
        <v>3981</v>
      </c>
      <c r="B2244" s="8" t="s">
        <v>3982</v>
      </c>
      <c r="C2244" s="8" t="s">
        <v>27</v>
      </c>
      <c r="D2244" s="8" t="s">
        <v>28</v>
      </c>
      <c r="E2244" s="8" t="s">
        <v>19</v>
      </c>
      <c r="F2244" s="8" t="s">
        <v>20</v>
      </c>
      <c r="G2244" s="8" t="s">
        <v>21</v>
      </c>
      <c r="H2244" s="9"/>
      <c r="I2244" s="9"/>
      <c r="J2244" s="10">
        <f t="shared" ref="J2244:M2244" si="1296">ifs(OR($H2244="R",$I2244="N"),"N/A",OR(C2244="A",C2244="B",C2244="C",C2244="U"),3,TRUE,"FLAG")</f>
        <v>3</v>
      </c>
      <c r="K2244" s="10">
        <f t="shared" si="1296"/>
        <v>3</v>
      </c>
      <c r="L2244" s="10">
        <f t="shared" si="1296"/>
        <v>3</v>
      </c>
      <c r="M2244" s="10" t="str">
        <f t="shared" si="1296"/>
        <v>FLAG</v>
      </c>
      <c r="N2244" s="10" t="str">
        <f t="shared" si="2"/>
        <v>75-7c06(b) - Personal &amp; Family Protection Act; Unauthorized disclosure of records pertaining to concealed handgun licensing</v>
      </c>
      <c r="O2244" s="10" t="str">
        <f t="shared" si="3"/>
        <v>Personal &amp; Family Protection Act</v>
      </c>
    </row>
    <row r="2245">
      <c r="A2245" s="7" t="s">
        <v>3983</v>
      </c>
      <c r="B2245" s="8" t="s">
        <v>3984</v>
      </c>
      <c r="C2245" s="8" t="s">
        <v>19</v>
      </c>
      <c r="D2245" s="8" t="s">
        <v>19</v>
      </c>
      <c r="E2245" s="8" t="s">
        <v>19</v>
      </c>
      <c r="F2245" s="8" t="s">
        <v>20</v>
      </c>
      <c r="G2245" s="8" t="s">
        <v>21</v>
      </c>
      <c r="H2245" s="9"/>
      <c r="I2245" s="9"/>
      <c r="J2245" s="10">
        <f t="shared" ref="J2245:M2245" si="1297">ifs(OR($H2245="R",$I2245="N"),"N/A",OR(C2245="A",C2245="B",C2245="C",C2245="U"),3,TRUE,"FLAG")</f>
        <v>3</v>
      </c>
      <c r="K2245" s="10">
        <f t="shared" si="1297"/>
        <v>3</v>
      </c>
      <c r="L2245" s="10">
        <f t="shared" si="1297"/>
        <v>3</v>
      </c>
      <c r="M2245" s="10" t="str">
        <f t="shared" si="1297"/>
        <v>FLAG</v>
      </c>
      <c r="N2245" s="10" t="str">
        <f t="shared" si="2"/>
        <v>58-2011(b) - Personal &amp; Real Property; Failure to have a land surveyor establish reference points as required</v>
      </c>
      <c r="O2245" s="10" t="str">
        <f t="shared" si="3"/>
        <v>Personal &amp; Real Property</v>
      </c>
    </row>
    <row r="2246">
      <c r="A2246" s="7" t="s">
        <v>3985</v>
      </c>
      <c r="B2246" s="8" t="s">
        <v>3986</v>
      </c>
      <c r="C2246" s="8" t="s">
        <v>18</v>
      </c>
      <c r="D2246" s="8" t="s">
        <v>18</v>
      </c>
      <c r="E2246" s="8" t="s">
        <v>19</v>
      </c>
      <c r="F2246" s="8" t="s">
        <v>20</v>
      </c>
      <c r="G2246" s="8" t="s">
        <v>21</v>
      </c>
      <c r="H2246" s="9"/>
      <c r="I2246" s="9"/>
      <c r="J2246" s="10">
        <f t="shared" ref="J2246:M2246" si="1298">ifs(OR($H2246="R",$I2246="N"),"N/A",OR(C2246="A",C2246="B",C2246="C",C2246="U"),3,TRUE,"FLAG")</f>
        <v>3</v>
      </c>
      <c r="K2246" s="10">
        <f t="shared" si="1298"/>
        <v>3</v>
      </c>
      <c r="L2246" s="10">
        <f t="shared" si="1298"/>
        <v>3</v>
      </c>
      <c r="M2246" s="10" t="str">
        <f t="shared" si="1298"/>
        <v>FLAG</v>
      </c>
      <c r="N2246" s="10" t="str">
        <f t="shared" si="2"/>
        <v>58-206 - Personal &amp; Real Property; Liens on Personal Property; Sell, dispose or secret grain with intent to defraud</v>
      </c>
      <c r="O2246" s="10" t="str">
        <f t="shared" si="3"/>
        <v>Personal &amp; Real Property</v>
      </c>
    </row>
    <row r="2247">
      <c r="A2247" s="7" t="s">
        <v>3987</v>
      </c>
      <c r="B2247" s="8" t="s">
        <v>3988</v>
      </c>
      <c r="C2247" s="8" t="s">
        <v>27</v>
      </c>
      <c r="D2247" s="8" t="s">
        <v>28</v>
      </c>
      <c r="E2247" s="8" t="s">
        <v>19</v>
      </c>
      <c r="F2247" s="8" t="s">
        <v>20</v>
      </c>
      <c r="G2247" s="8" t="s">
        <v>21</v>
      </c>
      <c r="H2247" s="9"/>
      <c r="I2247" s="9"/>
      <c r="J2247" s="10">
        <f t="shared" ref="J2247:M2247" si="1299">ifs(OR($H2247="R",$I2247="N"),"N/A",OR(C2247="A",C2247="B",C2247="C",C2247="U"),3,TRUE,"FLAG")</f>
        <v>3</v>
      </c>
      <c r="K2247" s="10">
        <f t="shared" si="1299"/>
        <v>3</v>
      </c>
      <c r="L2247" s="10">
        <f t="shared" si="1299"/>
        <v>3</v>
      </c>
      <c r="M2247" s="10" t="str">
        <f t="shared" si="1299"/>
        <v>FLAG</v>
      </c>
      <c r="N2247" s="10" t="str">
        <f t="shared" si="2"/>
        <v>2-2440(e) - Pesticide Law; Application of pesticides within this state by any governmental agency which has not been issued a government agency registration</v>
      </c>
      <c r="O2247" s="10" t="str">
        <f t="shared" si="3"/>
        <v>Pesticide Law</v>
      </c>
    </row>
    <row r="2248">
      <c r="A2248" s="7" t="s">
        <v>3989</v>
      </c>
      <c r="B2248" s="8" t="s">
        <v>3988</v>
      </c>
      <c r="C2248" s="8" t="s">
        <v>18</v>
      </c>
      <c r="D2248" s="8" t="s">
        <v>18</v>
      </c>
      <c r="E2248" s="8" t="s">
        <v>19</v>
      </c>
      <c r="F2248" s="8" t="s">
        <v>20</v>
      </c>
      <c r="G2248" s="8" t="s">
        <v>21</v>
      </c>
      <c r="H2248" s="9"/>
      <c r="I2248" s="9"/>
      <c r="J2248" s="10">
        <f t="shared" ref="J2248:M2248" si="1300">ifs(OR($H2248="R",$I2248="N"),"N/A",OR(C2248="A",C2248="B",C2248="C",C2248="U"),3,TRUE,"FLAG")</f>
        <v>3</v>
      </c>
      <c r="K2248" s="10">
        <f t="shared" si="1300"/>
        <v>3</v>
      </c>
      <c r="L2248" s="10">
        <f t="shared" si="1300"/>
        <v>3</v>
      </c>
      <c r="M2248" s="10" t="str">
        <f t="shared" si="1300"/>
        <v>FLAG</v>
      </c>
      <c r="N2248" s="10" t="str">
        <f t="shared" si="2"/>
        <v>2-2440(e) - Pesticide Law; Certified Private Applicator; application of pesticides within this state by any governmental agency which has not been issued a government agency registration</v>
      </c>
      <c r="O2248" s="10" t="str">
        <f t="shared" si="3"/>
        <v>Pesticide Law</v>
      </c>
    </row>
    <row r="2249">
      <c r="A2249" s="7" t="s">
        <v>3990</v>
      </c>
      <c r="B2249" s="8" t="s">
        <v>3991</v>
      </c>
      <c r="C2249" s="8" t="s">
        <v>18</v>
      </c>
      <c r="D2249" s="8" t="s">
        <v>18</v>
      </c>
      <c r="E2249" s="8" t="s">
        <v>19</v>
      </c>
      <c r="F2249" s="8" t="s">
        <v>20</v>
      </c>
      <c r="G2249" s="8" t="s">
        <v>21</v>
      </c>
      <c r="H2249" s="9"/>
      <c r="I2249" s="9"/>
      <c r="J2249" s="10">
        <f t="shared" ref="J2249:M2249" si="1301">ifs(OR($H2249="R",$I2249="N"),"N/A",OR(C2249="A",C2249="B",C2249="C",C2249="U"),3,TRUE,"FLAG")</f>
        <v>3</v>
      </c>
      <c r="K2249" s="10">
        <f t="shared" si="1301"/>
        <v>3</v>
      </c>
      <c r="L2249" s="10">
        <f t="shared" si="1301"/>
        <v>3</v>
      </c>
      <c r="M2249" s="10" t="str">
        <f t="shared" si="1301"/>
        <v>FLAG</v>
      </c>
      <c r="N2249" s="10" t="str">
        <f t="shared" si="2"/>
        <v>2-2453(b) - Pesticide Law; Certified Private Applicator; discard/store any pesticide or pesticide container in an unsafe manner</v>
      </c>
      <c r="O2249" s="10" t="str">
        <f t="shared" si="3"/>
        <v>Pesticide Law</v>
      </c>
    </row>
    <row r="2250">
      <c r="A2250" s="7" t="s">
        <v>3992</v>
      </c>
      <c r="B2250" s="8" t="s">
        <v>3993</v>
      </c>
      <c r="C2250" s="8" t="s">
        <v>18</v>
      </c>
      <c r="D2250" s="8" t="s">
        <v>18</v>
      </c>
      <c r="E2250" s="8" t="s">
        <v>19</v>
      </c>
      <c r="F2250" s="8" t="s">
        <v>20</v>
      </c>
      <c r="G2250" s="8" t="s">
        <v>21</v>
      </c>
      <c r="H2250" s="9"/>
      <c r="I2250" s="9"/>
      <c r="J2250" s="10">
        <f t="shared" ref="J2250:M2250" si="1302">ifs(OR($H2250="R",$I2250="N"),"N/A",OR(C2250="A",C2250="B",C2250="C",C2250="U"),3,TRUE,"FLAG")</f>
        <v>3</v>
      </c>
      <c r="K2250" s="10">
        <f t="shared" si="1302"/>
        <v>3</v>
      </c>
      <c r="L2250" s="10">
        <f t="shared" si="1302"/>
        <v>3</v>
      </c>
      <c r="M2250" s="10" t="str">
        <f t="shared" si="1302"/>
        <v>FLAG</v>
      </c>
      <c r="N2250" s="10" t="str">
        <f t="shared" si="2"/>
        <v>2-2453(c) - Pesticide Law; Certified Private Applicator; penalty for failure to comply with provisions of this act, rules or regulations</v>
      </c>
      <c r="O2250" s="10" t="str">
        <f t="shared" si="3"/>
        <v>Pesticide Law</v>
      </c>
    </row>
    <row r="2251">
      <c r="A2251" s="7" t="s">
        <v>3994</v>
      </c>
      <c r="B2251" s="8" t="s">
        <v>3995</v>
      </c>
      <c r="C2251" s="8" t="s">
        <v>18</v>
      </c>
      <c r="D2251" s="8" t="s">
        <v>18</v>
      </c>
      <c r="E2251" s="8" t="s">
        <v>19</v>
      </c>
      <c r="F2251" s="8" t="s">
        <v>20</v>
      </c>
      <c r="G2251" s="8" t="s">
        <v>21</v>
      </c>
      <c r="H2251" s="9"/>
      <c r="I2251" s="9"/>
      <c r="J2251" s="10">
        <f t="shared" ref="J2251:M2251" si="1303">ifs(OR($H2251="R",$I2251="N"),"N/A",OR(C2251="A",C2251="B",C2251="C",C2251="U"),3,TRUE,"FLAG")</f>
        <v>3</v>
      </c>
      <c r="K2251" s="10">
        <f t="shared" si="1303"/>
        <v>3</v>
      </c>
      <c r="L2251" s="10">
        <f t="shared" si="1303"/>
        <v>3</v>
      </c>
      <c r="M2251" s="10" t="str">
        <f t="shared" si="1303"/>
        <v>FLAG</v>
      </c>
      <c r="N2251" s="10" t="str">
        <f t="shared" si="2"/>
        <v>2-2440b(a) - Pesticide Law; Certified Private Applicator; pesticide business licensee applying pesticides without being certified as a commercial applicator or a registered pest control technician, or in presence of one so certified or registered</v>
      </c>
      <c r="O2251" s="10" t="str">
        <f t="shared" si="3"/>
        <v>Pesticide Law</v>
      </c>
    </row>
    <row r="2252">
      <c r="A2252" s="7" t="s">
        <v>3996</v>
      </c>
      <c r="B2252" s="8" t="s">
        <v>3997</v>
      </c>
      <c r="C2252" s="8" t="s">
        <v>18</v>
      </c>
      <c r="D2252" s="8" t="s">
        <v>18</v>
      </c>
      <c r="E2252" s="8" t="s">
        <v>19</v>
      </c>
      <c r="F2252" s="8" t="s">
        <v>20</v>
      </c>
      <c r="G2252" s="8" t="s">
        <v>21</v>
      </c>
      <c r="H2252" s="9"/>
      <c r="I2252" s="9"/>
      <c r="J2252" s="10">
        <f t="shared" ref="J2252:M2252" si="1304">ifs(OR($H2252="R",$I2252="N"),"N/A",OR(C2252="A",C2252="B",C2252="C",C2252="U"),3,TRUE,"FLAG")</f>
        <v>3</v>
      </c>
      <c r="K2252" s="10">
        <f t="shared" si="1304"/>
        <v>3</v>
      </c>
      <c r="L2252" s="10">
        <f t="shared" si="1304"/>
        <v>3</v>
      </c>
      <c r="M2252" s="10" t="str">
        <f t="shared" si="1304"/>
        <v>FLAG</v>
      </c>
      <c r="N2252" s="10" t="str">
        <f t="shared" si="2"/>
        <v>2-2440(a)(1) - Pesticide Law; Certified Private Applicator; unlicensed Advertising, offering for sale, selling or performing any service for the control of a pest on another's property or applying a pesticide to another's property</v>
      </c>
      <c r="O2252" s="10" t="str">
        <f t="shared" si="3"/>
        <v>Pesticide Law</v>
      </c>
    </row>
    <row r="2253">
      <c r="A2253" s="7" t="s">
        <v>3998</v>
      </c>
      <c r="B2253" s="8" t="s">
        <v>3999</v>
      </c>
      <c r="C2253" s="8" t="s">
        <v>18</v>
      </c>
      <c r="D2253" s="8" t="s">
        <v>18</v>
      </c>
      <c r="E2253" s="8" t="s">
        <v>19</v>
      </c>
      <c r="F2253" s="8" t="s">
        <v>20</v>
      </c>
      <c r="G2253" s="8" t="s">
        <v>21</v>
      </c>
      <c r="H2253" s="9"/>
      <c r="I2253" s="9"/>
      <c r="J2253" s="10">
        <f t="shared" ref="J2253:M2253" si="1305">ifs(OR($H2253="R",$I2253="N"),"N/A",OR(C2253="A",C2253="B",C2253="C",C2253="U"),3,TRUE,"FLAG")</f>
        <v>3</v>
      </c>
      <c r="K2253" s="10">
        <f t="shared" si="1305"/>
        <v>3</v>
      </c>
      <c r="L2253" s="10">
        <f t="shared" si="1305"/>
        <v>3</v>
      </c>
      <c r="M2253" s="10" t="str">
        <f t="shared" si="1305"/>
        <v>FLAG</v>
      </c>
      <c r="N2253" s="10" t="str">
        <f t="shared" si="2"/>
        <v>2-2440(a)(2) - Pesticide Law; Certified Private Applicator; Unlicensed performance of any service for the control of a pest or application of any pesticide on or at the premises of another person under any commission, division of receipts or subcontracting arrangement with a licensed pesticide business</v>
      </c>
      <c r="O2253" s="10" t="str">
        <f t="shared" si="3"/>
        <v>Pesticide Law</v>
      </c>
    </row>
    <row r="2254">
      <c r="A2254" s="7" t="s">
        <v>4000</v>
      </c>
      <c r="B2254" s="8" t="s">
        <v>4001</v>
      </c>
      <c r="C2254" s="8" t="s">
        <v>18</v>
      </c>
      <c r="D2254" s="8" t="s">
        <v>18</v>
      </c>
      <c r="E2254" s="8" t="s">
        <v>19</v>
      </c>
      <c r="F2254" s="8" t="s">
        <v>20</v>
      </c>
      <c r="G2254" s="8" t="s">
        <v>21</v>
      </c>
      <c r="H2254" s="9"/>
      <c r="I2254" s="9"/>
      <c r="J2254" s="10">
        <f t="shared" ref="J2254:M2254" si="1306">ifs(OR($H2254="R",$I2254="N"),"N/A",OR(C2254="A",C2254="B",C2254="C",C2254="U"),3,TRUE,"FLAG")</f>
        <v>3</v>
      </c>
      <c r="K2254" s="10">
        <f t="shared" si="1306"/>
        <v>3</v>
      </c>
      <c r="L2254" s="10">
        <f t="shared" si="1306"/>
        <v>3</v>
      </c>
      <c r="M2254" s="10" t="str">
        <f t="shared" si="1306"/>
        <v>FLAG</v>
      </c>
      <c r="N2254" s="10" t="str">
        <f t="shared" si="2"/>
        <v>2-2453(a) - Pesticide Law; Certified Private Applicator; use of pesticides in a manner inconsistent with the label or labeling</v>
      </c>
      <c r="O2254" s="10" t="str">
        <f t="shared" si="3"/>
        <v>Pesticide Law</v>
      </c>
    </row>
    <row r="2255">
      <c r="A2255" s="7" t="s">
        <v>4002</v>
      </c>
      <c r="B2255" s="8" t="s">
        <v>4003</v>
      </c>
      <c r="C2255" s="8" t="s">
        <v>27</v>
      </c>
      <c r="D2255" s="8" t="s">
        <v>28</v>
      </c>
      <c r="E2255" s="8" t="s">
        <v>19</v>
      </c>
      <c r="F2255" s="8" t="s">
        <v>20</v>
      </c>
      <c r="G2255" s="8" t="s">
        <v>21</v>
      </c>
      <c r="H2255" s="9"/>
      <c r="I2255" s="9"/>
      <c r="J2255" s="10">
        <f t="shared" ref="J2255:M2255" si="1307">ifs(OR($H2255="R",$I2255="N"),"N/A",OR(C2255="A",C2255="B",C2255="C",C2255="U"),3,TRUE,"FLAG")</f>
        <v>3</v>
      </c>
      <c r="K2255" s="10">
        <f t="shared" si="1307"/>
        <v>3</v>
      </c>
      <c r="L2255" s="10">
        <f t="shared" si="1307"/>
        <v>3</v>
      </c>
      <c r="M2255" s="10" t="str">
        <f t="shared" si="1307"/>
        <v>FLAG</v>
      </c>
      <c r="N2255" s="10" t="str">
        <f t="shared" si="2"/>
        <v>2-2454(i) - Pesticide Law; Certified/Registered/Licensed Persons; aid, abet or conspire with any person to evade any of the provisions of this act; allow a license, registration, permit or certificate to be used by an unlicensed or uncertified person</v>
      </c>
      <c r="O2255" s="10" t="str">
        <f t="shared" si="3"/>
        <v>Pesticide Law</v>
      </c>
    </row>
    <row r="2256">
      <c r="A2256" s="7" t="s">
        <v>4004</v>
      </c>
      <c r="B2256" s="8" t="s">
        <v>4003</v>
      </c>
      <c r="C2256" s="8" t="s">
        <v>18</v>
      </c>
      <c r="D2256" s="8" t="s">
        <v>18</v>
      </c>
      <c r="E2256" s="8" t="s">
        <v>19</v>
      </c>
      <c r="F2256" s="8" t="s">
        <v>20</v>
      </c>
      <c r="G2256" s="8" t="s">
        <v>21</v>
      </c>
      <c r="H2256" s="9"/>
      <c r="I2256" s="9"/>
      <c r="J2256" s="10">
        <f t="shared" ref="J2256:M2256" si="1308">ifs(OR($H2256="R",$I2256="N"),"N/A",OR(C2256="A",C2256="B",C2256="C",C2256="U"),3,TRUE,"FLAG")</f>
        <v>3</v>
      </c>
      <c r="K2256" s="10">
        <f t="shared" si="1308"/>
        <v>3</v>
      </c>
      <c r="L2256" s="10">
        <f t="shared" si="1308"/>
        <v>3</v>
      </c>
      <c r="M2256" s="10" t="str">
        <f t="shared" si="1308"/>
        <v>FLAG</v>
      </c>
      <c r="N2256" s="10" t="str">
        <f t="shared" si="2"/>
        <v>2-2454(i) - Pesticide Law; Certified/Registered/Licensed Persons; Certified Private Applicator; aid, abet or conspire with any person to evade any of the provisions of this act; allow a license, registration, permit or certificate to be used by an unlicensed or uncertified person</v>
      </c>
      <c r="O2256" s="10" t="str">
        <f t="shared" si="3"/>
        <v>Pesticide Law</v>
      </c>
    </row>
    <row r="2257">
      <c r="A2257" s="7" t="s">
        <v>4005</v>
      </c>
      <c r="B2257" s="8" t="s">
        <v>4006</v>
      </c>
      <c r="C2257" s="8" t="s">
        <v>18</v>
      </c>
      <c r="D2257" s="8" t="s">
        <v>18</v>
      </c>
      <c r="E2257" s="8" t="s">
        <v>19</v>
      </c>
      <c r="F2257" s="8" t="s">
        <v>20</v>
      </c>
      <c r="G2257" s="8" t="s">
        <v>21</v>
      </c>
      <c r="H2257" s="9"/>
      <c r="I2257" s="9"/>
      <c r="J2257" s="10">
        <f t="shared" ref="J2257:M2257" si="1309">ifs(OR($H2257="R",$I2257="N"),"N/A",OR(C2257="A",C2257="B",C2257="C",C2257="U"),3,TRUE,"FLAG")</f>
        <v>3</v>
      </c>
      <c r="K2257" s="10">
        <f t="shared" si="1309"/>
        <v>3</v>
      </c>
      <c r="L2257" s="10">
        <f t="shared" si="1309"/>
        <v>3</v>
      </c>
      <c r="M2257" s="10" t="str">
        <f t="shared" si="1309"/>
        <v>FLAG</v>
      </c>
      <c r="N2257" s="10" t="str">
        <f t="shared" si="2"/>
        <v>2-2454(t) - Pesticide Law; Certified/Registered/Licensed Persons; Certified Private Applicator; distribute, sell or offer for sale any pesticide product with altered, defaced or detached labeling</v>
      </c>
      <c r="O2257" s="10" t="str">
        <f t="shared" si="3"/>
        <v>Pesticide Law</v>
      </c>
    </row>
    <row r="2258">
      <c r="A2258" s="7" t="s">
        <v>4007</v>
      </c>
      <c r="B2258" s="8" t="s">
        <v>4008</v>
      </c>
      <c r="C2258" s="8" t="s">
        <v>18</v>
      </c>
      <c r="D2258" s="8" t="s">
        <v>18</v>
      </c>
      <c r="E2258" s="8" t="s">
        <v>19</v>
      </c>
      <c r="F2258" s="8" t="s">
        <v>20</v>
      </c>
      <c r="G2258" s="8" t="s">
        <v>21</v>
      </c>
      <c r="H2258" s="9"/>
      <c r="I2258" s="9"/>
      <c r="J2258" s="10">
        <f t="shared" ref="J2258:M2258" si="1310">ifs(OR($H2258="R",$I2258="N"),"N/A",OR(C2258="A",C2258="B",C2258="C",C2258="U"),3,TRUE,"FLAG")</f>
        <v>3</v>
      </c>
      <c r="K2258" s="10">
        <f t="shared" si="1310"/>
        <v>3</v>
      </c>
      <c r="L2258" s="10">
        <f t="shared" si="1310"/>
        <v>3</v>
      </c>
      <c r="M2258" s="10" t="str">
        <f t="shared" si="1310"/>
        <v>FLAG</v>
      </c>
      <c r="N2258" s="10" t="str">
        <f t="shared" si="2"/>
        <v>2-2454(u) - Pesticide Law; Certified/Registered/Licensed Persons; Certified Private Applicator; distribute, sell or offer for sale any pesticide product with pesticide or pesticide residue on the container or packaging</v>
      </c>
      <c r="O2258" s="10" t="str">
        <f t="shared" si="3"/>
        <v>Pesticide Law</v>
      </c>
    </row>
    <row r="2259">
      <c r="A2259" s="7" t="s">
        <v>4009</v>
      </c>
      <c r="B2259" s="8" t="s">
        <v>4010</v>
      </c>
      <c r="C2259" s="8" t="s">
        <v>18</v>
      </c>
      <c r="D2259" s="8" t="s">
        <v>18</v>
      </c>
      <c r="E2259" s="8" t="s">
        <v>19</v>
      </c>
      <c r="F2259" s="8" t="s">
        <v>20</v>
      </c>
      <c r="G2259" s="8" t="s">
        <v>21</v>
      </c>
      <c r="H2259" s="9"/>
      <c r="I2259" s="9"/>
      <c r="J2259" s="10">
        <f t="shared" ref="J2259:M2259" si="1311">ifs(OR($H2259="R",$I2259="N"),"N/A",OR(C2259="A",C2259="B",C2259="C",C2259="U"),3,TRUE,"FLAG")</f>
        <v>3</v>
      </c>
      <c r="K2259" s="10">
        <f t="shared" si="1311"/>
        <v>3</v>
      </c>
      <c r="L2259" s="10">
        <f t="shared" si="1311"/>
        <v>3</v>
      </c>
      <c r="M2259" s="10" t="str">
        <f t="shared" si="1311"/>
        <v>FLAG</v>
      </c>
      <c r="N2259" s="10" t="str">
        <f t="shared" si="2"/>
        <v>2-2454(s) - Pesticide Law; Certified/Registered/Licensed Persons; Certified Private Applicator; distribute, sell or offer for sale any pesticide unless it is in the pesticide registrant's or the pesticide manufacturer's unbroken immediate container and there is affixed to such container the registrant's label which is complete and legible and which can be read through any package wrappers</v>
      </c>
      <c r="O2259" s="10" t="str">
        <f t="shared" si="3"/>
        <v>Pesticide Law</v>
      </c>
    </row>
    <row r="2260">
      <c r="A2260" s="7" t="s">
        <v>4011</v>
      </c>
      <c r="B2260" s="8" t="s">
        <v>4012</v>
      </c>
      <c r="C2260" s="8" t="s">
        <v>18</v>
      </c>
      <c r="D2260" s="8" t="s">
        <v>18</v>
      </c>
      <c r="E2260" s="8" t="s">
        <v>19</v>
      </c>
      <c r="F2260" s="8" t="s">
        <v>20</v>
      </c>
      <c r="G2260" s="8" t="s">
        <v>21</v>
      </c>
      <c r="H2260" s="9"/>
      <c r="I2260" s="9"/>
      <c r="J2260" s="10">
        <f t="shared" ref="J2260:M2260" si="1312">ifs(OR($H2260="R",$I2260="N"),"N/A",OR(C2260="A",C2260="B",C2260="C",C2260="U"),3,TRUE,"FLAG")</f>
        <v>3</v>
      </c>
      <c r="K2260" s="10">
        <f t="shared" si="1312"/>
        <v>3</v>
      </c>
      <c r="L2260" s="10">
        <f t="shared" si="1312"/>
        <v>3</v>
      </c>
      <c r="M2260" s="10" t="str">
        <f t="shared" si="1312"/>
        <v>FLAG</v>
      </c>
      <c r="N2260" s="10" t="str">
        <f t="shared" si="2"/>
        <v>2-2454(r) - Pesticide Law; Certified/Registered/Licensed Persons; Certified Private Applicator; distribute, sell, make available for use, or use any restricted use pesticide other than by certified applicator or under supervision of certified applicator</v>
      </c>
      <c r="O2260" s="10" t="str">
        <f t="shared" si="3"/>
        <v>Pesticide Law</v>
      </c>
    </row>
    <row r="2261">
      <c r="A2261" s="7" t="s">
        <v>4013</v>
      </c>
      <c r="B2261" s="8" t="s">
        <v>4014</v>
      </c>
      <c r="C2261" s="8" t="s">
        <v>18</v>
      </c>
      <c r="D2261" s="8" t="s">
        <v>18</v>
      </c>
      <c r="E2261" s="8" t="s">
        <v>19</v>
      </c>
      <c r="F2261" s="8" t="s">
        <v>20</v>
      </c>
      <c r="G2261" s="8" t="s">
        <v>21</v>
      </c>
      <c r="H2261" s="9"/>
      <c r="I2261" s="9"/>
      <c r="J2261" s="10">
        <f t="shared" ref="J2261:M2261" si="1313">ifs(OR($H2261="R",$I2261="N"),"N/A",OR(C2261="A",C2261="B",C2261="C",C2261="U"),3,TRUE,"FLAG")</f>
        <v>3</v>
      </c>
      <c r="K2261" s="10">
        <f t="shared" si="1313"/>
        <v>3</v>
      </c>
      <c r="L2261" s="10">
        <f t="shared" si="1313"/>
        <v>3</v>
      </c>
      <c r="M2261" s="10" t="str">
        <f t="shared" si="1313"/>
        <v>FLAG</v>
      </c>
      <c r="N2261" s="10" t="str">
        <f t="shared" si="2"/>
        <v>2-2454(n) - Pesticide Law; Certified/Registered/Licensed Persons; Certified Private Applicator; engage in or advertise to provide pest control services without proper licenses, certification or registration</v>
      </c>
      <c r="O2261" s="10" t="str">
        <f t="shared" si="3"/>
        <v>Pesticide Law</v>
      </c>
    </row>
    <row r="2262">
      <c r="A2262" s="7" t="s">
        <v>4015</v>
      </c>
      <c r="B2262" s="8" t="s">
        <v>4016</v>
      </c>
      <c r="C2262" s="8" t="s">
        <v>18</v>
      </c>
      <c r="D2262" s="8" t="s">
        <v>18</v>
      </c>
      <c r="E2262" s="8" t="s">
        <v>19</v>
      </c>
      <c r="F2262" s="8" t="s">
        <v>20</v>
      </c>
      <c r="G2262" s="8" t="s">
        <v>21</v>
      </c>
      <c r="H2262" s="9"/>
      <c r="I2262" s="9"/>
      <c r="J2262" s="10">
        <f t="shared" ref="J2262:M2262" si="1314">ifs(OR($H2262="R",$I2262="N"),"N/A",OR(C2262="A",C2262="B",C2262="C",C2262="U"),3,TRUE,"FLAG")</f>
        <v>3</v>
      </c>
      <c r="K2262" s="10">
        <f t="shared" si="1314"/>
        <v>3</v>
      </c>
      <c r="L2262" s="10">
        <f t="shared" si="1314"/>
        <v>3</v>
      </c>
      <c r="M2262" s="10" t="str">
        <f t="shared" si="1314"/>
        <v>FLAG</v>
      </c>
      <c r="N2262" s="10" t="str">
        <f t="shared" si="2"/>
        <v>2-2454(p) - Pesticide Law; Certified/Registered/Licensed Persons; Certified Private Applicator; failure to maintain/provide a copy of pesticide product labels/material safety data sheets when requested</v>
      </c>
      <c r="O2262" s="10" t="str">
        <f t="shared" si="3"/>
        <v>Pesticide Law</v>
      </c>
    </row>
    <row r="2263">
      <c r="A2263" s="7" t="s">
        <v>4017</v>
      </c>
      <c r="B2263" s="8" t="s">
        <v>4018</v>
      </c>
      <c r="C2263" s="8" t="s">
        <v>18</v>
      </c>
      <c r="D2263" s="8" t="s">
        <v>18</v>
      </c>
      <c r="E2263" s="8" t="s">
        <v>19</v>
      </c>
      <c r="F2263" s="8" t="s">
        <v>20</v>
      </c>
      <c r="G2263" s="8" t="s">
        <v>21</v>
      </c>
      <c r="H2263" s="9"/>
      <c r="I2263" s="9"/>
      <c r="J2263" s="10">
        <f t="shared" ref="J2263:M2263" si="1315">ifs(OR($H2263="R",$I2263="N"),"N/A",OR(C2263="A",C2263="B",C2263="C",C2263="U"),3,TRUE,"FLAG")</f>
        <v>3</v>
      </c>
      <c r="K2263" s="10">
        <f t="shared" si="1315"/>
        <v>3</v>
      </c>
      <c r="L2263" s="10">
        <f t="shared" si="1315"/>
        <v>3</v>
      </c>
      <c r="M2263" s="10" t="str">
        <f t="shared" si="1315"/>
        <v>FLAG</v>
      </c>
      <c r="N2263" s="10" t="str">
        <f t="shared" si="2"/>
        <v>2-2454(a) - Pesticide Law; Certified/Registered/Licensed Persons; Certified Private Applicator; false or fraudulent claims through any media, misrepresenting the effect of material or methods to be utilized</v>
      </c>
      <c r="O2263" s="10" t="str">
        <f t="shared" si="3"/>
        <v>Pesticide Law</v>
      </c>
    </row>
    <row r="2264">
      <c r="A2264" s="7" t="s">
        <v>4019</v>
      </c>
      <c r="B2264" s="8" t="s">
        <v>4020</v>
      </c>
      <c r="C2264" s="8" t="s">
        <v>18</v>
      </c>
      <c r="D2264" s="8" t="s">
        <v>18</v>
      </c>
      <c r="E2264" s="8" t="s">
        <v>19</v>
      </c>
      <c r="F2264" s="8" t="s">
        <v>20</v>
      </c>
      <c r="G2264" s="8" t="s">
        <v>21</v>
      </c>
      <c r="H2264" s="9"/>
      <c r="I2264" s="9"/>
      <c r="J2264" s="10">
        <f t="shared" ref="J2264:M2264" si="1316">ifs(OR($H2264="R",$I2264="N"),"N/A",OR(C2264="A",C2264="B",C2264="C",C2264="U"),3,TRUE,"FLAG")</f>
        <v>3</v>
      </c>
      <c r="K2264" s="10">
        <f t="shared" si="1316"/>
        <v>3</v>
      </c>
      <c r="L2264" s="10">
        <f t="shared" si="1316"/>
        <v>3</v>
      </c>
      <c r="M2264" s="10" t="str">
        <f t="shared" si="1316"/>
        <v>FLAG</v>
      </c>
      <c r="N2264" s="10" t="str">
        <f t="shared" si="2"/>
        <v>2-2454(j) - Pesticide Law; Certified/Registered/Licensed Persons; Certified Private Applicator; impersonate any state, county or city inspector or official, as acting in their official capacity</v>
      </c>
      <c r="O2264" s="10" t="str">
        <f t="shared" si="3"/>
        <v>Pesticide Law</v>
      </c>
    </row>
    <row r="2265">
      <c r="A2265" s="7" t="s">
        <v>4021</v>
      </c>
      <c r="B2265" s="8" t="s">
        <v>4022</v>
      </c>
      <c r="C2265" s="8" t="s">
        <v>18</v>
      </c>
      <c r="D2265" s="8" t="s">
        <v>18</v>
      </c>
      <c r="E2265" s="8" t="s">
        <v>19</v>
      </c>
      <c r="F2265" s="8" t="s">
        <v>20</v>
      </c>
      <c r="G2265" s="8" t="s">
        <v>21</v>
      </c>
      <c r="H2265" s="9"/>
      <c r="I2265" s="9"/>
      <c r="J2265" s="10">
        <f t="shared" ref="J2265:M2265" si="1317">ifs(OR($H2265="R",$I2265="N"),"N/A",OR(C2265="A",C2265="B",C2265="C",C2265="U"),3,TRUE,"FLAG")</f>
        <v>3</v>
      </c>
      <c r="K2265" s="10">
        <f t="shared" si="1317"/>
        <v>3</v>
      </c>
      <c r="L2265" s="10">
        <f t="shared" si="1317"/>
        <v>3</v>
      </c>
      <c r="M2265" s="10" t="str">
        <f t="shared" si="1317"/>
        <v>FLAG</v>
      </c>
      <c r="N2265" s="10" t="str">
        <f t="shared" si="2"/>
        <v>2-2454(d) - Pesticide Law; Certified/Registered/Licensed Persons; Certified Private Applicator; knowingly operate faulty, unsafe or, if registration is required, unregistered equipment, or operate any equipment in a negligent manner</v>
      </c>
      <c r="O2265" s="10" t="str">
        <f t="shared" si="3"/>
        <v>Pesticide Law</v>
      </c>
    </row>
    <row r="2266">
      <c r="A2266" s="7" t="s">
        <v>4023</v>
      </c>
      <c r="B2266" s="8" t="s">
        <v>4024</v>
      </c>
      <c r="C2266" s="8" t="s">
        <v>18</v>
      </c>
      <c r="D2266" s="8" t="s">
        <v>18</v>
      </c>
      <c r="E2266" s="8" t="s">
        <v>19</v>
      </c>
      <c r="F2266" s="8" t="s">
        <v>20</v>
      </c>
      <c r="G2266" s="8" t="s">
        <v>21</v>
      </c>
      <c r="H2266" s="9"/>
      <c r="I2266" s="9"/>
      <c r="J2266" s="10">
        <f t="shared" ref="J2266:M2266" si="1318">ifs(OR($H2266="R",$I2266="N"),"N/A",OR(C2266="A",C2266="B",C2266="C",C2266="U"),3,TRUE,"FLAG")</f>
        <v>3</v>
      </c>
      <c r="K2266" s="10">
        <f t="shared" si="1318"/>
        <v>3</v>
      </c>
      <c r="L2266" s="10">
        <f t="shared" si="1318"/>
        <v>3</v>
      </c>
      <c r="M2266" s="10" t="str">
        <f t="shared" si="1318"/>
        <v>FLAG</v>
      </c>
      <c r="N2266" s="10" t="str">
        <f t="shared" si="2"/>
        <v>2-2454(c) - Pesticide Law; Certified/Registered/Licensed Persons; Certified Private Applicator; knowingly use ineffective or improper methods or materials</v>
      </c>
      <c r="O2266" s="10" t="str">
        <f t="shared" si="3"/>
        <v>Pesticide Law</v>
      </c>
    </row>
    <row r="2267">
      <c r="A2267" s="7" t="s">
        <v>4025</v>
      </c>
      <c r="B2267" s="8" t="s">
        <v>4026</v>
      </c>
      <c r="C2267" s="8" t="s">
        <v>18</v>
      </c>
      <c r="D2267" s="8" t="s">
        <v>18</v>
      </c>
      <c r="E2267" s="8" t="s">
        <v>19</v>
      </c>
      <c r="F2267" s="8" t="s">
        <v>20</v>
      </c>
      <c r="G2267" s="8" t="s">
        <v>21</v>
      </c>
      <c r="H2267" s="9"/>
      <c r="I2267" s="9"/>
      <c r="J2267" s="10">
        <f t="shared" ref="J2267:M2267" si="1319">ifs(OR($H2267="R",$I2267="N"),"N/A",OR(C2267="A",C2267="B",C2267="C",C2267="U"),3,TRUE,"FLAG")</f>
        <v>3</v>
      </c>
      <c r="K2267" s="10">
        <f t="shared" si="1319"/>
        <v>3</v>
      </c>
      <c r="L2267" s="10">
        <f t="shared" si="1319"/>
        <v>3</v>
      </c>
      <c r="M2267" s="10" t="str">
        <f t="shared" si="1319"/>
        <v>FLAG</v>
      </c>
      <c r="N2267" s="10" t="str">
        <f t="shared" si="2"/>
        <v>2-2454(b) - Pesticide Law; Certified/Registered/Licensed Persons; Certified Private Applicator; make a pesticide recommendation or use not in accordance with the directions for use on the label</v>
      </c>
      <c r="O2267" s="10" t="str">
        <f t="shared" si="3"/>
        <v>Pesticide Law</v>
      </c>
    </row>
    <row r="2268">
      <c r="A2268" s="7" t="s">
        <v>4027</v>
      </c>
      <c r="B2268" s="8" t="s">
        <v>4028</v>
      </c>
      <c r="C2268" s="8" t="s">
        <v>18</v>
      </c>
      <c r="D2268" s="8" t="s">
        <v>18</v>
      </c>
      <c r="E2268" s="8" t="s">
        <v>19</v>
      </c>
      <c r="F2268" s="8" t="s">
        <v>20</v>
      </c>
      <c r="G2268" s="8" t="s">
        <v>21</v>
      </c>
      <c r="H2268" s="9"/>
      <c r="I2268" s="9"/>
      <c r="J2268" s="10">
        <f t="shared" ref="J2268:M2268" si="1320">ifs(OR($H2268="R",$I2268="N"),"N/A",OR(C2268="A",C2268="B",C2268="C",C2268="U"),3,TRUE,"FLAG")</f>
        <v>3</v>
      </c>
      <c r="K2268" s="10">
        <f t="shared" si="1320"/>
        <v>3</v>
      </c>
      <c r="L2268" s="10">
        <f t="shared" si="1320"/>
        <v>3</v>
      </c>
      <c r="M2268" s="10" t="str">
        <f t="shared" si="1320"/>
        <v>FLAG</v>
      </c>
      <c r="N2268" s="10" t="str">
        <f t="shared" si="2"/>
        <v>2-2454(k) - Pesticide Law; Certified/Registered/Licensed Persons; Certified Private Applicator; make any misrepresentation or defraud any member of the public</v>
      </c>
      <c r="O2268" s="10" t="str">
        <f t="shared" si="3"/>
        <v>Pesticide Law</v>
      </c>
    </row>
    <row r="2269">
      <c r="A2269" s="7" t="s">
        <v>4029</v>
      </c>
      <c r="B2269" s="8" t="s">
        <v>4030</v>
      </c>
      <c r="C2269" s="8" t="s">
        <v>18</v>
      </c>
      <c r="D2269" s="8" t="s">
        <v>18</v>
      </c>
      <c r="E2269" s="8" t="s">
        <v>19</v>
      </c>
      <c r="F2269" s="8" t="s">
        <v>20</v>
      </c>
      <c r="G2269" s="8" t="s">
        <v>21</v>
      </c>
      <c r="H2269" s="9"/>
      <c r="I2269" s="9"/>
      <c r="J2269" s="10">
        <f t="shared" ref="J2269:M2269" si="1321">ifs(OR($H2269="R",$I2269="N"),"N/A",OR(C2269="A",C2269="B",C2269="C",C2269="U"),3,TRUE,"FLAG")</f>
        <v>3</v>
      </c>
      <c r="K2269" s="10">
        <f t="shared" si="1321"/>
        <v>3</v>
      </c>
      <c r="L2269" s="10">
        <f t="shared" si="1321"/>
        <v>3</v>
      </c>
      <c r="M2269" s="10" t="str">
        <f t="shared" si="1321"/>
        <v>FLAG</v>
      </c>
      <c r="N2269" s="10" t="str">
        <f t="shared" si="2"/>
        <v>2-2454(f) - Pesticide Law; Certified/Registered/Licensed Persons; Certified Private Applicator; make false or fraudulent records, invoices or reports</v>
      </c>
      <c r="O2269" s="10" t="str">
        <f t="shared" si="3"/>
        <v>Pesticide Law</v>
      </c>
    </row>
    <row r="2270">
      <c r="A2270" s="7" t="s">
        <v>4031</v>
      </c>
      <c r="B2270" s="8" t="s">
        <v>4032</v>
      </c>
      <c r="C2270" s="8" t="s">
        <v>18</v>
      </c>
      <c r="D2270" s="8" t="s">
        <v>18</v>
      </c>
      <c r="E2270" s="8" t="s">
        <v>19</v>
      </c>
      <c r="F2270" s="8" t="s">
        <v>20</v>
      </c>
      <c r="G2270" s="8" t="s">
        <v>21</v>
      </c>
      <c r="H2270" s="9"/>
      <c r="I2270" s="9"/>
      <c r="J2270" s="10">
        <f t="shared" ref="J2270:M2270" si="1322">ifs(OR($H2270="R",$I2270="N"),"N/A",OR(C2270="A",C2270="B",C2270="C",C2270="U"),3,TRUE,"FLAG")</f>
        <v>3</v>
      </c>
      <c r="K2270" s="10">
        <f t="shared" si="1322"/>
        <v>3</v>
      </c>
      <c r="L2270" s="10">
        <f t="shared" si="1322"/>
        <v>3</v>
      </c>
      <c r="M2270" s="10" t="str">
        <f t="shared" si="1322"/>
        <v>FLAG</v>
      </c>
      <c r="N2270" s="10" t="str">
        <f t="shared" si="2"/>
        <v>2-2454(l) - Pesticide Law; Certified/Registered/Licensed Persons; Certified Private Applicator; permitting unlawful use of a pesticide business license or contract forms by an unlicensed person</v>
      </c>
      <c r="O2270" s="10" t="str">
        <f t="shared" si="3"/>
        <v>Pesticide Law</v>
      </c>
    </row>
    <row r="2271">
      <c r="A2271" s="7" t="s">
        <v>4033</v>
      </c>
      <c r="B2271" s="8" t="s">
        <v>4034</v>
      </c>
      <c r="C2271" s="8" t="s">
        <v>18</v>
      </c>
      <c r="D2271" s="8" t="s">
        <v>18</v>
      </c>
      <c r="E2271" s="8" t="s">
        <v>19</v>
      </c>
      <c r="F2271" s="8" t="s">
        <v>20</v>
      </c>
      <c r="G2271" s="8" t="s">
        <v>21</v>
      </c>
      <c r="H2271" s="9"/>
      <c r="I2271" s="9"/>
      <c r="J2271" s="10">
        <f t="shared" ref="J2271:M2271" si="1323">ifs(OR($H2271="R",$I2271="N"),"N/A",OR(C2271="A",C2271="B",C2271="C",C2271="U"),3,TRUE,"FLAG")</f>
        <v>3</v>
      </c>
      <c r="K2271" s="10">
        <f t="shared" si="1323"/>
        <v>3</v>
      </c>
      <c r="L2271" s="10">
        <f t="shared" si="1323"/>
        <v>3</v>
      </c>
      <c r="M2271" s="10" t="str">
        <f t="shared" si="1323"/>
        <v>FLAG</v>
      </c>
      <c r="N2271" s="10" t="str">
        <f t="shared" si="2"/>
        <v>2-2454(h) - Pesticide Law; Certified/Registered/Licensed Persons; Certified Private Applicator; refuse or neglect to comply with limitations/ restrictions on or in a duly issued license, registration, permit or certificate</v>
      </c>
      <c r="O2271" s="10" t="str">
        <f t="shared" si="3"/>
        <v>Pesticide Law</v>
      </c>
    </row>
    <row r="2272">
      <c r="A2272" s="7" t="s">
        <v>4035</v>
      </c>
      <c r="B2272" s="8" t="s">
        <v>4036</v>
      </c>
      <c r="C2272" s="8" t="s">
        <v>18</v>
      </c>
      <c r="D2272" s="8" t="s">
        <v>18</v>
      </c>
      <c r="E2272" s="8" t="s">
        <v>19</v>
      </c>
      <c r="F2272" s="8" t="s">
        <v>20</v>
      </c>
      <c r="G2272" s="8" t="s">
        <v>21</v>
      </c>
      <c r="H2272" s="9"/>
      <c r="I2272" s="9"/>
      <c r="J2272" s="10">
        <f t="shared" ref="J2272:M2272" si="1324">ifs(OR($H2272="R",$I2272="N"),"N/A",OR(C2272="A",C2272="B",C2272="C",C2272="U"),3,TRUE,"FLAG")</f>
        <v>3</v>
      </c>
      <c r="K2272" s="10">
        <f t="shared" si="1324"/>
        <v>3</v>
      </c>
      <c r="L2272" s="10">
        <f t="shared" si="1324"/>
        <v>3</v>
      </c>
      <c r="M2272" s="10" t="str">
        <f t="shared" si="1324"/>
        <v>FLAG</v>
      </c>
      <c r="N2272" s="10" t="str">
        <f t="shared" si="2"/>
        <v>2-2454(e) - Pesticide Law; Certified/Registered/Licensed Persons; Certified Private Applicator; refuse or neglect to keep and maintain records as required; refuse or neglect to make records available as required</v>
      </c>
      <c r="O2272" s="10" t="str">
        <f t="shared" si="3"/>
        <v>Pesticide Law</v>
      </c>
    </row>
    <row r="2273">
      <c r="A2273" s="7" t="s">
        <v>4037</v>
      </c>
      <c r="B2273" s="8" t="s">
        <v>4038</v>
      </c>
      <c r="C2273" s="8" t="s">
        <v>18</v>
      </c>
      <c r="D2273" s="8" t="s">
        <v>18</v>
      </c>
      <c r="E2273" s="8" t="s">
        <v>19</v>
      </c>
      <c r="F2273" s="8" t="s">
        <v>20</v>
      </c>
      <c r="G2273" s="8" t="s">
        <v>21</v>
      </c>
      <c r="H2273" s="9"/>
      <c r="I2273" s="9"/>
      <c r="J2273" s="10">
        <f t="shared" ref="J2273:M2273" si="1325">ifs(OR($H2273="R",$I2273="N"),"N/A",OR(C2273="A",C2273="B",C2273="C",C2273="U"),3,TRUE,"FLAG")</f>
        <v>3</v>
      </c>
      <c r="K2273" s="10">
        <f t="shared" si="1325"/>
        <v>3</v>
      </c>
      <c r="L2273" s="10">
        <f t="shared" si="1325"/>
        <v>3</v>
      </c>
      <c r="M2273" s="10" t="str">
        <f t="shared" si="1325"/>
        <v>FLAG</v>
      </c>
      <c r="N2273" s="10" t="str">
        <f t="shared" si="2"/>
        <v>2-2454(m) - Pesticide Law; Certified/Registered/Licensed Persons; Certified Private Applicator; use any method or material without regard to public health, safety or welfare</v>
      </c>
      <c r="O2273" s="10" t="str">
        <f t="shared" si="3"/>
        <v>Pesticide Law</v>
      </c>
    </row>
    <row r="2274">
      <c r="A2274" s="7" t="s">
        <v>4039</v>
      </c>
      <c r="B2274" s="8" t="s">
        <v>4040</v>
      </c>
      <c r="C2274" s="8" t="s">
        <v>18</v>
      </c>
      <c r="D2274" s="8" t="s">
        <v>18</v>
      </c>
      <c r="E2274" s="8" t="s">
        <v>19</v>
      </c>
      <c r="F2274" s="8" t="s">
        <v>20</v>
      </c>
      <c r="G2274" s="8" t="s">
        <v>21</v>
      </c>
      <c r="H2274" s="9"/>
      <c r="I2274" s="9"/>
      <c r="J2274" s="10">
        <f t="shared" ref="J2274:M2274" si="1326">ifs(OR($H2274="R",$I2274="N"),"N/A",OR(C2274="A",C2274="B",C2274="C",C2274="U"),3,TRUE,"FLAG")</f>
        <v>3</v>
      </c>
      <c r="K2274" s="10">
        <f t="shared" si="1326"/>
        <v>3</v>
      </c>
      <c r="L2274" s="10">
        <f t="shared" si="1326"/>
        <v>3</v>
      </c>
      <c r="M2274" s="10" t="str">
        <f t="shared" si="1326"/>
        <v>FLAG</v>
      </c>
      <c r="N2274" s="10" t="str">
        <f t="shared" si="2"/>
        <v>2-2454(q) - Pesticide Law; Certified/Registered/Licensed Persons; Certified Private Applicator; use any pesticide in a manner inconsistent with limitations imposed by the secretary pursuant to K.S.A. 2-2471</v>
      </c>
      <c r="O2274" s="10" t="str">
        <f t="shared" si="3"/>
        <v>Pesticide Law</v>
      </c>
    </row>
    <row r="2275">
      <c r="A2275" s="7" t="s">
        <v>4041</v>
      </c>
      <c r="B2275" s="8" t="s">
        <v>4042</v>
      </c>
      <c r="C2275" s="8" t="s">
        <v>18</v>
      </c>
      <c r="D2275" s="8" t="s">
        <v>18</v>
      </c>
      <c r="E2275" s="8" t="s">
        <v>19</v>
      </c>
      <c r="F2275" s="8" t="s">
        <v>20</v>
      </c>
      <c r="G2275" s="8" t="s">
        <v>21</v>
      </c>
      <c r="H2275" s="9"/>
      <c r="I2275" s="9"/>
      <c r="J2275" s="10">
        <f t="shared" ref="J2275:M2275" si="1327">ifs(OR($H2275="R",$I2275="N"),"N/A",OR(C2275="A",C2275="B",C2275="C",C2275="U"),3,TRUE,"FLAG")</f>
        <v>3</v>
      </c>
      <c r="K2275" s="10">
        <f t="shared" si="1327"/>
        <v>3</v>
      </c>
      <c r="L2275" s="10">
        <f t="shared" si="1327"/>
        <v>3</v>
      </c>
      <c r="M2275" s="10" t="str">
        <f t="shared" si="1327"/>
        <v>FLAG</v>
      </c>
      <c r="N2275" s="10" t="str">
        <f t="shared" si="2"/>
        <v>2-2454(g) - Pesticide Law; Certified/Registered/Licensed Persons; Certified Private Applicator; use fraud or misrepresentation in making an application for or renewal of a license, registration, permit or certificate</v>
      </c>
      <c r="O2275" s="10" t="str">
        <f t="shared" si="3"/>
        <v>Pesticide Law</v>
      </c>
    </row>
    <row r="2276">
      <c r="A2276" s="7" t="s">
        <v>4043</v>
      </c>
      <c r="B2276" s="8" t="s">
        <v>4044</v>
      </c>
      <c r="C2276" s="8" t="s">
        <v>18</v>
      </c>
      <c r="D2276" s="8" t="s">
        <v>18</v>
      </c>
      <c r="E2276" s="8" t="s">
        <v>19</v>
      </c>
      <c r="F2276" s="8" t="s">
        <v>20</v>
      </c>
      <c r="G2276" s="8" t="s">
        <v>21</v>
      </c>
      <c r="H2276" s="9"/>
      <c r="I2276" s="9"/>
      <c r="J2276" s="10">
        <f t="shared" ref="J2276:M2276" si="1328">ifs(OR($H2276="R",$I2276="N"),"N/A",OR(C2276="A",C2276="B",C2276="C",C2276="U"),3,TRUE,"FLAG")</f>
        <v>3</v>
      </c>
      <c r="K2276" s="10">
        <f t="shared" si="1328"/>
        <v>3</v>
      </c>
      <c r="L2276" s="10">
        <f t="shared" si="1328"/>
        <v>3</v>
      </c>
      <c r="M2276" s="10" t="str">
        <f t="shared" si="1328"/>
        <v>FLAG</v>
      </c>
      <c r="N2276" s="10" t="str">
        <f t="shared" si="2"/>
        <v>2-2454(o) - Pesticide Law; Certified/Registered/Licensed Persons; Certified Private Applicator; use, store, dispose of any pesticide material, pesticide rinsate or container without regard to public health or environmental damage</v>
      </c>
      <c r="O2276" s="10" t="str">
        <f t="shared" si="3"/>
        <v>Pesticide Law</v>
      </c>
    </row>
    <row r="2277">
      <c r="A2277" s="7" t="s">
        <v>4045</v>
      </c>
      <c r="B2277" s="8" t="s">
        <v>4006</v>
      </c>
      <c r="C2277" s="8" t="s">
        <v>27</v>
      </c>
      <c r="D2277" s="8" t="s">
        <v>28</v>
      </c>
      <c r="E2277" s="8" t="s">
        <v>19</v>
      </c>
      <c r="F2277" s="8" t="s">
        <v>20</v>
      </c>
      <c r="G2277" s="8" t="s">
        <v>21</v>
      </c>
      <c r="H2277" s="9"/>
      <c r="I2277" s="9"/>
      <c r="J2277" s="10">
        <f t="shared" ref="J2277:M2277" si="1329">ifs(OR($H2277="R",$I2277="N"),"N/A",OR(C2277="A",C2277="B",C2277="C",C2277="U"),3,TRUE,"FLAG")</f>
        <v>3</v>
      </c>
      <c r="K2277" s="10">
        <f t="shared" si="1329"/>
        <v>3</v>
      </c>
      <c r="L2277" s="10">
        <f t="shared" si="1329"/>
        <v>3</v>
      </c>
      <c r="M2277" s="10" t="str">
        <f t="shared" si="1329"/>
        <v>FLAG</v>
      </c>
      <c r="N2277" s="10" t="str">
        <f t="shared" si="2"/>
        <v>2-2454(t) - Pesticide Law; Certified/Registered/Licensed Persons; distribute, sell or offer for sale any pesticide product with altered, defaced or detached labeling</v>
      </c>
      <c r="O2277" s="10" t="str">
        <f t="shared" si="3"/>
        <v>Pesticide Law</v>
      </c>
    </row>
    <row r="2278">
      <c r="A2278" s="7" t="s">
        <v>4046</v>
      </c>
      <c r="B2278" s="8" t="s">
        <v>4008</v>
      </c>
      <c r="C2278" s="8" t="s">
        <v>27</v>
      </c>
      <c r="D2278" s="8" t="s">
        <v>28</v>
      </c>
      <c r="E2278" s="8" t="s">
        <v>19</v>
      </c>
      <c r="F2278" s="8" t="s">
        <v>20</v>
      </c>
      <c r="G2278" s="8" t="s">
        <v>21</v>
      </c>
      <c r="H2278" s="9"/>
      <c r="I2278" s="9"/>
      <c r="J2278" s="10">
        <f t="shared" ref="J2278:M2278" si="1330">ifs(OR($H2278="R",$I2278="N"),"N/A",OR(C2278="A",C2278="B",C2278="C",C2278="U"),3,TRUE,"FLAG")</f>
        <v>3</v>
      </c>
      <c r="K2278" s="10">
        <f t="shared" si="1330"/>
        <v>3</v>
      </c>
      <c r="L2278" s="10">
        <f t="shared" si="1330"/>
        <v>3</v>
      </c>
      <c r="M2278" s="10" t="str">
        <f t="shared" si="1330"/>
        <v>FLAG</v>
      </c>
      <c r="N2278" s="10" t="str">
        <f t="shared" si="2"/>
        <v>2-2454(u) - Pesticide Law; Certified/Registered/Licensed Persons; distribute, sell or offer for sale any pesticide product with pesticide or pesticide residue on the container or packaging</v>
      </c>
      <c r="O2278" s="10" t="str">
        <f t="shared" si="3"/>
        <v>Pesticide Law</v>
      </c>
    </row>
    <row r="2279">
      <c r="A2279" s="7" t="s">
        <v>4047</v>
      </c>
      <c r="B2279" s="8" t="s">
        <v>4010</v>
      </c>
      <c r="C2279" s="8" t="s">
        <v>27</v>
      </c>
      <c r="D2279" s="8" t="s">
        <v>28</v>
      </c>
      <c r="E2279" s="8" t="s">
        <v>19</v>
      </c>
      <c r="F2279" s="8" t="s">
        <v>20</v>
      </c>
      <c r="G2279" s="8" t="s">
        <v>21</v>
      </c>
      <c r="H2279" s="9"/>
      <c r="I2279" s="9"/>
      <c r="J2279" s="10">
        <f t="shared" ref="J2279:M2279" si="1331">ifs(OR($H2279="R",$I2279="N"),"N/A",OR(C2279="A",C2279="B",C2279="C",C2279="U"),3,TRUE,"FLAG")</f>
        <v>3</v>
      </c>
      <c r="K2279" s="10">
        <f t="shared" si="1331"/>
        <v>3</v>
      </c>
      <c r="L2279" s="10">
        <f t="shared" si="1331"/>
        <v>3</v>
      </c>
      <c r="M2279" s="10" t="str">
        <f t="shared" si="1331"/>
        <v>FLAG</v>
      </c>
      <c r="N2279" s="10" t="str">
        <f t="shared" si="2"/>
        <v>2-2454(s) - Pesticide Law; Certified/Registered/Licensed Persons; distribute, sell or offer for sale any pesticide unless it is in the pesticide registrant's or the pesticide manufacturer's unbroken immediate container and there is affixed to such container the registrant's label which is complete and legible and which can be read through any package wrappers</v>
      </c>
      <c r="O2279" s="10" t="str">
        <f t="shared" si="3"/>
        <v>Pesticide Law</v>
      </c>
    </row>
    <row r="2280">
      <c r="A2280" s="7" t="s">
        <v>4048</v>
      </c>
      <c r="B2280" s="8" t="s">
        <v>4012</v>
      </c>
      <c r="C2280" s="8" t="s">
        <v>27</v>
      </c>
      <c r="D2280" s="8" t="s">
        <v>28</v>
      </c>
      <c r="E2280" s="8" t="s">
        <v>19</v>
      </c>
      <c r="F2280" s="8" t="s">
        <v>20</v>
      </c>
      <c r="G2280" s="8" t="s">
        <v>21</v>
      </c>
      <c r="H2280" s="9"/>
      <c r="I2280" s="9"/>
      <c r="J2280" s="10">
        <f t="shared" ref="J2280:M2280" si="1332">ifs(OR($H2280="R",$I2280="N"),"N/A",OR(C2280="A",C2280="B",C2280="C",C2280="U"),3,TRUE,"FLAG")</f>
        <v>3</v>
      </c>
      <c r="K2280" s="10">
        <f t="shared" si="1332"/>
        <v>3</v>
      </c>
      <c r="L2280" s="10">
        <f t="shared" si="1332"/>
        <v>3</v>
      </c>
      <c r="M2280" s="10" t="str">
        <f t="shared" si="1332"/>
        <v>FLAG</v>
      </c>
      <c r="N2280" s="10" t="str">
        <f t="shared" si="2"/>
        <v>2-2454(r) - Pesticide Law; Certified/Registered/Licensed Persons; distribute, sell, make available for use, or use any restricted use pesticide other than by certified applicator or under supervision of certified applicator</v>
      </c>
      <c r="O2280" s="10" t="str">
        <f t="shared" si="3"/>
        <v>Pesticide Law</v>
      </c>
    </row>
    <row r="2281">
      <c r="A2281" s="7" t="s">
        <v>4049</v>
      </c>
      <c r="B2281" s="8" t="s">
        <v>4014</v>
      </c>
      <c r="C2281" s="8" t="s">
        <v>27</v>
      </c>
      <c r="D2281" s="8" t="s">
        <v>28</v>
      </c>
      <c r="E2281" s="8" t="s">
        <v>19</v>
      </c>
      <c r="F2281" s="8" t="s">
        <v>20</v>
      </c>
      <c r="G2281" s="8" t="s">
        <v>21</v>
      </c>
      <c r="H2281" s="9"/>
      <c r="I2281" s="9"/>
      <c r="J2281" s="10">
        <f t="shared" ref="J2281:M2281" si="1333">ifs(OR($H2281="R",$I2281="N"),"N/A",OR(C2281="A",C2281="B",C2281="C",C2281="U"),3,TRUE,"FLAG")</f>
        <v>3</v>
      </c>
      <c r="K2281" s="10">
        <f t="shared" si="1333"/>
        <v>3</v>
      </c>
      <c r="L2281" s="10">
        <f t="shared" si="1333"/>
        <v>3</v>
      </c>
      <c r="M2281" s="10" t="str">
        <f t="shared" si="1333"/>
        <v>FLAG</v>
      </c>
      <c r="N2281" s="10" t="str">
        <f t="shared" si="2"/>
        <v>2-2454(n) - Pesticide Law; Certified/Registered/Licensed Persons; engage in or advertise to provide pest control services without proper licenses, certification or registration</v>
      </c>
      <c r="O2281" s="10" t="str">
        <f t="shared" si="3"/>
        <v>Pesticide Law</v>
      </c>
    </row>
    <row r="2282">
      <c r="A2282" s="7" t="s">
        <v>4050</v>
      </c>
      <c r="B2282" s="8" t="s">
        <v>4016</v>
      </c>
      <c r="C2282" s="8" t="s">
        <v>27</v>
      </c>
      <c r="D2282" s="8" t="s">
        <v>28</v>
      </c>
      <c r="E2282" s="8" t="s">
        <v>19</v>
      </c>
      <c r="F2282" s="8" t="s">
        <v>20</v>
      </c>
      <c r="G2282" s="8" t="s">
        <v>21</v>
      </c>
      <c r="H2282" s="9"/>
      <c r="I2282" s="9"/>
      <c r="J2282" s="10">
        <f t="shared" ref="J2282:M2282" si="1334">ifs(OR($H2282="R",$I2282="N"),"N/A",OR(C2282="A",C2282="B",C2282="C",C2282="U"),3,TRUE,"FLAG")</f>
        <v>3</v>
      </c>
      <c r="K2282" s="10">
        <f t="shared" si="1334"/>
        <v>3</v>
      </c>
      <c r="L2282" s="10">
        <f t="shared" si="1334"/>
        <v>3</v>
      </c>
      <c r="M2282" s="10" t="str">
        <f t="shared" si="1334"/>
        <v>FLAG</v>
      </c>
      <c r="N2282" s="10" t="str">
        <f t="shared" si="2"/>
        <v>2-2454(p) - Pesticide Law; Certified/Registered/Licensed Persons; failure to maintain/provide a copy of pesticide product labels/material safety data sheets when requested</v>
      </c>
      <c r="O2282" s="10" t="str">
        <f t="shared" si="3"/>
        <v>Pesticide Law</v>
      </c>
    </row>
    <row r="2283">
      <c r="A2283" s="7" t="s">
        <v>4051</v>
      </c>
      <c r="B2283" s="8" t="s">
        <v>4018</v>
      </c>
      <c r="C2283" s="8" t="s">
        <v>27</v>
      </c>
      <c r="D2283" s="8" t="s">
        <v>28</v>
      </c>
      <c r="E2283" s="8" t="s">
        <v>19</v>
      </c>
      <c r="F2283" s="8" t="s">
        <v>20</v>
      </c>
      <c r="G2283" s="8" t="s">
        <v>21</v>
      </c>
      <c r="H2283" s="9"/>
      <c r="I2283" s="9"/>
      <c r="J2283" s="10">
        <f t="shared" ref="J2283:M2283" si="1335">ifs(OR($H2283="R",$I2283="N"),"N/A",OR(C2283="A",C2283="B",C2283="C",C2283="U"),3,TRUE,"FLAG")</f>
        <v>3</v>
      </c>
      <c r="K2283" s="10">
        <f t="shared" si="1335"/>
        <v>3</v>
      </c>
      <c r="L2283" s="10">
        <f t="shared" si="1335"/>
        <v>3</v>
      </c>
      <c r="M2283" s="10" t="str">
        <f t="shared" si="1335"/>
        <v>FLAG</v>
      </c>
      <c r="N2283" s="10" t="str">
        <f t="shared" si="2"/>
        <v>2-2454(a) - Pesticide Law; Certified/Registered/Licensed Persons; false or fraudulent claims through any media, misrepresenting the effect of material or methods to be utilized</v>
      </c>
      <c r="O2283" s="10" t="str">
        <f t="shared" si="3"/>
        <v>Pesticide Law</v>
      </c>
    </row>
    <row r="2284">
      <c r="A2284" s="7" t="s">
        <v>4052</v>
      </c>
      <c r="B2284" s="8" t="s">
        <v>4020</v>
      </c>
      <c r="C2284" s="8" t="s">
        <v>27</v>
      </c>
      <c r="D2284" s="8" t="s">
        <v>28</v>
      </c>
      <c r="E2284" s="8" t="s">
        <v>19</v>
      </c>
      <c r="F2284" s="8" t="s">
        <v>20</v>
      </c>
      <c r="G2284" s="8" t="s">
        <v>21</v>
      </c>
      <c r="H2284" s="9"/>
      <c r="I2284" s="9"/>
      <c r="J2284" s="10">
        <f t="shared" ref="J2284:M2284" si="1336">ifs(OR($H2284="R",$I2284="N"),"N/A",OR(C2284="A",C2284="B",C2284="C",C2284="U"),3,TRUE,"FLAG")</f>
        <v>3</v>
      </c>
      <c r="K2284" s="10">
        <f t="shared" si="1336"/>
        <v>3</v>
      </c>
      <c r="L2284" s="10">
        <f t="shared" si="1336"/>
        <v>3</v>
      </c>
      <c r="M2284" s="10" t="str">
        <f t="shared" si="1336"/>
        <v>FLAG</v>
      </c>
      <c r="N2284" s="10" t="str">
        <f t="shared" si="2"/>
        <v>2-2454(j) - Pesticide Law; Certified/Registered/Licensed Persons; impersonate any state, county or city inspector or official, as acting in their official capacity</v>
      </c>
      <c r="O2284" s="10" t="str">
        <f t="shared" si="3"/>
        <v>Pesticide Law</v>
      </c>
    </row>
    <row r="2285">
      <c r="A2285" s="7" t="s">
        <v>4053</v>
      </c>
      <c r="B2285" s="8" t="s">
        <v>4022</v>
      </c>
      <c r="C2285" s="8" t="s">
        <v>27</v>
      </c>
      <c r="D2285" s="8" t="s">
        <v>28</v>
      </c>
      <c r="E2285" s="8" t="s">
        <v>19</v>
      </c>
      <c r="F2285" s="8" t="s">
        <v>20</v>
      </c>
      <c r="G2285" s="8" t="s">
        <v>21</v>
      </c>
      <c r="H2285" s="9"/>
      <c r="I2285" s="9"/>
      <c r="J2285" s="10">
        <f t="shared" ref="J2285:M2285" si="1337">ifs(OR($H2285="R",$I2285="N"),"N/A",OR(C2285="A",C2285="B",C2285="C",C2285="U"),3,TRUE,"FLAG")</f>
        <v>3</v>
      </c>
      <c r="K2285" s="10">
        <f t="shared" si="1337"/>
        <v>3</v>
      </c>
      <c r="L2285" s="10">
        <f t="shared" si="1337"/>
        <v>3</v>
      </c>
      <c r="M2285" s="10" t="str">
        <f t="shared" si="1337"/>
        <v>FLAG</v>
      </c>
      <c r="N2285" s="10" t="str">
        <f t="shared" si="2"/>
        <v>2-2454(d) - Pesticide Law; Certified/Registered/Licensed Persons; knowingly operate faulty, unsafe or, if registration is required, unregistered equipment, or operate any equipment in a negligent manner</v>
      </c>
      <c r="O2285" s="10" t="str">
        <f t="shared" si="3"/>
        <v>Pesticide Law</v>
      </c>
    </row>
    <row r="2286">
      <c r="A2286" s="7" t="s">
        <v>4054</v>
      </c>
      <c r="B2286" s="8" t="s">
        <v>4024</v>
      </c>
      <c r="C2286" s="8" t="s">
        <v>27</v>
      </c>
      <c r="D2286" s="8" t="s">
        <v>28</v>
      </c>
      <c r="E2286" s="8" t="s">
        <v>19</v>
      </c>
      <c r="F2286" s="8" t="s">
        <v>20</v>
      </c>
      <c r="G2286" s="8" t="s">
        <v>21</v>
      </c>
      <c r="H2286" s="9"/>
      <c r="I2286" s="9"/>
      <c r="J2286" s="10">
        <f t="shared" ref="J2286:M2286" si="1338">ifs(OR($H2286="R",$I2286="N"),"N/A",OR(C2286="A",C2286="B",C2286="C",C2286="U"),3,TRUE,"FLAG")</f>
        <v>3</v>
      </c>
      <c r="K2286" s="10">
        <f t="shared" si="1338"/>
        <v>3</v>
      </c>
      <c r="L2286" s="10">
        <f t="shared" si="1338"/>
        <v>3</v>
      </c>
      <c r="M2286" s="10" t="str">
        <f t="shared" si="1338"/>
        <v>FLAG</v>
      </c>
      <c r="N2286" s="10" t="str">
        <f t="shared" si="2"/>
        <v>2-2454(c) - Pesticide Law; Certified/Registered/Licensed Persons; knowingly use ineffective or improper methods or materials</v>
      </c>
      <c r="O2286" s="10" t="str">
        <f t="shared" si="3"/>
        <v>Pesticide Law</v>
      </c>
    </row>
    <row r="2287">
      <c r="A2287" s="7" t="s">
        <v>4055</v>
      </c>
      <c r="B2287" s="8" t="s">
        <v>4026</v>
      </c>
      <c r="C2287" s="8" t="s">
        <v>27</v>
      </c>
      <c r="D2287" s="8" t="s">
        <v>28</v>
      </c>
      <c r="E2287" s="8" t="s">
        <v>19</v>
      </c>
      <c r="F2287" s="8" t="s">
        <v>20</v>
      </c>
      <c r="G2287" s="8" t="s">
        <v>21</v>
      </c>
      <c r="H2287" s="9"/>
      <c r="I2287" s="9"/>
      <c r="J2287" s="10">
        <f t="shared" ref="J2287:M2287" si="1339">ifs(OR($H2287="R",$I2287="N"),"N/A",OR(C2287="A",C2287="B",C2287="C",C2287="U"),3,TRUE,"FLAG")</f>
        <v>3</v>
      </c>
      <c r="K2287" s="10">
        <f t="shared" si="1339"/>
        <v>3</v>
      </c>
      <c r="L2287" s="10">
        <f t="shared" si="1339"/>
        <v>3</v>
      </c>
      <c r="M2287" s="10" t="str">
        <f t="shared" si="1339"/>
        <v>FLAG</v>
      </c>
      <c r="N2287" s="10" t="str">
        <f t="shared" si="2"/>
        <v>2-2454(b) - Pesticide Law; Certified/Registered/Licensed Persons; make a pesticide recommendation or use not in accordance with directions for use on the label</v>
      </c>
      <c r="O2287" s="10" t="str">
        <f t="shared" si="3"/>
        <v>Pesticide Law</v>
      </c>
    </row>
    <row r="2288">
      <c r="A2288" s="7" t="s">
        <v>4056</v>
      </c>
      <c r="B2288" s="8" t="s">
        <v>4028</v>
      </c>
      <c r="C2288" s="8" t="s">
        <v>27</v>
      </c>
      <c r="D2288" s="8" t="s">
        <v>28</v>
      </c>
      <c r="E2288" s="8" t="s">
        <v>19</v>
      </c>
      <c r="F2288" s="8" t="s">
        <v>20</v>
      </c>
      <c r="G2288" s="8" t="s">
        <v>21</v>
      </c>
      <c r="H2288" s="9"/>
      <c r="I2288" s="9"/>
      <c r="J2288" s="10">
        <f t="shared" ref="J2288:M2288" si="1340">ifs(OR($H2288="R",$I2288="N"),"N/A",OR(C2288="A",C2288="B",C2288="C",C2288="U"),3,TRUE,"FLAG")</f>
        <v>3</v>
      </c>
      <c r="K2288" s="10">
        <f t="shared" si="1340"/>
        <v>3</v>
      </c>
      <c r="L2288" s="10">
        <f t="shared" si="1340"/>
        <v>3</v>
      </c>
      <c r="M2288" s="10" t="str">
        <f t="shared" si="1340"/>
        <v>FLAG</v>
      </c>
      <c r="N2288" s="10" t="str">
        <f t="shared" si="2"/>
        <v>2-2454(k) - Pesticide Law; Certified/Registered/Licensed Persons; make any misrepresentation or defraud any member of the public</v>
      </c>
      <c r="O2288" s="10" t="str">
        <f t="shared" si="3"/>
        <v>Pesticide Law</v>
      </c>
    </row>
    <row r="2289">
      <c r="A2289" s="7" t="s">
        <v>4057</v>
      </c>
      <c r="B2289" s="8" t="s">
        <v>4030</v>
      </c>
      <c r="C2289" s="8" t="s">
        <v>27</v>
      </c>
      <c r="D2289" s="8" t="s">
        <v>28</v>
      </c>
      <c r="E2289" s="8" t="s">
        <v>19</v>
      </c>
      <c r="F2289" s="8" t="s">
        <v>20</v>
      </c>
      <c r="G2289" s="8" t="s">
        <v>21</v>
      </c>
      <c r="H2289" s="9"/>
      <c r="I2289" s="9"/>
      <c r="J2289" s="10">
        <f t="shared" ref="J2289:M2289" si="1341">ifs(OR($H2289="R",$I2289="N"),"N/A",OR(C2289="A",C2289="B",C2289="C",C2289="U"),3,TRUE,"FLAG")</f>
        <v>3</v>
      </c>
      <c r="K2289" s="10">
        <f t="shared" si="1341"/>
        <v>3</v>
      </c>
      <c r="L2289" s="10">
        <f t="shared" si="1341"/>
        <v>3</v>
      </c>
      <c r="M2289" s="10" t="str">
        <f t="shared" si="1341"/>
        <v>FLAG</v>
      </c>
      <c r="N2289" s="10" t="str">
        <f t="shared" si="2"/>
        <v>2-2454(f) - Pesticide Law; Certified/Registered/Licensed Persons; make false or fraudulent records, invoices or reports</v>
      </c>
      <c r="O2289" s="10" t="str">
        <f t="shared" si="3"/>
        <v>Pesticide Law</v>
      </c>
    </row>
    <row r="2290">
      <c r="A2290" s="7" t="s">
        <v>4058</v>
      </c>
      <c r="B2290" s="8" t="s">
        <v>4032</v>
      </c>
      <c r="C2290" s="8" t="s">
        <v>27</v>
      </c>
      <c r="D2290" s="8" t="s">
        <v>28</v>
      </c>
      <c r="E2290" s="8" t="s">
        <v>19</v>
      </c>
      <c r="F2290" s="8" t="s">
        <v>20</v>
      </c>
      <c r="G2290" s="8" t="s">
        <v>21</v>
      </c>
      <c r="H2290" s="9"/>
      <c r="I2290" s="9"/>
      <c r="J2290" s="10">
        <f t="shared" ref="J2290:M2290" si="1342">ifs(OR($H2290="R",$I2290="N"),"N/A",OR(C2290="A",C2290="B",C2290="C",C2290="U"),3,TRUE,"FLAG")</f>
        <v>3</v>
      </c>
      <c r="K2290" s="10">
        <f t="shared" si="1342"/>
        <v>3</v>
      </c>
      <c r="L2290" s="10">
        <f t="shared" si="1342"/>
        <v>3</v>
      </c>
      <c r="M2290" s="10" t="str">
        <f t="shared" si="1342"/>
        <v>FLAG</v>
      </c>
      <c r="N2290" s="10" t="str">
        <f t="shared" si="2"/>
        <v>2-2454(l) - Pesticide Law; Certified/Registered/Licensed Persons; permitting unlawful use of a pesticide business license or contract forms by an unlicensed person</v>
      </c>
      <c r="O2290" s="10" t="str">
        <f t="shared" si="3"/>
        <v>Pesticide Law</v>
      </c>
    </row>
    <row r="2291">
      <c r="A2291" s="7" t="s">
        <v>4059</v>
      </c>
      <c r="B2291" s="8" t="s">
        <v>4034</v>
      </c>
      <c r="C2291" s="8" t="s">
        <v>27</v>
      </c>
      <c r="D2291" s="8" t="s">
        <v>28</v>
      </c>
      <c r="E2291" s="8" t="s">
        <v>19</v>
      </c>
      <c r="F2291" s="8" t="s">
        <v>20</v>
      </c>
      <c r="G2291" s="8" t="s">
        <v>21</v>
      </c>
      <c r="H2291" s="9"/>
      <c r="I2291" s="9"/>
      <c r="J2291" s="10">
        <f t="shared" ref="J2291:M2291" si="1343">ifs(OR($H2291="R",$I2291="N"),"N/A",OR(C2291="A",C2291="B",C2291="C",C2291="U"),3,TRUE,"FLAG")</f>
        <v>3</v>
      </c>
      <c r="K2291" s="10">
        <f t="shared" si="1343"/>
        <v>3</v>
      </c>
      <c r="L2291" s="10">
        <f t="shared" si="1343"/>
        <v>3</v>
      </c>
      <c r="M2291" s="10" t="str">
        <f t="shared" si="1343"/>
        <v>FLAG</v>
      </c>
      <c r="N2291" s="10" t="str">
        <f t="shared" si="2"/>
        <v>2-2454(h) - Pesticide Law; Certified/Registered/Licensed Persons; refuse or neglect to comply with any limitations or restrictions on or in a duly issued license, registration, permit or certificate</v>
      </c>
      <c r="O2291" s="10" t="str">
        <f t="shared" si="3"/>
        <v>Pesticide Law</v>
      </c>
    </row>
    <row r="2292">
      <c r="A2292" s="7" t="s">
        <v>4060</v>
      </c>
      <c r="B2292" s="8" t="s">
        <v>4036</v>
      </c>
      <c r="C2292" s="8" t="s">
        <v>27</v>
      </c>
      <c r="D2292" s="8" t="s">
        <v>28</v>
      </c>
      <c r="E2292" s="8" t="s">
        <v>19</v>
      </c>
      <c r="F2292" s="8" t="s">
        <v>20</v>
      </c>
      <c r="G2292" s="8" t="s">
        <v>21</v>
      </c>
      <c r="H2292" s="9"/>
      <c r="I2292" s="9"/>
      <c r="J2292" s="10">
        <f t="shared" ref="J2292:M2292" si="1344">ifs(OR($H2292="R",$I2292="N"),"N/A",OR(C2292="A",C2292="B",C2292="C",C2292="U"),3,TRUE,"FLAG")</f>
        <v>3</v>
      </c>
      <c r="K2292" s="10">
        <f t="shared" si="1344"/>
        <v>3</v>
      </c>
      <c r="L2292" s="10">
        <f t="shared" si="1344"/>
        <v>3</v>
      </c>
      <c r="M2292" s="10" t="str">
        <f t="shared" si="1344"/>
        <v>FLAG</v>
      </c>
      <c r="N2292" s="10" t="str">
        <f t="shared" si="2"/>
        <v>2-2454(e) - Pesticide Law; Certified/Registered/Licensed Persons; refuse or neglect to keep and maintain records as required; refuse or neglect to make records available as required</v>
      </c>
      <c r="O2292" s="10" t="str">
        <f t="shared" si="3"/>
        <v>Pesticide Law</v>
      </c>
    </row>
    <row r="2293">
      <c r="A2293" s="7" t="s">
        <v>4061</v>
      </c>
      <c r="B2293" s="8" t="s">
        <v>4038</v>
      </c>
      <c r="C2293" s="8" t="s">
        <v>27</v>
      </c>
      <c r="D2293" s="8" t="s">
        <v>28</v>
      </c>
      <c r="E2293" s="8" t="s">
        <v>19</v>
      </c>
      <c r="F2293" s="8" t="s">
        <v>20</v>
      </c>
      <c r="G2293" s="8" t="s">
        <v>21</v>
      </c>
      <c r="H2293" s="9"/>
      <c r="I2293" s="9"/>
      <c r="J2293" s="10">
        <f t="shared" ref="J2293:M2293" si="1345">ifs(OR($H2293="R",$I2293="N"),"N/A",OR(C2293="A",C2293="B",C2293="C",C2293="U"),3,TRUE,"FLAG")</f>
        <v>3</v>
      </c>
      <c r="K2293" s="10">
        <f t="shared" si="1345"/>
        <v>3</v>
      </c>
      <c r="L2293" s="10">
        <f t="shared" si="1345"/>
        <v>3</v>
      </c>
      <c r="M2293" s="10" t="str">
        <f t="shared" si="1345"/>
        <v>FLAG</v>
      </c>
      <c r="N2293" s="10" t="str">
        <f t="shared" si="2"/>
        <v>2-2454(m) - Pesticide Law; Certified/Registered/Licensed Persons; use any method or material without regard to public health, safety or welfare</v>
      </c>
      <c r="O2293" s="10" t="str">
        <f t="shared" si="3"/>
        <v>Pesticide Law</v>
      </c>
    </row>
    <row r="2294">
      <c r="A2294" s="7" t="s">
        <v>4062</v>
      </c>
      <c r="B2294" s="8" t="s">
        <v>4040</v>
      </c>
      <c r="C2294" s="8" t="s">
        <v>27</v>
      </c>
      <c r="D2294" s="8" t="s">
        <v>28</v>
      </c>
      <c r="E2294" s="8" t="s">
        <v>19</v>
      </c>
      <c r="F2294" s="8" t="s">
        <v>20</v>
      </c>
      <c r="G2294" s="8" t="s">
        <v>21</v>
      </c>
      <c r="H2294" s="9"/>
      <c r="I2294" s="9"/>
      <c r="J2294" s="10">
        <f t="shared" ref="J2294:M2294" si="1346">ifs(OR($H2294="R",$I2294="N"),"N/A",OR(C2294="A",C2294="B",C2294="C",C2294="U"),3,TRUE,"FLAG")</f>
        <v>3</v>
      </c>
      <c r="K2294" s="10">
        <f t="shared" si="1346"/>
        <v>3</v>
      </c>
      <c r="L2294" s="10">
        <f t="shared" si="1346"/>
        <v>3</v>
      </c>
      <c r="M2294" s="10" t="str">
        <f t="shared" si="1346"/>
        <v>FLAG</v>
      </c>
      <c r="N2294" s="10" t="str">
        <f t="shared" si="2"/>
        <v>2-2454(q) - Pesticide Law; Certified/Registered/Licensed Persons; use any pesticide in a manner inconsistent with limitations imposed by the secretary pursuant to K.S.A. 2-2471</v>
      </c>
      <c r="O2294" s="10" t="str">
        <f t="shared" si="3"/>
        <v>Pesticide Law</v>
      </c>
    </row>
    <row r="2295">
      <c r="A2295" s="7" t="s">
        <v>4063</v>
      </c>
      <c r="B2295" s="8" t="s">
        <v>4042</v>
      </c>
      <c r="C2295" s="8" t="s">
        <v>27</v>
      </c>
      <c r="D2295" s="8" t="s">
        <v>28</v>
      </c>
      <c r="E2295" s="8" t="s">
        <v>19</v>
      </c>
      <c r="F2295" s="8" t="s">
        <v>20</v>
      </c>
      <c r="G2295" s="8" t="s">
        <v>21</v>
      </c>
      <c r="H2295" s="9"/>
      <c r="I2295" s="9"/>
      <c r="J2295" s="10">
        <f t="shared" ref="J2295:M2295" si="1347">ifs(OR($H2295="R",$I2295="N"),"N/A",OR(C2295="A",C2295="B",C2295="C",C2295="U"),3,TRUE,"FLAG")</f>
        <v>3</v>
      </c>
      <c r="K2295" s="10">
        <f t="shared" si="1347"/>
        <v>3</v>
      </c>
      <c r="L2295" s="10">
        <f t="shared" si="1347"/>
        <v>3</v>
      </c>
      <c r="M2295" s="10" t="str">
        <f t="shared" si="1347"/>
        <v>FLAG</v>
      </c>
      <c r="N2295" s="10" t="str">
        <f t="shared" si="2"/>
        <v>2-2454(g) - Pesticide Law; Certified/Registered/Licensed Persons; use fraud or misrepresentation in making an application for or renewal of a license, registration, permit or certificate</v>
      </c>
      <c r="O2295" s="10" t="str">
        <f t="shared" si="3"/>
        <v>Pesticide Law</v>
      </c>
    </row>
    <row r="2296">
      <c r="A2296" s="7" t="s">
        <v>4064</v>
      </c>
      <c r="B2296" s="8" t="s">
        <v>4044</v>
      </c>
      <c r="C2296" s="8" t="s">
        <v>27</v>
      </c>
      <c r="D2296" s="8" t="s">
        <v>28</v>
      </c>
      <c r="E2296" s="8" t="s">
        <v>19</v>
      </c>
      <c r="F2296" s="8" t="s">
        <v>20</v>
      </c>
      <c r="G2296" s="8" t="s">
        <v>21</v>
      </c>
      <c r="H2296" s="9"/>
      <c r="I2296" s="9"/>
      <c r="J2296" s="10">
        <f t="shared" ref="J2296:M2296" si="1348">ifs(OR($H2296="R",$I2296="N"),"N/A",OR(C2296="A",C2296="B",C2296="C",C2296="U"),3,TRUE,"FLAG")</f>
        <v>3</v>
      </c>
      <c r="K2296" s="10">
        <f t="shared" si="1348"/>
        <v>3</v>
      </c>
      <c r="L2296" s="10">
        <f t="shared" si="1348"/>
        <v>3</v>
      </c>
      <c r="M2296" s="10" t="str">
        <f t="shared" si="1348"/>
        <v>FLAG</v>
      </c>
      <c r="N2296" s="10" t="str">
        <f t="shared" si="2"/>
        <v>2-2454(o) - Pesticide Law; Certified/Registered/Licensed Persons; use, store, dispose of any pesticide material, pesticide rinsate or container without regard to public health or environmental damage</v>
      </c>
      <c r="O2296" s="10" t="str">
        <f t="shared" si="3"/>
        <v>Pesticide Law</v>
      </c>
    </row>
    <row r="2297">
      <c r="A2297" s="7" t="s">
        <v>4065</v>
      </c>
      <c r="B2297" s="8" t="s">
        <v>3991</v>
      </c>
      <c r="C2297" s="8" t="s">
        <v>27</v>
      </c>
      <c r="D2297" s="8" t="s">
        <v>28</v>
      </c>
      <c r="E2297" s="8" t="s">
        <v>19</v>
      </c>
      <c r="F2297" s="8" t="s">
        <v>20</v>
      </c>
      <c r="G2297" s="8" t="s">
        <v>21</v>
      </c>
      <c r="H2297" s="9"/>
      <c r="I2297" s="9"/>
      <c r="J2297" s="10">
        <f t="shared" ref="J2297:M2297" si="1349">ifs(OR($H2297="R",$I2297="N"),"N/A",OR(C2297="A",C2297="B",C2297="C",C2297="U"),3,TRUE,"FLAG")</f>
        <v>3</v>
      </c>
      <c r="K2297" s="10">
        <f t="shared" si="1349"/>
        <v>3</v>
      </c>
      <c r="L2297" s="10">
        <f t="shared" si="1349"/>
        <v>3</v>
      </c>
      <c r="M2297" s="10" t="str">
        <f t="shared" si="1349"/>
        <v>FLAG</v>
      </c>
      <c r="N2297" s="10" t="str">
        <f t="shared" si="2"/>
        <v>2-2453(b) - Pesticide Law; Discard/store any pesticide or pesticide container in an unsafe manner</v>
      </c>
      <c r="O2297" s="10" t="str">
        <f t="shared" si="3"/>
        <v>Pesticide Law</v>
      </c>
    </row>
    <row r="2298">
      <c r="A2298" s="7" t="s">
        <v>4066</v>
      </c>
      <c r="B2298" s="8" t="s">
        <v>3993</v>
      </c>
      <c r="C2298" s="8" t="s">
        <v>27</v>
      </c>
      <c r="D2298" s="8" t="s">
        <v>28</v>
      </c>
      <c r="E2298" s="8" t="s">
        <v>19</v>
      </c>
      <c r="F2298" s="8" t="s">
        <v>20</v>
      </c>
      <c r="G2298" s="8" t="s">
        <v>21</v>
      </c>
      <c r="H2298" s="9"/>
      <c r="I2298" s="9"/>
      <c r="J2298" s="10">
        <f t="shared" ref="J2298:M2298" si="1350">ifs(OR($H2298="R",$I2298="N"),"N/A",OR(C2298="A",C2298="B",C2298="C",C2298="U"),3,TRUE,"FLAG")</f>
        <v>3</v>
      </c>
      <c r="K2298" s="10">
        <f t="shared" si="1350"/>
        <v>3</v>
      </c>
      <c r="L2298" s="10">
        <f t="shared" si="1350"/>
        <v>3</v>
      </c>
      <c r="M2298" s="10" t="str">
        <f t="shared" si="1350"/>
        <v>FLAG</v>
      </c>
      <c r="N2298" s="10" t="str">
        <f t="shared" si="2"/>
        <v>2-2453(c) - Pesticide Law; Penalty for failure to comply with provisions of this act, rules or regulations</v>
      </c>
      <c r="O2298" s="10" t="str">
        <f t="shared" si="3"/>
        <v>Pesticide Law</v>
      </c>
    </row>
    <row r="2299">
      <c r="A2299" s="7" t="s">
        <v>4067</v>
      </c>
      <c r="B2299" s="8" t="s">
        <v>3995</v>
      </c>
      <c r="C2299" s="8" t="s">
        <v>27</v>
      </c>
      <c r="D2299" s="8" t="s">
        <v>28</v>
      </c>
      <c r="E2299" s="8" t="s">
        <v>19</v>
      </c>
      <c r="F2299" s="8" t="s">
        <v>20</v>
      </c>
      <c r="G2299" s="8" t="s">
        <v>21</v>
      </c>
      <c r="H2299" s="9"/>
      <c r="I2299" s="9"/>
      <c r="J2299" s="10">
        <f t="shared" ref="J2299:M2299" si="1351">ifs(OR($H2299="R",$I2299="N"),"N/A",OR(C2299="A",C2299="B",C2299="C",C2299="U"),3,TRUE,"FLAG")</f>
        <v>3</v>
      </c>
      <c r="K2299" s="10">
        <f t="shared" si="1351"/>
        <v>3</v>
      </c>
      <c r="L2299" s="10">
        <f t="shared" si="1351"/>
        <v>3</v>
      </c>
      <c r="M2299" s="10" t="str">
        <f t="shared" si="1351"/>
        <v>FLAG</v>
      </c>
      <c r="N2299" s="10" t="str">
        <f t="shared" si="2"/>
        <v>2-2440b(a) - Pesticide Law; Pesticide business licensee applying pesticides without being certified as a commercial applicator or a registered pest control technician, or in presence of one so certified or registered</v>
      </c>
      <c r="O2299" s="10" t="str">
        <f t="shared" si="3"/>
        <v>Pesticide Law</v>
      </c>
    </row>
    <row r="2300">
      <c r="A2300" s="7" t="s">
        <v>4068</v>
      </c>
      <c r="B2300" s="8" t="s">
        <v>4069</v>
      </c>
      <c r="C2300" s="8" t="s">
        <v>18</v>
      </c>
      <c r="D2300" s="8" t="s">
        <v>18</v>
      </c>
      <c r="E2300" s="8" t="s">
        <v>19</v>
      </c>
      <c r="F2300" s="8" t="s">
        <v>20</v>
      </c>
      <c r="G2300" s="8" t="s">
        <v>21</v>
      </c>
      <c r="H2300" s="9"/>
      <c r="I2300" s="9"/>
      <c r="J2300" s="10">
        <f t="shared" ref="J2300:M2300" si="1352">ifs(OR($H2300="R",$I2300="N"),"N/A",OR(C2300="A",C2300="B",C2300="C",C2300="U"),3,TRUE,"FLAG")</f>
        <v>3</v>
      </c>
      <c r="K2300" s="10">
        <f t="shared" si="1352"/>
        <v>3</v>
      </c>
      <c r="L2300" s="10">
        <f t="shared" si="1352"/>
        <v>3</v>
      </c>
      <c r="M2300" s="10" t="str">
        <f t="shared" si="1352"/>
        <v>FLAG</v>
      </c>
      <c r="N2300" s="10" t="str">
        <f t="shared" si="2"/>
        <v>2-2448(a)(1) - Pesticide Law; Surety bond; Certified Private Applicator; unlawful use of "bond" or "bonded" in advertising</v>
      </c>
      <c r="O2300" s="10" t="str">
        <f t="shared" si="3"/>
        <v>Pesticide Law</v>
      </c>
    </row>
    <row r="2301">
      <c r="A2301" s="7" t="s">
        <v>4070</v>
      </c>
      <c r="B2301" s="8" t="s">
        <v>4069</v>
      </c>
      <c r="C2301" s="8" t="s">
        <v>27</v>
      </c>
      <c r="D2301" s="8" t="s">
        <v>28</v>
      </c>
      <c r="E2301" s="8" t="s">
        <v>19</v>
      </c>
      <c r="F2301" s="8" t="s">
        <v>20</v>
      </c>
      <c r="G2301" s="8" t="s">
        <v>21</v>
      </c>
      <c r="H2301" s="9"/>
      <c r="I2301" s="9"/>
      <c r="J2301" s="10">
        <f t="shared" ref="J2301:M2301" si="1353">ifs(OR($H2301="R",$I2301="N"),"N/A",OR(C2301="A",C2301="B",C2301="C",C2301="U"),3,TRUE,"FLAG")</f>
        <v>3</v>
      </c>
      <c r="K2301" s="10">
        <f t="shared" si="1353"/>
        <v>3</v>
      </c>
      <c r="L2301" s="10">
        <f t="shared" si="1353"/>
        <v>3</v>
      </c>
      <c r="M2301" s="10" t="str">
        <f t="shared" si="1353"/>
        <v>FLAG</v>
      </c>
      <c r="N2301" s="10" t="str">
        <f t="shared" si="2"/>
        <v>2-2448(a)(1) - Pesticide Law; Surety bond; unlawful use of "bond" or "bonded" in advertising</v>
      </c>
      <c r="O2301" s="10" t="str">
        <f t="shared" si="3"/>
        <v>Pesticide Law</v>
      </c>
    </row>
    <row r="2302">
      <c r="A2302" s="7" t="s">
        <v>4071</v>
      </c>
      <c r="B2302" s="8" t="s">
        <v>3997</v>
      </c>
      <c r="C2302" s="8" t="s">
        <v>27</v>
      </c>
      <c r="D2302" s="8" t="s">
        <v>28</v>
      </c>
      <c r="E2302" s="8" t="s">
        <v>19</v>
      </c>
      <c r="F2302" s="8" t="s">
        <v>20</v>
      </c>
      <c r="G2302" s="8" t="s">
        <v>21</v>
      </c>
      <c r="H2302" s="9"/>
      <c r="I2302" s="9"/>
      <c r="J2302" s="10">
        <f t="shared" ref="J2302:M2302" si="1354">ifs(OR($H2302="R",$I2302="N"),"N/A",OR(C2302="A",C2302="B",C2302="C",C2302="U"),3,TRUE,"FLAG")</f>
        <v>3</v>
      </c>
      <c r="K2302" s="10">
        <f t="shared" si="1354"/>
        <v>3</v>
      </c>
      <c r="L2302" s="10">
        <f t="shared" si="1354"/>
        <v>3</v>
      </c>
      <c r="M2302" s="10" t="str">
        <f t="shared" si="1354"/>
        <v>FLAG</v>
      </c>
      <c r="N2302" s="10" t="str">
        <f t="shared" si="2"/>
        <v>2-2440(a)(1) - Pesticide Law; Unlicensed advertising, offering for sale, selling or performing any service for the control of a pest on another's property or applying a pesticide to another's property</v>
      </c>
      <c r="O2302" s="10" t="str">
        <f t="shared" si="3"/>
        <v>Pesticide Law</v>
      </c>
    </row>
    <row r="2303">
      <c r="A2303" s="7" t="s">
        <v>4072</v>
      </c>
      <c r="B2303" s="8" t="s">
        <v>3999</v>
      </c>
      <c r="C2303" s="8" t="s">
        <v>27</v>
      </c>
      <c r="D2303" s="8" t="s">
        <v>28</v>
      </c>
      <c r="E2303" s="8" t="s">
        <v>19</v>
      </c>
      <c r="F2303" s="8" t="s">
        <v>20</v>
      </c>
      <c r="G2303" s="8" t="s">
        <v>21</v>
      </c>
      <c r="H2303" s="9"/>
      <c r="I2303" s="9"/>
      <c r="J2303" s="10">
        <f t="shared" ref="J2303:M2303" si="1355">ifs(OR($H2303="R",$I2303="N"),"N/A",OR(C2303="A",C2303="B",C2303="C",C2303="U"),3,TRUE,"FLAG")</f>
        <v>3</v>
      </c>
      <c r="K2303" s="10">
        <f t="shared" si="1355"/>
        <v>3</v>
      </c>
      <c r="L2303" s="10">
        <f t="shared" si="1355"/>
        <v>3</v>
      </c>
      <c r="M2303" s="10" t="str">
        <f t="shared" si="1355"/>
        <v>FLAG</v>
      </c>
      <c r="N2303" s="10" t="str">
        <f t="shared" si="2"/>
        <v>2-2440(a)(2) - Pesticide Law; Unlicensed performance of any service for the control of a pest or application of any pesticide on or at the premises of another person under any commission, division of receipts or subcontracting arrangement with a licensed pesticide business</v>
      </c>
      <c r="O2303" s="10" t="str">
        <f t="shared" si="3"/>
        <v>Pesticide Law</v>
      </c>
    </row>
    <row r="2304">
      <c r="A2304" s="7" t="s">
        <v>4073</v>
      </c>
      <c r="B2304" s="8" t="s">
        <v>4001</v>
      </c>
      <c r="C2304" s="8" t="s">
        <v>27</v>
      </c>
      <c r="D2304" s="8" t="s">
        <v>28</v>
      </c>
      <c r="E2304" s="8" t="s">
        <v>19</v>
      </c>
      <c r="F2304" s="8" t="s">
        <v>20</v>
      </c>
      <c r="G2304" s="8" t="s">
        <v>21</v>
      </c>
      <c r="H2304" s="9"/>
      <c r="I2304" s="9"/>
      <c r="J2304" s="10">
        <f t="shared" ref="J2304:M2304" si="1356">ifs(OR($H2304="R",$I2304="N"),"N/A",OR(C2304="A",C2304="B",C2304="C",C2304="U"),3,TRUE,"FLAG")</f>
        <v>3</v>
      </c>
      <c r="K2304" s="10">
        <f t="shared" si="1356"/>
        <v>3</v>
      </c>
      <c r="L2304" s="10">
        <f t="shared" si="1356"/>
        <v>3</v>
      </c>
      <c r="M2304" s="10" t="str">
        <f t="shared" si="1356"/>
        <v>FLAG</v>
      </c>
      <c r="N2304" s="10" t="str">
        <f t="shared" si="2"/>
        <v>2-2453(a) - Pesticide Law; Use of pesticides in a manner inconsistent with the label or labeling</v>
      </c>
      <c r="O2304" s="10" t="str">
        <f t="shared" si="3"/>
        <v>Pesticide Law</v>
      </c>
    </row>
    <row r="2305">
      <c r="A2305" s="7" t="s">
        <v>4074</v>
      </c>
      <c r="B2305" s="8" t="s">
        <v>4075</v>
      </c>
      <c r="C2305" s="8" t="s">
        <v>27</v>
      </c>
      <c r="D2305" s="8" t="s">
        <v>28</v>
      </c>
      <c r="E2305" s="8" t="s">
        <v>19</v>
      </c>
      <c r="F2305" s="8" t="s">
        <v>20</v>
      </c>
      <c r="G2305" s="8" t="s">
        <v>21</v>
      </c>
      <c r="H2305" s="9"/>
      <c r="I2305" s="9"/>
      <c r="J2305" s="10">
        <f t="shared" ref="J2305:M2305" si="1357">ifs(OR($H2305="R",$I2305="N"),"N/A",OR(C2305="A",C2305="B",C2305="C",C2305="U"),3,TRUE,"FLAG")</f>
        <v>3</v>
      </c>
      <c r="K2305" s="10">
        <f t="shared" si="1357"/>
        <v>3</v>
      </c>
      <c r="L2305" s="10">
        <f t="shared" si="1357"/>
        <v>3</v>
      </c>
      <c r="M2305" s="10" t="str">
        <f t="shared" si="1357"/>
        <v>FLAG</v>
      </c>
      <c r="N2305" s="10" t="str">
        <f t="shared" si="2"/>
        <v>47-1715(a) - Pet Animal Act, Violation or failure to comply with any provision of the act or any rule and regulation</v>
      </c>
      <c r="O2305" s="10" t="str">
        <f t="shared" si="3"/>
        <v>Pet Animal Act, Violation or failure to comply with any provision of the act or any rule and regulation</v>
      </c>
    </row>
    <row r="2306">
      <c r="A2306" s="7" t="s">
        <v>4076</v>
      </c>
      <c r="B2306" s="8" t="s">
        <v>4077</v>
      </c>
      <c r="C2306" s="8" t="s">
        <v>27</v>
      </c>
      <c r="D2306" s="8" t="s">
        <v>28</v>
      </c>
      <c r="E2306" s="8" t="s">
        <v>19</v>
      </c>
      <c r="F2306" s="8" t="s">
        <v>20</v>
      </c>
      <c r="G2306" s="8" t="s">
        <v>21</v>
      </c>
      <c r="H2306" s="9"/>
      <c r="I2306" s="9"/>
      <c r="J2306" s="10">
        <f t="shared" ref="J2306:M2306" si="1358">ifs(OR($H2306="R",$I2306="N"),"N/A",OR(C2306="A",C2306="B",C2306="C",C2306="U"),3,TRUE,"FLAG")</f>
        <v>3</v>
      </c>
      <c r="K2306" s="10">
        <f t="shared" si="1358"/>
        <v>3</v>
      </c>
      <c r="L2306" s="10">
        <f t="shared" si="1358"/>
        <v>3</v>
      </c>
      <c r="M2306" s="10" t="str">
        <f t="shared" si="1358"/>
        <v>FLAG</v>
      </c>
      <c r="N2306" s="10" t="str">
        <f t="shared" si="2"/>
        <v>47-1733(a) - Pet Animal Act; Animal breeder license required</v>
      </c>
      <c r="O2306" s="10" t="str">
        <f t="shared" si="3"/>
        <v>Pet Animal Act</v>
      </c>
    </row>
    <row r="2307">
      <c r="A2307" s="7" t="s">
        <v>4078</v>
      </c>
      <c r="B2307" s="8" t="s">
        <v>4079</v>
      </c>
      <c r="C2307" s="8" t="s">
        <v>27</v>
      </c>
      <c r="D2307" s="8" t="s">
        <v>28</v>
      </c>
      <c r="E2307" s="8" t="s">
        <v>19</v>
      </c>
      <c r="F2307" s="8" t="s">
        <v>20</v>
      </c>
      <c r="G2307" s="8" t="s">
        <v>21</v>
      </c>
      <c r="H2307" s="9"/>
      <c r="I2307" s="9"/>
      <c r="J2307" s="10">
        <f t="shared" ref="J2307:M2307" si="1359">ifs(OR($H2307="R",$I2307="N"),"N/A",OR(C2307="A",C2307="B",C2307="C",C2307="U"),3,TRUE,"FLAG")</f>
        <v>3</v>
      </c>
      <c r="K2307" s="10">
        <f t="shared" si="1359"/>
        <v>3</v>
      </c>
      <c r="L2307" s="10">
        <f t="shared" si="1359"/>
        <v>3</v>
      </c>
      <c r="M2307" s="10" t="str">
        <f t="shared" si="1359"/>
        <v>FLAG</v>
      </c>
      <c r="N2307" s="10" t="str">
        <f t="shared" si="2"/>
        <v>47-1702 - Pet Animal Act; Animal distributor license required</v>
      </c>
      <c r="O2307" s="10" t="str">
        <f t="shared" si="3"/>
        <v>Pet Animal Act</v>
      </c>
    </row>
    <row r="2308">
      <c r="A2308" s="7" t="s">
        <v>4080</v>
      </c>
      <c r="B2308" s="8" t="s">
        <v>4081</v>
      </c>
      <c r="C2308" s="8" t="s">
        <v>27</v>
      </c>
      <c r="D2308" s="8" t="s">
        <v>28</v>
      </c>
      <c r="E2308" s="8" t="s">
        <v>19</v>
      </c>
      <c r="F2308" s="8" t="s">
        <v>20</v>
      </c>
      <c r="G2308" s="8" t="s">
        <v>21</v>
      </c>
      <c r="H2308" s="9"/>
      <c r="I2308" s="9"/>
      <c r="J2308" s="10">
        <f t="shared" ref="J2308:M2308" si="1360">ifs(OR($H2308="R",$I2308="N"),"N/A",OR(C2308="A",C2308="B",C2308="C",C2308="U"),3,TRUE,"FLAG")</f>
        <v>3</v>
      </c>
      <c r="K2308" s="10">
        <f t="shared" si="1360"/>
        <v>3</v>
      </c>
      <c r="L2308" s="10">
        <f t="shared" si="1360"/>
        <v>3</v>
      </c>
      <c r="M2308" s="10" t="str">
        <f t="shared" si="1360"/>
        <v>FLAG</v>
      </c>
      <c r="N2308" s="10" t="str">
        <f t="shared" si="2"/>
        <v>47-1719(a) - Pet Animal Act; Hobby breeder license required</v>
      </c>
      <c r="O2308" s="10" t="str">
        <f t="shared" si="3"/>
        <v>Pet Animal Act</v>
      </c>
    </row>
    <row r="2309">
      <c r="A2309" s="7" t="s">
        <v>4082</v>
      </c>
      <c r="B2309" s="8" t="s">
        <v>4083</v>
      </c>
      <c r="C2309" s="8" t="s">
        <v>27</v>
      </c>
      <c r="D2309" s="8" t="s">
        <v>28</v>
      </c>
      <c r="E2309" s="8" t="s">
        <v>19</v>
      </c>
      <c r="F2309" s="8" t="s">
        <v>20</v>
      </c>
      <c r="G2309" s="8" t="s">
        <v>21</v>
      </c>
      <c r="H2309" s="9"/>
      <c r="I2309" s="9"/>
      <c r="J2309" s="10">
        <f t="shared" ref="J2309:M2309" si="1361">ifs(OR($H2309="R",$I2309="N"),"N/A",OR(C2309="A",C2309="B",C2309="C",C2309="U"),3,TRUE,"FLAG")</f>
        <v>3</v>
      </c>
      <c r="K2309" s="10">
        <f t="shared" si="1361"/>
        <v>3</v>
      </c>
      <c r="L2309" s="10">
        <f t="shared" si="1361"/>
        <v>3</v>
      </c>
      <c r="M2309" s="10" t="str">
        <f t="shared" si="1361"/>
        <v>FLAG</v>
      </c>
      <c r="N2309" s="10" t="str">
        <f t="shared" si="2"/>
        <v>47-1735(a) - Pet Animal Act; Interfere with a representative of the animal health department</v>
      </c>
      <c r="O2309" s="10" t="str">
        <f t="shared" si="3"/>
        <v>Pet Animal Act</v>
      </c>
    </row>
    <row r="2310">
      <c r="A2310" s="7" t="s">
        <v>4084</v>
      </c>
      <c r="B2310" s="8" t="s">
        <v>4085</v>
      </c>
      <c r="C2310" s="8" t="s">
        <v>27</v>
      </c>
      <c r="D2310" s="8" t="s">
        <v>28</v>
      </c>
      <c r="E2310" s="8" t="s">
        <v>19</v>
      </c>
      <c r="F2310" s="8" t="s">
        <v>20</v>
      </c>
      <c r="G2310" s="8" t="s">
        <v>21</v>
      </c>
      <c r="H2310" s="9"/>
      <c r="I2310" s="9"/>
      <c r="J2310" s="10">
        <f t="shared" ref="J2310:M2310" si="1362">ifs(OR($H2310="R",$I2310="N"),"N/A",OR(C2310="A",C2310="B",C2310="C",C2310="U"),3,TRUE,"FLAG")</f>
        <v>3</v>
      </c>
      <c r="K2310" s="10">
        <f t="shared" si="1362"/>
        <v>3</v>
      </c>
      <c r="L2310" s="10">
        <f t="shared" si="1362"/>
        <v>3</v>
      </c>
      <c r="M2310" s="10" t="str">
        <f t="shared" si="1362"/>
        <v>FLAG</v>
      </c>
      <c r="N2310" s="10" t="str">
        <f t="shared" si="2"/>
        <v>47-1723(a) - Pet Animal Act; Kennel operator license required</v>
      </c>
      <c r="O2310" s="10" t="str">
        <f t="shared" si="3"/>
        <v>Pet Animal Act</v>
      </c>
    </row>
    <row r="2311">
      <c r="A2311" s="7" t="s">
        <v>4086</v>
      </c>
      <c r="B2311" s="8" t="s">
        <v>4087</v>
      </c>
      <c r="C2311" s="8" t="s">
        <v>27</v>
      </c>
      <c r="D2311" s="8" t="s">
        <v>28</v>
      </c>
      <c r="E2311" s="8" t="s">
        <v>19</v>
      </c>
      <c r="F2311" s="8" t="s">
        <v>20</v>
      </c>
      <c r="G2311" s="8" t="s">
        <v>21</v>
      </c>
      <c r="H2311" s="9"/>
      <c r="I2311" s="9"/>
      <c r="J2311" s="10">
        <f t="shared" ref="J2311:M2311" si="1363">ifs(OR($H2311="R",$I2311="N"),"N/A",OR(C2311="A",C2311="B",C2311="C",C2311="U"),3,TRUE,"FLAG")</f>
        <v>3</v>
      </c>
      <c r="K2311" s="10">
        <f t="shared" si="1363"/>
        <v>3</v>
      </c>
      <c r="L2311" s="10">
        <f t="shared" si="1363"/>
        <v>3</v>
      </c>
      <c r="M2311" s="10" t="str">
        <f t="shared" si="1363"/>
        <v>FLAG</v>
      </c>
      <c r="N2311" s="10" t="str">
        <f t="shared" si="2"/>
        <v>47-1709(g) - Pet Animal Act; Knowingly falsify results or findings of any inspection or investigation; intentionally fail or refuse to make an inspection/ conduct an investigation pursuant to this section</v>
      </c>
      <c r="O2311" s="10" t="str">
        <f t="shared" si="3"/>
        <v>Pet Animal Act</v>
      </c>
    </row>
    <row r="2312">
      <c r="A2312" s="7" t="s">
        <v>4088</v>
      </c>
      <c r="B2312" s="8" t="s">
        <v>4089</v>
      </c>
      <c r="C2312" s="8" t="s">
        <v>27</v>
      </c>
      <c r="D2312" s="8" t="s">
        <v>28</v>
      </c>
      <c r="E2312" s="8" t="s">
        <v>19</v>
      </c>
      <c r="F2312" s="8" t="s">
        <v>20</v>
      </c>
      <c r="G2312" s="8" t="s">
        <v>21</v>
      </c>
      <c r="H2312" s="9"/>
      <c r="I2312" s="9"/>
      <c r="J2312" s="10">
        <f t="shared" ref="J2312:M2312" si="1364">ifs(OR($H2312="R",$I2312="N"),"N/A",OR(C2312="A",C2312="B",C2312="C",C2312="U"),3,TRUE,"FLAG")</f>
        <v>3</v>
      </c>
      <c r="K2312" s="10">
        <f t="shared" si="1364"/>
        <v>3</v>
      </c>
      <c r="L2312" s="10">
        <f t="shared" si="1364"/>
        <v>3</v>
      </c>
      <c r="M2312" s="10" t="str">
        <f t="shared" si="1364"/>
        <v>FLAG</v>
      </c>
      <c r="N2312" s="10" t="str">
        <f t="shared" si="2"/>
        <v>47-1724(a) - Pet Animal Act; Knowingly purchase a dog or a cat for the purpose of resale from a person required to be licensed or permitted if that person is not so licensed or permitted</v>
      </c>
      <c r="O2312" s="10" t="str">
        <f t="shared" si="3"/>
        <v>Pet Animal Act</v>
      </c>
    </row>
    <row r="2313">
      <c r="A2313" s="7" t="s">
        <v>4090</v>
      </c>
      <c r="B2313" s="8" t="s">
        <v>4091</v>
      </c>
      <c r="C2313" s="8" t="s">
        <v>27</v>
      </c>
      <c r="D2313" s="8" t="s">
        <v>28</v>
      </c>
      <c r="E2313" s="8" t="s">
        <v>19</v>
      </c>
      <c r="F2313" s="8" t="s">
        <v>20</v>
      </c>
      <c r="G2313" s="8" t="s">
        <v>21</v>
      </c>
      <c r="H2313" s="9"/>
      <c r="I2313" s="9"/>
      <c r="J2313" s="10">
        <f t="shared" ref="J2313:M2313" si="1365">ifs(OR($H2313="R",$I2313="N"),"N/A",OR(C2313="A",C2313="B",C2313="C",C2313="U"),3,TRUE,"FLAG")</f>
        <v>3</v>
      </c>
      <c r="K2313" s="10">
        <f t="shared" si="1365"/>
        <v>3</v>
      </c>
      <c r="L2313" s="10">
        <f t="shared" si="1365"/>
        <v>3</v>
      </c>
      <c r="M2313" s="10" t="str">
        <f t="shared" si="1365"/>
        <v>FLAG</v>
      </c>
      <c r="N2313" s="10" t="str">
        <f t="shared" si="2"/>
        <v>47-1724(b) - Pet Animal Act; Licensees; knowingly sell to out-of-state distributors, animal distributors or pet shops who are not permitted or licensed in accordance with the Kansas Pet Animal Act</v>
      </c>
      <c r="O2313" s="10" t="str">
        <f t="shared" si="3"/>
        <v>Pet Animal Act</v>
      </c>
    </row>
    <row r="2314">
      <c r="A2314" s="7" t="s">
        <v>4092</v>
      </c>
      <c r="B2314" s="8" t="s">
        <v>4093</v>
      </c>
      <c r="C2314" s="8" t="s">
        <v>27</v>
      </c>
      <c r="D2314" s="8" t="s">
        <v>28</v>
      </c>
      <c r="E2314" s="8" t="s">
        <v>19</v>
      </c>
      <c r="F2314" s="8" t="s">
        <v>20</v>
      </c>
      <c r="G2314" s="8" t="s">
        <v>21</v>
      </c>
      <c r="H2314" s="9"/>
      <c r="I2314" s="9"/>
      <c r="J2314" s="10">
        <f t="shared" ref="J2314:M2314" si="1366">ifs(OR($H2314="R",$I2314="N"),"N/A",OR(C2314="A",C2314="B",C2314="C",C2314="U"),3,TRUE,"FLAG")</f>
        <v>3</v>
      </c>
      <c r="K2314" s="10">
        <f t="shared" si="1366"/>
        <v>3</v>
      </c>
      <c r="L2314" s="10">
        <f t="shared" si="1366"/>
        <v>3</v>
      </c>
      <c r="M2314" s="10" t="str">
        <f t="shared" si="1366"/>
        <v>FLAG</v>
      </c>
      <c r="N2314" s="10" t="str">
        <f t="shared" si="2"/>
        <v>47-1734(a) - Pet Animal Act; Out-of-state distributor permit required</v>
      </c>
      <c r="O2314" s="10" t="str">
        <f t="shared" si="3"/>
        <v>Pet Animal Act</v>
      </c>
    </row>
    <row r="2315">
      <c r="A2315" s="7" t="s">
        <v>4094</v>
      </c>
      <c r="B2315" s="8" t="s">
        <v>4095</v>
      </c>
      <c r="C2315" s="8" t="s">
        <v>27</v>
      </c>
      <c r="D2315" s="8" t="s">
        <v>28</v>
      </c>
      <c r="E2315" s="8" t="s">
        <v>19</v>
      </c>
      <c r="F2315" s="8" t="s">
        <v>20</v>
      </c>
      <c r="G2315" s="8" t="s">
        <v>21</v>
      </c>
      <c r="H2315" s="9"/>
      <c r="I2315" s="9"/>
      <c r="J2315" s="10">
        <f t="shared" ref="J2315:M2315" si="1367">ifs(OR($H2315="R",$I2315="N"),"N/A",OR(C2315="A",C2315="B",C2315="C",C2315="U"),3,TRUE,"FLAG")</f>
        <v>3</v>
      </c>
      <c r="K2315" s="10">
        <f t="shared" si="1367"/>
        <v>3</v>
      </c>
      <c r="L2315" s="10">
        <f t="shared" si="1367"/>
        <v>3</v>
      </c>
      <c r="M2315" s="10" t="str">
        <f t="shared" si="1367"/>
        <v>FLAG</v>
      </c>
      <c r="N2315" s="10" t="str">
        <f t="shared" si="2"/>
        <v>47-1703 - Pet Animal Act; Pet shop operator license required</v>
      </c>
      <c r="O2315" s="10" t="str">
        <f t="shared" si="3"/>
        <v>Pet Animal Act</v>
      </c>
    </row>
    <row r="2316">
      <c r="A2316" s="7" t="s">
        <v>4096</v>
      </c>
      <c r="B2316" s="8" t="s">
        <v>4097</v>
      </c>
      <c r="C2316" s="8" t="s">
        <v>27</v>
      </c>
      <c r="D2316" s="8" t="s">
        <v>28</v>
      </c>
      <c r="E2316" s="8" t="s">
        <v>19</v>
      </c>
      <c r="F2316" s="8" t="s">
        <v>20</v>
      </c>
      <c r="G2316" s="8" t="s">
        <v>21</v>
      </c>
      <c r="H2316" s="9"/>
      <c r="I2316" s="9"/>
      <c r="J2316" s="10">
        <f t="shared" ref="J2316:M2316" si="1368">ifs(OR($H2316="R",$I2316="N"),"N/A",OR(C2316="A",C2316="B",C2316="C",C2316="U"),3,TRUE,"FLAG")</f>
        <v>3</v>
      </c>
      <c r="K2316" s="10">
        <f t="shared" si="1368"/>
        <v>3</v>
      </c>
      <c r="L2316" s="10">
        <f t="shared" si="1368"/>
        <v>3</v>
      </c>
      <c r="M2316" s="10" t="str">
        <f t="shared" si="1368"/>
        <v>FLAG</v>
      </c>
      <c r="N2316" s="10" t="str">
        <f t="shared" si="2"/>
        <v>47-1704 - Pet Animal Act; Pound or animal shelter license</v>
      </c>
      <c r="O2316" s="10" t="str">
        <f t="shared" si="3"/>
        <v>Pet Animal Act</v>
      </c>
    </row>
    <row r="2317">
      <c r="A2317" s="7" t="s">
        <v>4098</v>
      </c>
      <c r="B2317" s="8" t="s">
        <v>4099</v>
      </c>
      <c r="C2317" s="8" t="s">
        <v>27</v>
      </c>
      <c r="D2317" s="8" t="s">
        <v>28</v>
      </c>
      <c r="E2317" s="8" t="s">
        <v>19</v>
      </c>
      <c r="F2317" s="8" t="s">
        <v>20</v>
      </c>
      <c r="G2317" s="8" t="s">
        <v>21</v>
      </c>
      <c r="H2317" s="9"/>
      <c r="I2317" s="9"/>
      <c r="J2317" s="10">
        <f t="shared" ref="J2317:M2317" si="1369">ifs(OR($H2317="R",$I2317="N"),"N/A",OR(C2317="A",C2317="B",C2317="C",C2317="U"),3,TRUE,"FLAG")</f>
        <v>3</v>
      </c>
      <c r="K2317" s="10">
        <f t="shared" si="1369"/>
        <v>3</v>
      </c>
      <c r="L2317" s="10">
        <f t="shared" si="1369"/>
        <v>3</v>
      </c>
      <c r="M2317" s="10" t="str">
        <f t="shared" si="1369"/>
        <v>FLAG</v>
      </c>
      <c r="N2317" s="10" t="str">
        <f t="shared" si="2"/>
        <v>47-1720(a) - Pet Animal Act; Research facility license required</v>
      </c>
      <c r="O2317" s="10" t="str">
        <f t="shared" si="3"/>
        <v>Pet Animal Act</v>
      </c>
    </row>
    <row r="2318">
      <c r="A2318" s="7" t="s">
        <v>4100</v>
      </c>
      <c r="B2318" s="8" t="s">
        <v>4101</v>
      </c>
      <c r="C2318" s="8" t="s">
        <v>27</v>
      </c>
      <c r="D2318" s="8" t="s">
        <v>28</v>
      </c>
      <c r="E2318" s="8" t="s">
        <v>19</v>
      </c>
      <c r="F2318" s="8" t="s">
        <v>20</v>
      </c>
      <c r="G2318" s="8" t="s">
        <v>21</v>
      </c>
      <c r="H2318" s="9"/>
      <c r="I2318" s="9"/>
      <c r="J2318" s="10">
        <f t="shared" ref="J2318:M2318" si="1370">ifs(OR($H2318="R",$I2318="N"),"N/A",OR(C2318="A",C2318="B",C2318="C",C2318="U"),3,TRUE,"FLAG")</f>
        <v>3</v>
      </c>
      <c r="K2318" s="10">
        <f t="shared" si="1370"/>
        <v>3</v>
      </c>
      <c r="L2318" s="10">
        <f t="shared" si="1370"/>
        <v>3</v>
      </c>
      <c r="M2318" s="10" t="str">
        <f t="shared" si="1370"/>
        <v>FLAG</v>
      </c>
      <c r="N2318" s="10" t="str">
        <f t="shared" si="2"/>
        <v>47-1736(a) - Pet Animal Act; Retail breeder license required</v>
      </c>
      <c r="O2318" s="10" t="str">
        <f t="shared" si="3"/>
        <v>Pet Animal Act</v>
      </c>
    </row>
    <row r="2319">
      <c r="A2319" s="7" t="s">
        <v>4102</v>
      </c>
      <c r="B2319" s="8" t="s">
        <v>4103</v>
      </c>
      <c r="C2319" s="8" t="s">
        <v>18</v>
      </c>
      <c r="D2319" s="8" t="s">
        <v>18</v>
      </c>
      <c r="E2319" s="8" t="s">
        <v>19</v>
      </c>
      <c r="F2319" s="8" t="s">
        <v>20</v>
      </c>
      <c r="G2319" s="8" t="s">
        <v>21</v>
      </c>
      <c r="H2319" s="9"/>
      <c r="I2319" s="9"/>
      <c r="J2319" s="10">
        <f t="shared" ref="J2319:M2319" si="1371">ifs(OR($H2319="R",$I2319="N"),"N/A",OR(C2319="A",C2319="B",C2319="C",C2319="U"),3,TRUE,"FLAG")</f>
        <v>3</v>
      </c>
      <c r="K2319" s="10">
        <f t="shared" si="1371"/>
        <v>3</v>
      </c>
      <c r="L2319" s="10">
        <f t="shared" si="1371"/>
        <v>3</v>
      </c>
      <c r="M2319" s="10" t="str">
        <f t="shared" si="1371"/>
        <v>FLAG</v>
      </c>
      <c r="N2319" s="10" t="str">
        <f t="shared" si="2"/>
        <v>65-1643(i) - Pharmacy Act; Be a pharmacy student without first obtaining a registration to do so from the board and paying the registration fee</v>
      </c>
      <c r="O2319" s="10" t="str">
        <f t="shared" si="3"/>
        <v>Pharmacy Act</v>
      </c>
    </row>
    <row r="2320">
      <c r="A2320" s="7" t="s">
        <v>4104</v>
      </c>
      <c r="B2320" s="8" t="s">
        <v>4105</v>
      </c>
      <c r="C2320" s="8" t="s">
        <v>18</v>
      </c>
      <c r="D2320" s="8" t="s">
        <v>18</v>
      </c>
      <c r="E2320" s="8" t="s">
        <v>19</v>
      </c>
      <c r="F2320" s="8" t="s">
        <v>20</v>
      </c>
      <c r="G2320" s="8" t="s">
        <v>21</v>
      </c>
      <c r="H2320" s="9"/>
      <c r="I2320" s="9"/>
      <c r="J2320" s="10">
        <f t="shared" ref="J2320:M2320" si="1372">ifs(OR($H2320="R",$I2320="N"),"N/A",OR(C2320="A",C2320="B",C2320="C",C2320="U"),3,TRUE,"FLAG")</f>
        <v>3</v>
      </c>
      <c r="K2320" s="10">
        <f t="shared" si="1372"/>
        <v>3</v>
      </c>
      <c r="L2320" s="10">
        <f t="shared" si="1372"/>
        <v>3</v>
      </c>
      <c r="M2320" s="10" t="str">
        <f t="shared" si="1372"/>
        <v>FLAG</v>
      </c>
      <c r="N2320" s="10" t="str">
        <f t="shared" si="2"/>
        <v>65-1641 - Pharmacy Act; Display of pharmacist license; when unlawful</v>
      </c>
      <c r="O2320" s="10" t="str">
        <f t="shared" si="3"/>
        <v>Pharmacy Act</v>
      </c>
    </row>
    <row r="2321">
      <c r="A2321" s="7" t="s">
        <v>4106</v>
      </c>
      <c r="B2321" s="8" t="s">
        <v>4107</v>
      </c>
      <c r="C2321" s="8" t="s">
        <v>18</v>
      </c>
      <c r="D2321" s="8" t="s">
        <v>18</v>
      </c>
      <c r="E2321" s="8" t="s">
        <v>19</v>
      </c>
      <c r="F2321" s="8" t="s">
        <v>20</v>
      </c>
      <c r="G2321" s="8" t="s">
        <v>21</v>
      </c>
      <c r="H2321" s="9"/>
      <c r="I2321" s="9"/>
      <c r="J2321" s="10">
        <f t="shared" ref="J2321:M2321" si="1373">ifs(OR($H2321="R",$I2321="N"),"N/A",OR(C2321="A",C2321="B",C2321="C",C2321="U"),3,TRUE,"FLAG")</f>
        <v>3</v>
      </c>
      <c r="K2321" s="10">
        <f t="shared" si="1373"/>
        <v>3</v>
      </c>
      <c r="L2321" s="10">
        <f t="shared" si="1373"/>
        <v>3</v>
      </c>
      <c r="M2321" s="10" t="str">
        <f t="shared" si="1373"/>
        <v>FLAG</v>
      </c>
      <c r="N2321" s="10" t="str">
        <f t="shared" si="2"/>
        <v>65-1643(c) - Pharmacy Act; Distribute at wholesale any drugs without first obtaining a registration from the board</v>
      </c>
      <c r="O2321" s="10" t="str">
        <f t="shared" si="3"/>
        <v>Pharmacy Act</v>
      </c>
    </row>
    <row r="2322">
      <c r="A2322" s="7" t="s">
        <v>4108</v>
      </c>
      <c r="B2322" s="8" t="s">
        <v>4109</v>
      </c>
      <c r="C2322" s="8" t="s">
        <v>18</v>
      </c>
      <c r="D2322" s="8" t="s">
        <v>18</v>
      </c>
      <c r="E2322" s="8" t="s">
        <v>19</v>
      </c>
      <c r="F2322" s="8" t="s">
        <v>20</v>
      </c>
      <c r="G2322" s="8" t="s">
        <v>21</v>
      </c>
      <c r="H2322" s="9"/>
      <c r="I2322" s="9"/>
      <c r="J2322" s="10">
        <f t="shared" ref="J2322:M2322" si="1374">ifs(OR($H2322="R",$I2322="N"),"N/A",OR(C2322="A",C2322="B",C2322="C",C2322="U"),3,TRUE,"FLAG")</f>
        <v>3</v>
      </c>
      <c r="K2322" s="10">
        <f t="shared" si="1374"/>
        <v>3</v>
      </c>
      <c r="L2322" s="10">
        <f t="shared" si="1374"/>
        <v>3</v>
      </c>
      <c r="M2322" s="10" t="str">
        <f t="shared" si="1374"/>
        <v>FLAG</v>
      </c>
      <c r="N2322" s="10" t="str">
        <f t="shared" si="2"/>
        <v>65-1643(e) - Pharmacy Act; Distribute or dispense samples of any drugs without first having obtained a permit from the board</v>
      </c>
      <c r="O2322" s="10" t="str">
        <f t="shared" si="3"/>
        <v>Pharmacy Act</v>
      </c>
    </row>
    <row r="2323">
      <c r="A2323" s="7" t="s">
        <v>4110</v>
      </c>
      <c r="B2323" s="8" t="s">
        <v>4111</v>
      </c>
      <c r="C2323" s="8" t="s">
        <v>27</v>
      </c>
      <c r="D2323" s="8" t="s">
        <v>28</v>
      </c>
      <c r="E2323" s="8" t="s">
        <v>19</v>
      </c>
      <c r="F2323" s="8" t="s">
        <v>20</v>
      </c>
      <c r="G2323" s="8" t="s">
        <v>21</v>
      </c>
      <c r="H2323" s="9"/>
      <c r="I2323" s="9"/>
      <c r="J2323" s="10">
        <f t="shared" ref="J2323:M2323" si="1375">ifs(OR($H2323="R",$I2323="N"),"N/A",OR(C2323="A",C2323="B",C2323="C",C2323="U"),3,TRUE,"FLAG")</f>
        <v>3</v>
      </c>
      <c r="K2323" s="10">
        <f t="shared" si="1375"/>
        <v>3</v>
      </c>
      <c r="L2323" s="10">
        <f t="shared" si="1375"/>
        <v>3</v>
      </c>
      <c r="M2323" s="10" t="str">
        <f t="shared" si="1375"/>
        <v>FLAG</v>
      </c>
      <c r="N2323" s="10" t="str">
        <f t="shared" si="2"/>
        <v>65-1634 - Pharmacy Act; Intentionally adulterate or mislabel any drugs, medicines, chemicals or poisons, or cause such or expose for sale knowing the same to be adulterated or mislabeled</v>
      </c>
      <c r="O2323" s="10" t="str">
        <f t="shared" si="3"/>
        <v>Pharmacy Act</v>
      </c>
    </row>
    <row r="2324">
      <c r="A2324" s="7" t="s">
        <v>4112</v>
      </c>
      <c r="B2324" s="8" t="s">
        <v>4113</v>
      </c>
      <c r="C2324" s="8" t="s">
        <v>18</v>
      </c>
      <c r="D2324" s="8" t="s">
        <v>18</v>
      </c>
      <c r="E2324" s="8" t="s">
        <v>19</v>
      </c>
      <c r="F2324" s="8" t="s">
        <v>20</v>
      </c>
      <c r="G2324" s="8" t="s">
        <v>21</v>
      </c>
      <c r="H2324" s="9"/>
      <c r="I2324" s="9"/>
      <c r="J2324" s="10">
        <f t="shared" ref="J2324:M2324" si="1376">ifs(OR($H2324="R",$I2324="N"),"N/A",OR(C2324="A",C2324="B",C2324="C",C2324="U"),3,TRUE,"FLAG")</f>
        <v>3</v>
      </c>
      <c r="K2324" s="10">
        <f t="shared" si="1376"/>
        <v>3</v>
      </c>
      <c r="L2324" s="10">
        <f t="shared" si="1376"/>
        <v>3</v>
      </c>
      <c r="M2324" s="10" t="str">
        <f t="shared" si="1376"/>
        <v>FLAG</v>
      </c>
      <c r="N2324" s="10" t="str">
        <f t="shared" si="2"/>
        <v>65-1631(a) - Pharmacy Act; Licensure required of pharmacists</v>
      </c>
      <c r="O2324" s="10" t="str">
        <f t="shared" si="3"/>
        <v>Pharmacy Act</v>
      </c>
    </row>
    <row r="2325">
      <c r="A2325" s="7" t="s">
        <v>4114</v>
      </c>
      <c r="B2325" s="8" t="s">
        <v>4115</v>
      </c>
      <c r="C2325" s="8" t="s">
        <v>18</v>
      </c>
      <c r="D2325" s="8" t="s">
        <v>18</v>
      </c>
      <c r="E2325" s="8" t="s">
        <v>19</v>
      </c>
      <c r="F2325" s="8" t="s">
        <v>20</v>
      </c>
      <c r="G2325" s="8" t="s">
        <v>21</v>
      </c>
      <c r="H2325" s="9"/>
      <c r="I2325" s="9"/>
      <c r="J2325" s="10">
        <f t="shared" ref="J2325:M2325" si="1377">ifs(OR($H2325="R",$I2325="N"),"N/A",OR(C2325="A",C2325="B",C2325="C",C2325="U"),3,TRUE,"FLAG")</f>
        <v>3</v>
      </c>
      <c r="K2325" s="10">
        <f t="shared" si="1377"/>
        <v>3</v>
      </c>
      <c r="L2325" s="10">
        <f t="shared" si="1377"/>
        <v>3</v>
      </c>
      <c r="M2325" s="10" t="str">
        <f t="shared" si="1377"/>
        <v>FLAG</v>
      </c>
      <c r="N2325" s="10" t="str">
        <f t="shared" si="2"/>
        <v>65-1643(b) - Pharmacy Act; Manufacture of any drugs without proper supervision or without first obtaining a registration from the board</v>
      </c>
      <c r="O2325" s="10" t="str">
        <f t="shared" si="3"/>
        <v>Pharmacy Act</v>
      </c>
    </row>
    <row r="2326">
      <c r="A2326" s="7" t="s">
        <v>4116</v>
      </c>
      <c r="B2326" s="8" t="s">
        <v>4117</v>
      </c>
      <c r="C2326" s="8" t="s">
        <v>18</v>
      </c>
      <c r="D2326" s="8" t="s">
        <v>18</v>
      </c>
      <c r="E2326" s="8" t="s">
        <v>19</v>
      </c>
      <c r="F2326" s="8" t="s">
        <v>20</v>
      </c>
      <c r="G2326" s="8" t="s">
        <v>21</v>
      </c>
      <c r="H2326" s="9"/>
      <c r="I2326" s="9"/>
      <c r="J2326" s="10">
        <f t="shared" ref="J2326:M2326" si="1378">ifs(OR($H2326="R",$I2326="N"),"N/A",OR(C2326="A",C2326="B",C2326="C",C2326="U"),3,TRUE,"FLAG")</f>
        <v>3</v>
      </c>
      <c r="K2326" s="10">
        <f t="shared" si="1378"/>
        <v>3</v>
      </c>
      <c r="L2326" s="10">
        <f t="shared" si="1378"/>
        <v>3</v>
      </c>
      <c r="M2326" s="10" t="str">
        <f t="shared" si="1378"/>
        <v>FLAG</v>
      </c>
      <c r="N2326" s="10" t="str">
        <f t="shared" si="2"/>
        <v>65-1643(j) - Pharmacy Act; Operate a veterinary medical teaching hospital pharmacy without first having obtained a registration from the board</v>
      </c>
      <c r="O2326" s="10" t="str">
        <f t="shared" si="3"/>
        <v>Pharmacy Act</v>
      </c>
    </row>
    <row r="2327">
      <c r="A2327" s="7" t="s">
        <v>4118</v>
      </c>
      <c r="B2327" s="8" t="s">
        <v>4119</v>
      </c>
      <c r="C2327" s="8" t="s">
        <v>18</v>
      </c>
      <c r="D2327" s="8" t="s">
        <v>18</v>
      </c>
      <c r="E2327" s="8" t="s">
        <v>19</v>
      </c>
      <c r="F2327" s="8" t="s">
        <v>20</v>
      </c>
      <c r="G2327" s="8" t="s">
        <v>21</v>
      </c>
      <c r="H2327" s="9"/>
      <c r="I2327" s="9"/>
      <c r="J2327" s="10">
        <f t="shared" ref="J2327:M2327" si="1379">ifs(OR($H2327="R",$I2327="N"),"N/A",OR(C2327="A",C2327="B",C2327="C",C2327="U"),3,TRUE,"FLAG")</f>
        <v>3</v>
      </c>
      <c r="K2327" s="10">
        <f t="shared" si="1379"/>
        <v>3</v>
      </c>
      <c r="L2327" s="10">
        <f t="shared" si="1379"/>
        <v>3</v>
      </c>
      <c r="M2327" s="10" t="str">
        <f t="shared" si="1379"/>
        <v>FLAG</v>
      </c>
      <c r="N2327" s="10" t="str">
        <f t="shared" si="2"/>
        <v>65-1643(h) - Pharmacy Act; Operate an institutional drug room without first having obtained a registration from the board</v>
      </c>
      <c r="O2327" s="10" t="str">
        <f t="shared" si="3"/>
        <v>Pharmacy Act</v>
      </c>
    </row>
    <row r="2328">
      <c r="A2328" s="7" t="s">
        <v>4120</v>
      </c>
      <c r="B2328" s="8" t="s">
        <v>4121</v>
      </c>
      <c r="C2328" s="8" t="s">
        <v>18</v>
      </c>
      <c r="D2328" s="8" t="s">
        <v>18</v>
      </c>
      <c r="E2328" s="8" t="s">
        <v>19</v>
      </c>
      <c r="F2328" s="8" t="s">
        <v>20</v>
      </c>
      <c r="G2328" s="8" t="s">
        <v>21</v>
      </c>
      <c r="H2328" s="9"/>
      <c r="I2328" s="9"/>
      <c r="J2328" s="10">
        <f t="shared" ref="J2328:M2328" si="1380">ifs(OR($H2328="R",$I2328="N"),"N/A",OR(C2328="A",C2328="B",C2328="C",C2328="U"),3,TRUE,"FLAG")</f>
        <v>3</v>
      </c>
      <c r="K2328" s="10">
        <f t="shared" si="1380"/>
        <v>3</v>
      </c>
      <c r="L2328" s="10">
        <f t="shared" si="1380"/>
        <v>3</v>
      </c>
      <c r="M2328" s="10" t="str">
        <f t="shared" si="1380"/>
        <v>FLAG</v>
      </c>
      <c r="N2328" s="10" t="str">
        <f t="shared" si="2"/>
        <v>65-1643(a) - Pharmacy Act; Operate, maintain, open or establish any pharmacy within this state without first having obtained a registration from the board</v>
      </c>
      <c r="O2328" s="10" t="str">
        <f t="shared" si="3"/>
        <v>Pharmacy Act</v>
      </c>
    </row>
    <row r="2329">
      <c r="A2329" s="7" t="s">
        <v>4122</v>
      </c>
      <c r="B2329" s="8" t="s">
        <v>4123</v>
      </c>
      <c r="C2329" s="8" t="s">
        <v>18</v>
      </c>
      <c r="D2329" s="8" t="s">
        <v>18</v>
      </c>
      <c r="E2329" s="8" t="s">
        <v>19</v>
      </c>
      <c r="F2329" s="8" t="s">
        <v>20</v>
      </c>
      <c r="G2329" s="8" t="s">
        <v>21</v>
      </c>
      <c r="H2329" s="9"/>
      <c r="I2329" s="9"/>
      <c r="J2329" s="10">
        <f t="shared" ref="J2329:M2329" si="1381">ifs(OR($H2329="R",$I2329="N"),"N/A",OR(C2329="A",C2329="B",C2329="C",C2329="U"),3,TRUE,"FLAG")</f>
        <v>3</v>
      </c>
      <c r="K2329" s="10">
        <f t="shared" si="1381"/>
        <v>3</v>
      </c>
      <c r="L2329" s="10">
        <f t="shared" si="1381"/>
        <v>3</v>
      </c>
      <c r="M2329" s="10" t="str">
        <f t="shared" si="1381"/>
        <v>FLAG</v>
      </c>
      <c r="N2329" s="10" t="str">
        <f t="shared" si="2"/>
        <v>65-1663(a) - Pharmacy Act; Registration of pharmacy technicians required</v>
      </c>
      <c r="O2329" s="10" t="str">
        <f t="shared" si="3"/>
        <v>Pharmacy Act</v>
      </c>
    </row>
    <row r="2330">
      <c r="A2330" s="7" t="s">
        <v>4124</v>
      </c>
      <c r="B2330" s="8" t="s">
        <v>4125</v>
      </c>
      <c r="C2330" s="8" t="s">
        <v>18</v>
      </c>
      <c r="D2330" s="8" t="s">
        <v>18</v>
      </c>
      <c r="E2330" s="8" t="s">
        <v>19</v>
      </c>
      <c r="F2330" s="8" t="s">
        <v>20</v>
      </c>
      <c r="G2330" s="8" t="s">
        <v>21</v>
      </c>
      <c r="H2330" s="9"/>
      <c r="I2330" s="9"/>
      <c r="J2330" s="10">
        <f t="shared" ref="J2330:M2330" si="1382">ifs(OR($H2330="R",$I2330="N"),"N/A",OR(C2330="A",C2330="B",C2330="C",C2330="U"),3,TRUE,"FLAG")</f>
        <v>3</v>
      </c>
      <c r="K2330" s="10">
        <f t="shared" si="1382"/>
        <v>3</v>
      </c>
      <c r="L2330" s="10">
        <f t="shared" si="1382"/>
        <v>3</v>
      </c>
      <c r="M2330" s="10" t="str">
        <f t="shared" si="1382"/>
        <v>FLAG</v>
      </c>
      <c r="N2330" s="10" t="str">
        <f t="shared" si="2"/>
        <v>65-1643(g) - Pharmacy Act; Sell any drugs manufactured and sold only in the state of Kansas, without having the label and directions on such drugs approved by the board</v>
      </c>
      <c r="O2330" s="10" t="str">
        <f t="shared" si="3"/>
        <v>Pharmacy Act</v>
      </c>
    </row>
    <row r="2331">
      <c r="A2331" s="7" t="s">
        <v>4126</v>
      </c>
      <c r="B2331" s="8" t="s">
        <v>4127</v>
      </c>
      <c r="C2331" s="8" t="s">
        <v>18</v>
      </c>
      <c r="D2331" s="8" t="s">
        <v>18</v>
      </c>
      <c r="E2331" s="8" t="s">
        <v>19</v>
      </c>
      <c r="F2331" s="8" t="s">
        <v>20</v>
      </c>
      <c r="G2331" s="8" t="s">
        <v>21</v>
      </c>
      <c r="H2331" s="9"/>
      <c r="I2331" s="9"/>
      <c r="J2331" s="10">
        <f t="shared" ref="J2331:M2331" si="1383">ifs(OR($H2331="R",$I2331="N"),"N/A",OR(C2331="A",C2331="B",C2331="C",C2331="U"),3,TRUE,"FLAG")</f>
        <v>3</v>
      </c>
      <c r="K2331" s="10">
        <f t="shared" si="1383"/>
        <v>3</v>
      </c>
      <c r="L2331" s="10">
        <f t="shared" si="1383"/>
        <v>3</v>
      </c>
      <c r="M2331" s="10" t="str">
        <f t="shared" si="1383"/>
        <v>FLAG</v>
      </c>
      <c r="N2331" s="10" t="str">
        <f t="shared" si="2"/>
        <v>65-1643(l) - Pharmacy Act; Sell more than 4 or more packages of a controlled substance listed in K.S.A. 65-4113 (e) or (f) to one customer within 7 day period</v>
      </c>
      <c r="O2331" s="10" t="str">
        <f t="shared" si="3"/>
        <v>Pharmacy Act</v>
      </c>
    </row>
    <row r="2332">
      <c r="A2332" s="7" t="s">
        <v>4128</v>
      </c>
      <c r="B2332" s="8" t="s">
        <v>4129</v>
      </c>
      <c r="C2332" s="8" t="s">
        <v>18</v>
      </c>
      <c r="D2332" s="8" t="s">
        <v>18</v>
      </c>
      <c r="E2332" s="8" t="s">
        <v>19</v>
      </c>
      <c r="F2332" s="8" t="s">
        <v>20</v>
      </c>
      <c r="G2332" s="8" t="s">
        <v>21</v>
      </c>
      <c r="H2332" s="9"/>
      <c r="I2332" s="9"/>
      <c r="J2332" s="10">
        <f t="shared" ref="J2332:M2332" si="1384">ifs(OR($H2332="R",$I2332="N"),"N/A",OR(C2332="A",C2332="B",C2332="C",C2332="U"),3,TRUE,"FLAG")</f>
        <v>3</v>
      </c>
      <c r="K2332" s="10">
        <f t="shared" si="1384"/>
        <v>3</v>
      </c>
      <c r="L2332" s="10">
        <f t="shared" si="1384"/>
        <v>3</v>
      </c>
      <c r="M2332" s="10" t="str">
        <f t="shared" si="1384"/>
        <v>FLAG</v>
      </c>
      <c r="N2332" s="10" t="str">
        <f t="shared" si="2"/>
        <v>65-1643(d) - Pharmacy Act; Sell or offer for sale at public auction or private sale in a place where public auctions are conducted, any drugs without first having obtained a registration from the board</v>
      </c>
      <c r="O2332" s="10" t="str">
        <f t="shared" si="3"/>
        <v>Pharmacy Act</v>
      </c>
    </row>
    <row r="2333">
      <c r="A2333" s="7" t="s">
        <v>4130</v>
      </c>
      <c r="B2333" s="8" t="s">
        <v>4131</v>
      </c>
      <c r="C2333" s="8" t="s">
        <v>18</v>
      </c>
      <c r="D2333" s="8" t="s">
        <v>18</v>
      </c>
      <c r="E2333" s="8" t="s">
        <v>19</v>
      </c>
      <c r="F2333" s="8" t="s">
        <v>20</v>
      </c>
      <c r="G2333" s="8" t="s">
        <v>21</v>
      </c>
      <c r="H2333" s="9"/>
      <c r="I2333" s="9"/>
      <c r="J2333" s="10">
        <f t="shared" ref="J2333:M2333" si="1385">ifs(OR($H2333="R",$I2333="N"),"N/A",OR(C2333="A",C2333="B",C2333="C",C2333="U"),3,TRUE,"FLAG")</f>
        <v>3</v>
      </c>
      <c r="K2333" s="10">
        <f t="shared" si="1385"/>
        <v>3</v>
      </c>
      <c r="L2333" s="10">
        <f t="shared" si="1385"/>
        <v>3</v>
      </c>
      <c r="M2333" s="10" t="str">
        <f t="shared" si="1385"/>
        <v>FLAG</v>
      </c>
      <c r="N2333" s="10" t="str">
        <f t="shared" si="2"/>
        <v>65-1643(f) - Pharmacy Act; Sell, offer for sale or distribute any drugs to the public without first having obtained a registration or permit from the board authorizing such person so to do</v>
      </c>
      <c r="O2333" s="10" t="str">
        <f t="shared" si="3"/>
        <v>Pharmacy Act</v>
      </c>
    </row>
    <row r="2334">
      <c r="A2334" s="7" t="s">
        <v>4132</v>
      </c>
      <c r="B2334" s="8" t="s">
        <v>4133</v>
      </c>
      <c r="C2334" s="8" t="s">
        <v>18</v>
      </c>
      <c r="D2334" s="8" t="s">
        <v>18</v>
      </c>
      <c r="E2334" s="8" t="s">
        <v>19</v>
      </c>
      <c r="F2334" s="8" t="s">
        <v>20</v>
      </c>
      <c r="G2334" s="8" t="s">
        <v>21</v>
      </c>
      <c r="H2334" s="9"/>
      <c r="I2334" s="9"/>
      <c r="J2334" s="10">
        <f t="shared" ref="J2334:M2334" si="1386">ifs(OR($H2334="R",$I2334="N"),"N/A",OR(C2334="A",C2334="B",C2334="C",C2334="U"),3,TRUE,"FLAG")</f>
        <v>3</v>
      </c>
      <c r="K2334" s="10">
        <f t="shared" si="1386"/>
        <v>3</v>
      </c>
      <c r="L2334" s="10">
        <f t="shared" si="1386"/>
        <v>3</v>
      </c>
      <c r="M2334" s="10" t="str">
        <f t="shared" si="1386"/>
        <v>FLAG</v>
      </c>
      <c r="N2334" s="10" t="str">
        <f t="shared" si="2"/>
        <v>65-1643(n) - Pharmacy Act; Sell, offer for sale, or lease durable medical equipment without registration</v>
      </c>
      <c r="O2334" s="10" t="str">
        <f t="shared" si="3"/>
        <v>Pharmacy Act</v>
      </c>
    </row>
    <row r="2335">
      <c r="A2335" s="7" t="s">
        <v>4134</v>
      </c>
      <c r="B2335" s="8" t="s">
        <v>4135</v>
      </c>
      <c r="C2335" s="8" t="s">
        <v>18</v>
      </c>
      <c r="D2335" s="8" t="s">
        <v>18</v>
      </c>
      <c r="E2335" s="8" t="s">
        <v>19</v>
      </c>
      <c r="F2335" s="8" t="s">
        <v>20</v>
      </c>
      <c r="G2335" s="8" t="s">
        <v>21</v>
      </c>
      <c r="H2335" s="9"/>
      <c r="I2335" s="9"/>
      <c r="J2335" s="10">
        <f t="shared" ref="J2335:M2335" si="1387">ifs(OR($H2335="R",$I2335="N"),"N/A",OR(C2335="A",C2335="B",C2335="C",C2335="U"),3,TRUE,"FLAG")</f>
        <v>3</v>
      </c>
      <c r="K2335" s="10">
        <f t="shared" si="1387"/>
        <v>3</v>
      </c>
      <c r="L2335" s="10">
        <f t="shared" si="1387"/>
        <v>3</v>
      </c>
      <c r="M2335" s="10" t="str">
        <f t="shared" si="1387"/>
        <v>FLAG</v>
      </c>
      <c r="N2335" s="10" t="str">
        <f t="shared" si="2"/>
        <v>65-1643(k) - Pharmacy Act; Unauthorized sale or distribution in a pharmacy of a controlled substance designated in subsection (e) or (f) of K.S.A. 65-4113</v>
      </c>
      <c r="O2335" s="10" t="str">
        <f t="shared" si="3"/>
        <v>Pharmacy Act</v>
      </c>
    </row>
    <row r="2336">
      <c r="A2336" s="7" t="s">
        <v>4136</v>
      </c>
      <c r="B2336" s="8" t="s">
        <v>4137</v>
      </c>
      <c r="C2336" s="8">
        <v>10.0</v>
      </c>
      <c r="D2336" s="8">
        <v>10.0</v>
      </c>
      <c r="E2336" s="8">
        <v>10.0</v>
      </c>
      <c r="F2336" s="8">
        <v>10.0</v>
      </c>
      <c r="G2336" s="8" t="s">
        <v>21</v>
      </c>
      <c r="H2336" s="9"/>
      <c r="I2336" s="9"/>
      <c r="N2336" s="10" t="str">
        <f t="shared" si="2"/>
        <v>65-1657(h) - Pharmacy Act; Unlawful advertising of nonresident, nonregistered pharmacy; effective Kansas Register</v>
      </c>
      <c r="O2336" s="10" t="str">
        <f t="shared" si="3"/>
        <v>Pharmacy Act</v>
      </c>
    </row>
    <row r="2337">
      <c r="A2337" s="7" t="s">
        <v>4138</v>
      </c>
      <c r="B2337" s="8" t="s">
        <v>4139</v>
      </c>
      <c r="C2337" s="8">
        <v>10.0</v>
      </c>
      <c r="D2337" s="8">
        <v>10.0</v>
      </c>
      <c r="E2337" s="8">
        <v>10.0</v>
      </c>
      <c r="F2337" s="8">
        <v>10.0</v>
      </c>
      <c r="G2337" s="8" t="s">
        <v>21</v>
      </c>
      <c r="H2337" s="9"/>
      <c r="I2337" s="9"/>
      <c r="N2337" s="10" t="str">
        <f t="shared" si="2"/>
        <v>65-16,107(b) - Pharmacy; Methamphetamine Precursor Sale Logging System Act; knowing disclosure in violation of the act</v>
      </c>
      <c r="O2337" s="10" t="str">
        <f t="shared" si="3"/>
        <v>Pharmacy</v>
      </c>
    </row>
    <row r="2338">
      <c r="A2338" s="7" t="s">
        <v>4140</v>
      </c>
      <c r="B2338" s="8" t="s">
        <v>4141</v>
      </c>
      <c r="C2338" s="8">
        <v>10.0</v>
      </c>
      <c r="D2338" s="8">
        <v>10.0</v>
      </c>
      <c r="E2338" s="8">
        <v>10.0</v>
      </c>
      <c r="F2338" s="8">
        <v>10.0</v>
      </c>
      <c r="G2338" s="8" t="s">
        <v>21</v>
      </c>
      <c r="H2338" s="9"/>
      <c r="I2338" s="9"/>
      <c r="N2338" s="10" t="str">
        <f t="shared" si="2"/>
        <v>65-16,107(a) - Pharmacy; Methamphetamine Precursor Sale Logging System Act; knowing failure to submit methamphetamine precursor log information to pharmacy board</v>
      </c>
      <c r="O2338" s="10" t="str">
        <f t="shared" si="3"/>
        <v>Pharmacy</v>
      </c>
    </row>
    <row r="2339">
      <c r="A2339" s="7" t="s">
        <v>4142</v>
      </c>
      <c r="B2339" s="8" t="s">
        <v>4143</v>
      </c>
      <c r="C2339" s="8">
        <v>10.0</v>
      </c>
      <c r="D2339" s="8">
        <v>10.0</v>
      </c>
      <c r="E2339" s="8">
        <v>10.0</v>
      </c>
      <c r="F2339" s="8">
        <v>10.0</v>
      </c>
      <c r="G2339" s="8" t="s">
        <v>21</v>
      </c>
      <c r="H2339" s="9"/>
      <c r="I2339" s="9"/>
      <c r="N2339" s="10" t="str">
        <f t="shared" si="2"/>
        <v>65-16,107(c) - Pharmacy; Methamphetamine Precursor Sale Logging System Act; knowing use of such information in a manner or for a purpose in violation of the act</v>
      </c>
      <c r="O2339" s="10" t="str">
        <f t="shared" si="3"/>
        <v>Pharmacy</v>
      </c>
    </row>
    <row r="2340">
      <c r="A2340" s="7" t="s">
        <v>4144</v>
      </c>
      <c r="B2340" s="8" t="s">
        <v>4145</v>
      </c>
      <c r="C2340" s="8" t="s">
        <v>28</v>
      </c>
      <c r="D2340" s="8" t="s">
        <v>19</v>
      </c>
      <c r="E2340" s="8" t="s">
        <v>19</v>
      </c>
      <c r="F2340" s="8" t="s">
        <v>20</v>
      </c>
      <c r="G2340" s="8" t="s">
        <v>21</v>
      </c>
      <c r="H2340" s="9"/>
      <c r="I2340" s="9"/>
      <c r="J2340" s="10">
        <f t="shared" ref="J2340:M2340" si="1388">ifs(OR($H2340="R",$I2340="N"),"N/A",OR(C2340="A",C2340="B",C2340="C",C2340="U"),3,TRUE,"FLAG")</f>
        <v>3</v>
      </c>
      <c r="K2340" s="10">
        <f t="shared" si="1388"/>
        <v>3</v>
      </c>
      <c r="L2340" s="10">
        <f t="shared" si="1388"/>
        <v>3</v>
      </c>
      <c r="M2340" s="10" t="str">
        <f t="shared" si="1388"/>
        <v>FLAG</v>
      </c>
      <c r="N2340" s="10" t="str">
        <f t="shared" si="2"/>
        <v>65-2914(c) - Physical Therapy; Certified physical therapist assistant treating ailments or other health conditions of human beings without direction of a licensed physical therapist</v>
      </c>
      <c r="O2340" s="10" t="str">
        <f t="shared" si="3"/>
        <v>Physical Therapy</v>
      </c>
    </row>
    <row r="2341">
      <c r="A2341" s="7" t="s">
        <v>4146</v>
      </c>
      <c r="B2341" s="8" t="s">
        <v>4147</v>
      </c>
      <c r="C2341" s="8" t="s">
        <v>28</v>
      </c>
      <c r="D2341" s="8" t="s">
        <v>19</v>
      </c>
      <c r="E2341" s="8" t="s">
        <v>19</v>
      </c>
      <c r="F2341" s="8" t="s">
        <v>20</v>
      </c>
      <c r="G2341" s="8" t="s">
        <v>21</v>
      </c>
      <c r="H2341" s="9"/>
      <c r="I2341" s="9"/>
      <c r="J2341" s="10">
        <f t="shared" ref="J2341:M2341" si="1389">ifs(OR($H2341="R",$I2341="N"),"N/A",OR(C2341="A",C2341="B",C2341="C",C2341="U"),3,TRUE,"FLAG")</f>
        <v>3</v>
      </c>
      <c r="K2341" s="10">
        <f t="shared" si="1389"/>
        <v>3</v>
      </c>
      <c r="L2341" s="10">
        <f t="shared" si="1389"/>
        <v>3</v>
      </c>
      <c r="M2341" s="10" t="str">
        <f t="shared" si="1389"/>
        <v>FLAG</v>
      </c>
      <c r="N2341" s="10" t="str">
        <f t="shared" si="2"/>
        <v>65-2914(a) - Physical Therapy; Employ fraud or deception in applying for or securing a license as a physical therapist</v>
      </c>
      <c r="O2341" s="10" t="str">
        <f t="shared" si="3"/>
        <v>Physical Therapy</v>
      </c>
    </row>
    <row r="2342">
      <c r="A2342" s="7" t="s">
        <v>4148</v>
      </c>
      <c r="B2342" s="8" t="s">
        <v>4149</v>
      </c>
      <c r="C2342" s="8" t="s">
        <v>28</v>
      </c>
      <c r="D2342" s="8" t="s">
        <v>19</v>
      </c>
      <c r="E2342" s="8" t="s">
        <v>19</v>
      </c>
      <c r="F2342" s="8" t="s">
        <v>20</v>
      </c>
      <c r="G2342" s="8" t="s">
        <v>21</v>
      </c>
      <c r="H2342" s="9"/>
      <c r="I2342" s="9"/>
      <c r="J2342" s="10">
        <f t="shared" ref="J2342:M2342" si="1390">ifs(OR($H2342="R",$I2342="N"),"N/A",OR(C2342="A",C2342="B",C2342="C",C2342="U"),3,TRUE,"FLAG")</f>
        <v>3</v>
      </c>
      <c r="K2342" s="10">
        <f t="shared" si="1390"/>
        <v>3</v>
      </c>
      <c r="L2342" s="10">
        <f t="shared" si="1390"/>
        <v>3</v>
      </c>
      <c r="M2342" s="10" t="str">
        <f t="shared" si="1390"/>
        <v>FLAG</v>
      </c>
      <c r="N2342" s="10" t="str">
        <f t="shared" si="2"/>
        <v>65-2914(b) - Physical Therapy; Licensed physical therapist  treating ailments/other health conditions other than by physical therapy without being licensed or registered to do so</v>
      </c>
      <c r="O2342" s="10" t="str">
        <f t="shared" si="3"/>
        <v>Physical Therapy</v>
      </c>
    </row>
    <row r="2343">
      <c r="A2343" s="7" t="s">
        <v>4150</v>
      </c>
      <c r="B2343" s="8" t="s">
        <v>4151</v>
      </c>
      <c r="C2343" s="8" t="s">
        <v>28</v>
      </c>
      <c r="D2343" s="8" t="s">
        <v>19</v>
      </c>
      <c r="E2343" s="8" t="s">
        <v>19</v>
      </c>
      <c r="F2343" s="8" t="s">
        <v>20</v>
      </c>
      <c r="G2343" s="8" t="s">
        <v>21</v>
      </c>
      <c r="H2343" s="9"/>
      <c r="I2343" s="9"/>
      <c r="J2343" s="10">
        <f t="shared" ref="J2343:M2343" si="1391">ifs(OR($H2343="R",$I2343="N"),"N/A",OR(C2343="A",C2343="B",C2343="C",C2343="U"),3,TRUE,"FLAG")</f>
        <v>3</v>
      </c>
      <c r="K2343" s="10">
        <f t="shared" si="1391"/>
        <v>3</v>
      </c>
      <c r="L2343" s="10">
        <f t="shared" si="1391"/>
        <v>3</v>
      </c>
      <c r="M2343" s="10" t="str">
        <f t="shared" si="1391"/>
        <v>FLAG</v>
      </c>
      <c r="N2343" s="10" t="str">
        <f t="shared" si="2"/>
        <v>65-2916(a) - Physical Therapy; Penalty for violations of act</v>
      </c>
      <c r="O2343" s="10" t="str">
        <f t="shared" si="3"/>
        <v>Physical Therapy</v>
      </c>
    </row>
    <row r="2344">
      <c r="A2344" s="7" t="s">
        <v>4152</v>
      </c>
      <c r="B2344" s="8" t="s">
        <v>4153</v>
      </c>
      <c r="C2344" s="8" t="s">
        <v>28</v>
      </c>
      <c r="D2344" s="8" t="s">
        <v>19</v>
      </c>
      <c r="E2344" s="8" t="s">
        <v>19</v>
      </c>
      <c r="F2344" s="8" t="s">
        <v>20</v>
      </c>
      <c r="G2344" s="8" t="s">
        <v>21</v>
      </c>
      <c r="H2344" s="9"/>
      <c r="I2344" s="9"/>
      <c r="J2344" s="10">
        <f t="shared" ref="J2344:M2344" si="1392">ifs(OR($H2344="R",$I2344="N"),"N/A",OR(C2344="A",C2344="B",C2344="C",C2344="U"),3,TRUE,"FLAG")</f>
        <v>3</v>
      </c>
      <c r="K2344" s="10">
        <f t="shared" si="1392"/>
        <v>3</v>
      </c>
      <c r="L2344" s="10">
        <f t="shared" si="1392"/>
        <v>3</v>
      </c>
      <c r="M2344" s="10" t="str">
        <f t="shared" si="1392"/>
        <v>FLAG</v>
      </c>
      <c r="N2344" s="10" t="str">
        <f t="shared" si="2"/>
        <v>65-2913(b) - Physical Therapy; Represent oneself as physical therapist assistant without such certification</v>
      </c>
      <c r="O2344" s="10" t="str">
        <f t="shared" si="3"/>
        <v>Physical Therapy</v>
      </c>
    </row>
    <row r="2345">
      <c r="A2345" s="7" t="s">
        <v>4154</v>
      </c>
      <c r="B2345" s="8" t="s">
        <v>4155</v>
      </c>
      <c r="C2345" s="8" t="s">
        <v>28</v>
      </c>
      <c r="D2345" s="8" t="s">
        <v>19</v>
      </c>
      <c r="E2345" s="8" t="s">
        <v>19</v>
      </c>
      <c r="F2345" s="8" t="s">
        <v>20</v>
      </c>
      <c r="G2345" s="8" t="s">
        <v>21</v>
      </c>
      <c r="H2345" s="9"/>
      <c r="I2345" s="9"/>
      <c r="J2345" s="10">
        <f t="shared" ref="J2345:M2345" si="1393">ifs(OR($H2345="R",$I2345="N"),"N/A",OR(C2345="A",C2345="B",C2345="C",C2345="U"),3,TRUE,"FLAG")</f>
        <v>3</v>
      </c>
      <c r="K2345" s="10">
        <f t="shared" si="1393"/>
        <v>3</v>
      </c>
      <c r="L2345" s="10">
        <f t="shared" si="1393"/>
        <v>3</v>
      </c>
      <c r="M2345" s="10" t="str">
        <f t="shared" si="1393"/>
        <v>FLAG</v>
      </c>
      <c r="N2345" s="10" t="str">
        <f t="shared" si="2"/>
        <v>65-2913(a) - Physical Therapy; Represent oneself as physical therapist without such license</v>
      </c>
      <c r="O2345" s="10" t="str">
        <f t="shared" si="3"/>
        <v>Physical Therapy</v>
      </c>
    </row>
    <row r="2346">
      <c r="A2346" s="7" t="s">
        <v>4156</v>
      </c>
      <c r="B2346" s="8" t="s">
        <v>4157</v>
      </c>
      <c r="C2346" s="8" t="s">
        <v>27</v>
      </c>
      <c r="D2346" s="8" t="s">
        <v>28</v>
      </c>
      <c r="E2346" s="8" t="s">
        <v>19</v>
      </c>
      <c r="F2346" s="8" t="s">
        <v>20</v>
      </c>
      <c r="G2346" s="8" t="s">
        <v>21</v>
      </c>
      <c r="H2346" s="9"/>
      <c r="I2346" s="9"/>
      <c r="J2346" s="10">
        <f t="shared" ref="J2346:M2346" si="1394">ifs(OR($H2346="R",$I2346="N"),"N/A",OR(C2346="A",C2346="B",C2346="C",C2346="U"),3,TRUE,"FLAG")</f>
        <v>3</v>
      </c>
      <c r="K2346" s="10">
        <f t="shared" si="1394"/>
        <v>3</v>
      </c>
      <c r="L2346" s="10">
        <f t="shared" si="1394"/>
        <v>3</v>
      </c>
      <c r="M2346" s="10" t="str">
        <f t="shared" si="1394"/>
        <v>FLAG</v>
      </c>
      <c r="N2346" s="10" t="str">
        <f t="shared" si="2"/>
        <v>39-1112(b) - Physically Disabled Persons; Misrepresent that a person has a disability for the purpose of acquiring an assistance dog</v>
      </c>
      <c r="O2346" s="10" t="str">
        <f t="shared" si="3"/>
        <v>Physically Disabled Persons</v>
      </c>
    </row>
    <row r="2347">
      <c r="A2347" s="7" t="s">
        <v>4158</v>
      </c>
      <c r="B2347" s="8" t="s">
        <v>4159</v>
      </c>
      <c r="C2347" s="8" t="s">
        <v>27</v>
      </c>
      <c r="D2347" s="8" t="s">
        <v>28</v>
      </c>
      <c r="E2347" s="8" t="s">
        <v>19</v>
      </c>
      <c r="F2347" s="8" t="s">
        <v>20</v>
      </c>
      <c r="G2347" s="8" t="s">
        <v>21</v>
      </c>
      <c r="H2347" s="9"/>
      <c r="I2347" s="9"/>
      <c r="J2347" s="10">
        <f t="shared" ref="J2347:M2347" si="1395">ifs(OR($H2347="R",$I2347="N"),"N/A",OR(C2347="A",C2347="B",C2347="C",C2347="U"),3,TRUE,"FLAG")</f>
        <v>3</v>
      </c>
      <c r="K2347" s="10">
        <f t="shared" si="1395"/>
        <v>3</v>
      </c>
      <c r="L2347" s="10">
        <f t="shared" si="1395"/>
        <v>3</v>
      </c>
      <c r="M2347" s="10" t="str">
        <f t="shared" si="1395"/>
        <v>FLAG</v>
      </c>
      <c r="N2347" s="10" t="str">
        <f t="shared" si="2"/>
        <v>39-1112(a) - Physically Disabled Persons; Misrepresent that a person has the right to be accompanied by an assistance dog in any place listed in K.S.A. 39-110, or a professional therapy dog in any place listed in K.S.A. 2005 Supp. 39-1110</v>
      </c>
      <c r="O2347" s="10" t="str">
        <f t="shared" si="3"/>
        <v>Physically Disabled Persons</v>
      </c>
    </row>
    <row r="2348">
      <c r="A2348" s="7" t="s">
        <v>4160</v>
      </c>
      <c r="B2348" s="8" t="s">
        <v>4161</v>
      </c>
      <c r="C2348" s="8" t="s">
        <v>18</v>
      </c>
      <c r="D2348" s="8" t="s">
        <v>18</v>
      </c>
      <c r="E2348" s="8" t="s">
        <v>19</v>
      </c>
      <c r="F2348" s="8" t="s">
        <v>20</v>
      </c>
      <c r="G2348" s="8" t="s">
        <v>21</v>
      </c>
      <c r="H2348" s="9"/>
      <c r="I2348" s="9"/>
      <c r="J2348" s="10">
        <f t="shared" ref="J2348:M2348" si="1396">ifs(OR($H2348="R",$I2348="N"),"N/A",OR(C2348="A",C2348="B",C2348="C",C2348="U"),3,TRUE,"FLAG")</f>
        <v>3</v>
      </c>
      <c r="K2348" s="10">
        <f t="shared" si="1396"/>
        <v>3</v>
      </c>
      <c r="L2348" s="10">
        <f t="shared" si="1396"/>
        <v>3</v>
      </c>
      <c r="M2348" s="10" t="str">
        <f t="shared" si="1396"/>
        <v>FLAG</v>
      </c>
      <c r="N2348" s="10" t="str">
        <f t="shared" si="2"/>
        <v>39-1103 - Physically Disabled Persons; Unlawful to interfere with rights</v>
      </c>
      <c r="O2348" s="10" t="str">
        <f t="shared" si="3"/>
        <v>Physically Disabled Persons</v>
      </c>
    </row>
    <row r="2349">
      <c r="A2349" s="7" t="s">
        <v>4162</v>
      </c>
      <c r="B2349" s="8" t="s">
        <v>4163</v>
      </c>
      <c r="C2349" s="8" t="s">
        <v>28</v>
      </c>
      <c r="D2349" s="8" t="s">
        <v>19</v>
      </c>
      <c r="E2349" s="8" t="s">
        <v>19</v>
      </c>
      <c r="F2349" s="8" t="s">
        <v>20</v>
      </c>
      <c r="G2349" s="8" t="s">
        <v>21</v>
      </c>
      <c r="H2349" s="9"/>
      <c r="I2349" s="9"/>
      <c r="J2349" s="10">
        <f t="shared" ref="J2349:M2349" si="1397">ifs(OR($H2349="R",$I2349="N"),"N/A",OR(C2349="A",C2349="B",C2349="C",C2349="U"),3,TRUE,"FLAG")</f>
        <v>3</v>
      </c>
      <c r="K2349" s="10">
        <f t="shared" si="1397"/>
        <v>3</v>
      </c>
      <c r="L2349" s="10">
        <f t="shared" si="1397"/>
        <v>3</v>
      </c>
      <c r="M2349" s="10" t="str">
        <f t="shared" si="1397"/>
        <v>FLAG</v>
      </c>
      <c r="N2349" s="10" t="str">
        <f t="shared" si="2"/>
        <v>65-28a06(a) - Physician Assistant Licensure Act; Practice as a physician assistant without license</v>
      </c>
      <c r="O2349" s="10" t="str">
        <f t="shared" si="3"/>
        <v>Physician Assistant Licensure Act</v>
      </c>
    </row>
    <row r="2350">
      <c r="A2350" s="7" t="s">
        <v>4164</v>
      </c>
      <c r="B2350" s="8" t="s">
        <v>4165</v>
      </c>
      <c r="C2350" s="8" t="s">
        <v>28</v>
      </c>
      <c r="D2350" s="8" t="s">
        <v>19</v>
      </c>
      <c r="E2350" s="8" t="s">
        <v>19</v>
      </c>
      <c r="F2350" s="8" t="s">
        <v>20</v>
      </c>
      <c r="G2350" s="8" t="s">
        <v>21</v>
      </c>
      <c r="H2350" s="9"/>
      <c r="I2350" s="9"/>
      <c r="J2350" s="10">
        <f t="shared" ref="J2350:M2350" si="1398">ifs(OR($H2350="R",$I2350="N"),"N/A",OR(C2350="A",C2350="B",C2350="C",C2350="U"),3,TRUE,"FLAG")</f>
        <v>3</v>
      </c>
      <c r="K2350" s="10">
        <f t="shared" si="1398"/>
        <v>3</v>
      </c>
      <c r="L2350" s="10">
        <f t="shared" si="1398"/>
        <v>3</v>
      </c>
      <c r="M2350" s="10" t="str">
        <f t="shared" si="1398"/>
        <v>FLAG</v>
      </c>
      <c r="N2350" s="10" t="str">
        <f t="shared" si="2"/>
        <v>65-28a06(b) - Physician Assistant Licensure Act; Represent oneself as a physician assistant without such license</v>
      </c>
      <c r="O2350" s="10" t="str">
        <f t="shared" si="3"/>
        <v>Physician Assistant Licensure Act</v>
      </c>
    </row>
    <row r="2351">
      <c r="A2351" s="7" t="s">
        <v>4166</v>
      </c>
      <c r="B2351" s="8" t="s">
        <v>4167</v>
      </c>
      <c r="C2351" s="8" t="s">
        <v>28</v>
      </c>
      <c r="D2351" s="8" t="s">
        <v>19</v>
      </c>
      <c r="E2351" s="8" t="s">
        <v>19</v>
      </c>
      <c r="F2351" s="8" t="s">
        <v>20</v>
      </c>
      <c r="G2351" s="8" t="s">
        <v>21</v>
      </c>
      <c r="H2351" s="9"/>
      <c r="I2351" s="9"/>
      <c r="J2351" s="10">
        <f t="shared" ref="J2351:M2351" si="1399">ifs(OR($H2351="R",$I2351="N"),"N/A",OR(C2351="A",C2351="B",C2351="C",C2351="U"),3,TRUE,"FLAG")</f>
        <v>3</v>
      </c>
      <c r="K2351" s="10">
        <f t="shared" si="1399"/>
        <v>3</v>
      </c>
      <c r="L2351" s="10">
        <f t="shared" si="1399"/>
        <v>3</v>
      </c>
      <c r="M2351" s="10" t="str">
        <f t="shared" si="1399"/>
        <v>FLAG</v>
      </c>
      <c r="N2351" s="10" t="str">
        <f t="shared" si="2"/>
        <v>65-28a14(a) - Physician Assistant Licensure Act; Violation of the act</v>
      </c>
      <c r="O2351" s="10" t="str">
        <f t="shared" si="3"/>
        <v>Physician Assistant Licensure Act</v>
      </c>
    </row>
    <row r="2352">
      <c r="A2352" s="7" t="s">
        <v>4168</v>
      </c>
      <c r="B2352" s="8" t="s">
        <v>4169</v>
      </c>
      <c r="C2352" s="8" t="s">
        <v>18</v>
      </c>
      <c r="D2352" s="8" t="s">
        <v>18</v>
      </c>
      <c r="E2352" s="8" t="s">
        <v>19</v>
      </c>
      <c r="F2352" s="8" t="s">
        <v>20</v>
      </c>
      <c r="G2352" s="8" t="s">
        <v>21</v>
      </c>
      <c r="H2352" s="9"/>
      <c r="I2352" s="9"/>
      <c r="J2352" s="10">
        <f t="shared" ref="J2352:M2352" si="1400">ifs(OR($H2352="R",$I2352="N"),"N/A",OR(C2352="A",C2352="B",C2352="C",C2352="U"),3,TRUE,"FLAG")</f>
        <v>3</v>
      </c>
      <c r="K2352" s="10">
        <f t="shared" si="1400"/>
        <v>3</v>
      </c>
      <c r="L2352" s="10">
        <f t="shared" si="1400"/>
        <v>3</v>
      </c>
      <c r="M2352" s="10" t="str">
        <f t="shared" si="1400"/>
        <v>FLAG</v>
      </c>
      <c r="N2352" s="10" t="str">
        <f t="shared" si="2"/>
        <v>19-2953 - Planning and Zoning; Penalty for any violation of act</v>
      </c>
      <c r="O2352" s="10" t="str">
        <f t="shared" si="3"/>
        <v>Planning and Zoning</v>
      </c>
    </row>
    <row r="2353">
      <c r="A2353" s="7" t="s">
        <v>4170</v>
      </c>
      <c r="B2353" s="8" t="s">
        <v>4171</v>
      </c>
      <c r="C2353" s="8" t="s">
        <v>18</v>
      </c>
      <c r="D2353" s="8" t="s">
        <v>18</v>
      </c>
      <c r="E2353" s="8" t="s">
        <v>19</v>
      </c>
      <c r="F2353" s="8" t="s">
        <v>20</v>
      </c>
      <c r="G2353" s="8" t="s">
        <v>21</v>
      </c>
      <c r="H2353" s="9"/>
      <c r="I2353" s="9"/>
      <c r="J2353" s="10">
        <f t="shared" ref="J2353:M2353" si="1401">ifs(OR($H2353="R",$I2353="N"),"N/A",OR(C2353="A",C2353="B",C2353="C",C2353="U"),3,TRUE,"FLAG")</f>
        <v>3</v>
      </c>
      <c r="K2353" s="10">
        <f t="shared" si="1401"/>
        <v>3</v>
      </c>
      <c r="L2353" s="10">
        <f t="shared" si="1401"/>
        <v>3</v>
      </c>
      <c r="M2353" s="10" t="str">
        <f t="shared" si="1401"/>
        <v>FLAG</v>
      </c>
      <c r="N2353" s="10" t="str">
        <f t="shared" si="2"/>
        <v>2-2124(a)(5) - Plant Pests; Engage in business as a live plant dealer and use an invalid, suspended or revoked certificate of inspection, permit or live plant dealer license</v>
      </c>
      <c r="O2353" s="10" t="str">
        <f t="shared" si="3"/>
        <v>Plant Pests</v>
      </c>
    </row>
    <row r="2354">
      <c r="A2354" s="7" t="s">
        <v>4172</v>
      </c>
      <c r="B2354" s="8" t="s">
        <v>4173</v>
      </c>
      <c r="C2354" s="8" t="s">
        <v>18</v>
      </c>
      <c r="D2354" s="8" t="s">
        <v>18</v>
      </c>
      <c r="E2354" s="8" t="s">
        <v>19</v>
      </c>
      <c r="F2354" s="8" t="s">
        <v>20</v>
      </c>
      <c r="G2354" s="8" t="s">
        <v>21</v>
      </c>
      <c r="H2354" s="9"/>
      <c r="I2354" s="9"/>
      <c r="J2354" s="10">
        <f t="shared" ref="J2354:M2354" si="1402">ifs(OR($H2354="R",$I2354="N"),"N/A",OR(C2354="A",C2354="B",C2354="C",C2354="U"),3,TRUE,"FLAG")</f>
        <v>3</v>
      </c>
      <c r="K2354" s="10">
        <f t="shared" si="1402"/>
        <v>3</v>
      </c>
      <c r="L2354" s="10">
        <f t="shared" si="1402"/>
        <v>3</v>
      </c>
      <c r="M2354" s="10" t="str">
        <f t="shared" si="1402"/>
        <v>FLAG</v>
      </c>
      <c r="N2354" s="10" t="str">
        <f t="shared" si="2"/>
        <v>2-2124(a)(3) - Plant Pests; Fail to carry out the treatment or destruction of any plant pest or regulated article</v>
      </c>
      <c r="O2354" s="10" t="str">
        <f t="shared" si="3"/>
        <v>Plant Pests</v>
      </c>
    </row>
    <row r="2355">
      <c r="A2355" s="7" t="s">
        <v>4174</v>
      </c>
      <c r="B2355" s="8" t="s">
        <v>4175</v>
      </c>
      <c r="C2355" s="8" t="s">
        <v>18</v>
      </c>
      <c r="D2355" s="8" t="s">
        <v>18</v>
      </c>
      <c r="E2355" s="8" t="s">
        <v>19</v>
      </c>
      <c r="F2355" s="8" t="s">
        <v>20</v>
      </c>
      <c r="G2355" s="8" t="s">
        <v>21</v>
      </c>
      <c r="H2355" s="9"/>
      <c r="I2355" s="9"/>
      <c r="J2355" s="10">
        <f t="shared" ref="J2355:M2355" si="1403">ifs(OR($H2355="R",$I2355="N"),"N/A",OR(C2355="A",C2355="B",C2355="C",C2355="U"),3,TRUE,"FLAG")</f>
        <v>3</v>
      </c>
      <c r="K2355" s="10">
        <f t="shared" si="1403"/>
        <v>3</v>
      </c>
      <c r="L2355" s="10">
        <f t="shared" si="1403"/>
        <v>3</v>
      </c>
      <c r="M2355" s="10" t="str">
        <f t="shared" si="1403"/>
        <v>FLAG</v>
      </c>
      <c r="N2355" s="10" t="str">
        <f t="shared" si="2"/>
        <v>2-2124(a)(6) - Plant Pests; Failure to comply with provisions of this act, or other rules and regulations</v>
      </c>
      <c r="O2355" s="10" t="str">
        <f t="shared" si="3"/>
        <v>Plant Pests</v>
      </c>
    </row>
    <row r="2356">
      <c r="A2356" s="7" t="s">
        <v>4176</v>
      </c>
      <c r="B2356" s="8" t="s">
        <v>4177</v>
      </c>
      <c r="C2356" s="8" t="s">
        <v>18</v>
      </c>
      <c r="D2356" s="8" t="s">
        <v>18</v>
      </c>
      <c r="E2356" s="8" t="s">
        <v>19</v>
      </c>
      <c r="F2356" s="8" t="s">
        <v>20</v>
      </c>
      <c r="G2356" s="8" t="s">
        <v>21</v>
      </c>
      <c r="H2356" s="9"/>
      <c r="I2356" s="9"/>
      <c r="J2356" s="10">
        <f t="shared" ref="J2356:M2356" si="1404">ifs(OR($H2356="R",$I2356="N"),"N/A",OR(C2356="A",C2356="B",C2356="C",C2356="U"),3,TRUE,"FLAG")</f>
        <v>3</v>
      </c>
      <c r="K2356" s="10">
        <f t="shared" si="1404"/>
        <v>3</v>
      </c>
      <c r="L2356" s="10">
        <f t="shared" si="1404"/>
        <v>3</v>
      </c>
      <c r="M2356" s="10" t="str">
        <f t="shared" si="1404"/>
        <v>FLAG</v>
      </c>
      <c r="N2356" s="10" t="str">
        <f t="shared" si="2"/>
        <v>2-2124(a)(2) - Plant Pests; Hinder or prevent the secretary from carrying out duties under this act</v>
      </c>
      <c r="O2356" s="10" t="str">
        <f t="shared" si="3"/>
        <v>Plant Pests</v>
      </c>
    </row>
    <row r="2357">
      <c r="A2357" s="7" t="s">
        <v>4178</v>
      </c>
      <c r="B2357" s="8" t="s">
        <v>4179</v>
      </c>
      <c r="C2357" s="8" t="s">
        <v>18</v>
      </c>
      <c r="D2357" s="8" t="s">
        <v>18</v>
      </c>
      <c r="E2357" s="8" t="s">
        <v>19</v>
      </c>
      <c r="F2357" s="8" t="s">
        <v>20</v>
      </c>
      <c r="G2357" s="8" t="s">
        <v>21</v>
      </c>
      <c r="H2357" s="9"/>
      <c r="I2357" s="9"/>
      <c r="J2357" s="10">
        <f t="shared" ref="J2357:M2357" si="1405">ifs(OR($H2357="R",$I2357="N"),"N/A",OR(C2357="A",C2357="B",C2357="C",C2357="U"),3,TRUE,"FLAG")</f>
        <v>3</v>
      </c>
      <c r="K2357" s="10">
        <f t="shared" si="1405"/>
        <v>3</v>
      </c>
      <c r="L2357" s="10">
        <f t="shared" si="1405"/>
        <v>3</v>
      </c>
      <c r="M2357" s="10" t="str">
        <f t="shared" si="1405"/>
        <v>FLAG</v>
      </c>
      <c r="N2357" s="10" t="str">
        <f t="shared" si="2"/>
        <v>2-2124(a)(7) - Plant Pests; Knowingly move any regulated article into or within KS from a quarantined area if not treated or handled as per the requirements of said quarantine at the point of origin of such article</v>
      </c>
      <c r="O2357" s="10" t="str">
        <f t="shared" si="3"/>
        <v>Plant Pests</v>
      </c>
    </row>
    <row r="2358">
      <c r="A2358" s="7" t="s">
        <v>4180</v>
      </c>
      <c r="B2358" s="8" t="s">
        <v>4181</v>
      </c>
      <c r="C2358" s="8" t="s">
        <v>18</v>
      </c>
      <c r="D2358" s="8" t="s">
        <v>18</v>
      </c>
      <c r="E2358" s="8" t="s">
        <v>19</v>
      </c>
      <c r="F2358" s="8" t="s">
        <v>20</v>
      </c>
      <c r="G2358" s="8" t="s">
        <v>21</v>
      </c>
      <c r="H2358" s="9"/>
      <c r="I2358" s="9"/>
      <c r="J2358" s="10">
        <f t="shared" ref="J2358:M2358" si="1406">ifs(OR($H2358="R",$I2358="N"),"N/A",OR(C2358="A",C2358="B",C2358="C",C2358="U"),3,TRUE,"FLAG")</f>
        <v>3</v>
      </c>
      <c r="K2358" s="10">
        <f t="shared" si="1406"/>
        <v>3</v>
      </c>
      <c r="L2358" s="10">
        <f t="shared" si="1406"/>
        <v>3</v>
      </c>
      <c r="M2358" s="10" t="str">
        <f t="shared" si="1406"/>
        <v>FLAG</v>
      </c>
      <c r="N2358" s="10" t="str">
        <f t="shared" si="2"/>
        <v>2-2124(a)(1) - Plant Pests; Sell, barter, offer for sale, or move, transport, deliver, ship or offer for shipment into or within this state any plant pests in any living stage without approval for such shipment from the secretary</v>
      </c>
      <c r="O2358" s="10" t="str">
        <f t="shared" si="3"/>
        <v>Plant Pests</v>
      </c>
    </row>
    <row r="2359">
      <c r="A2359" s="7" t="s">
        <v>4182</v>
      </c>
      <c r="B2359" s="8" t="s">
        <v>4183</v>
      </c>
      <c r="C2359" s="8" t="s">
        <v>18</v>
      </c>
      <c r="D2359" s="8" t="s">
        <v>18</v>
      </c>
      <c r="E2359" s="8" t="s">
        <v>19</v>
      </c>
      <c r="F2359" s="8" t="s">
        <v>20</v>
      </c>
      <c r="G2359" s="8" t="s">
        <v>21</v>
      </c>
      <c r="H2359" s="9"/>
      <c r="I2359" s="9"/>
      <c r="J2359" s="10">
        <f t="shared" ref="J2359:M2359" si="1407">ifs(OR($H2359="R",$I2359="N"),"N/A",OR(C2359="A",C2359="B",C2359="C",C2359="U"),3,TRUE,"FLAG")</f>
        <v>3</v>
      </c>
      <c r="K2359" s="10">
        <f t="shared" si="1407"/>
        <v>3</v>
      </c>
      <c r="L2359" s="10">
        <f t="shared" si="1407"/>
        <v>3</v>
      </c>
      <c r="M2359" s="10" t="str">
        <f t="shared" si="1407"/>
        <v>FLAG</v>
      </c>
      <c r="N2359" s="10" t="str">
        <f t="shared" si="2"/>
        <v>2-2124(a)(4) - Plant Pests; Sell, transport, deliver, distribute, offer or expose for sale noncompliant live plants</v>
      </c>
      <c r="O2359" s="10" t="str">
        <f t="shared" si="3"/>
        <v>Plant Pests</v>
      </c>
    </row>
    <row r="2360">
      <c r="A2360" s="7" t="s">
        <v>4184</v>
      </c>
      <c r="B2360" s="12">
        <v>81482.0</v>
      </c>
      <c r="C2360" s="8" t="s">
        <v>18</v>
      </c>
      <c r="D2360" s="8" t="s">
        <v>18</v>
      </c>
      <c r="E2360" s="8" t="s">
        <v>19</v>
      </c>
      <c r="F2360" s="8" t="s">
        <v>20</v>
      </c>
      <c r="G2360" s="8" t="s">
        <v>21</v>
      </c>
      <c r="H2360" s="9"/>
      <c r="I2360" s="9"/>
      <c r="J2360" s="10">
        <f t="shared" ref="J2360:M2360" si="1408">ifs(OR($H2360="R",$I2360="N"),"N/A",OR(C2360="A",C2360="B",C2360="C",C2360="U"),3,TRUE,"FLAG")</f>
        <v>3</v>
      </c>
      <c r="K2360" s="10">
        <f t="shared" si="1408"/>
        <v>3</v>
      </c>
      <c r="L2360" s="10">
        <f t="shared" si="1408"/>
        <v>3</v>
      </c>
      <c r="M2360" s="10" t="str">
        <f t="shared" si="1408"/>
        <v>FLAG</v>
      </c>
      <c r="N2360" s="10" t="str">
        <f t="shared" si="2"/>
        <v>81482 - Plant Pests; Unlawful to sell, deliver, transport or ship live plants or other regulated articles not in compliance with act</v>
      </c>
      <c r="O2360" s="10" t="str">
        <f t="shared" si="3"/>
        <v>Plant Pests</v>
      </c>
    </row>
    <row r="2361">
      <c r="A2361" s="7" t="s">
        <v>4185</v>
      </c>
      <c r="B2361" s="8" t="s">
        <v>4186</v>
      </c>
      <c r="C2361" s="8" t="s">
        <v>18</v>
      </c>
      <c r="D2361" s="8" t="s">
        <v>18</v>
      </c>
      <c r="E2361" s="8" t="s">
        <v>19</v>
      </c>
      <c r="F2361" s="8" t="s">
        <v>20</v>
      </c>
      <c r="G2361" s="8" t="s">
        <v>21</v>
      </c>
      <c r="H2361" s="9"/>
      <c r="I2361" s="9"/>
      <c r="J2361" s="10">
        <f t="shared" ref="J2361:M2361" si="1409">ifs(OR($H2361="R",$I2361="N"),"N/A",OR(C2361="A",C2361="B",C2361="C",C2361="U"),3,TRUE,"FLAG")</f>
        <v>3</v>
      </c>
      <c r="K2361" s="10">
        <f t="shared" si="1409"/>
        <v>3</v>
      </c>
      <c r="L2361" s="10">
        <f t="shared" si="1409"/>
        <v>3</v>
      </c>
      <c r="M2361" s="10" t="str">
        <f t="shared" si="1409"/>
        <v>FLAG</v>
      </c>
      <c r="N2361" s="10" t="str">
        <f t="shared" si="2"/>
        <v>65-2007 - Podiatrist; Violating podiatry act</v>
      </c>
      <c r="O2361" s="10" t="str">
        <f t="shared" si="3"/>
        <v>Podiatrist</v>
      </c>
    </row>
    <row r="2362">
      <c r="A2362" s="7" t="s">
        <v>4187</v>
      </c>
      <c r="B2362" s="8" t="s">
        <v>4188</v>
      </c>
      <c r="C2362" s="8" t="s">
        <v>28</v>
      </c>
      <c r="D2362" s="8" t="s">
        <v>19</v>
      </c>
      <c r="E2362" s="8" t="s">
        <v>19</v>
      </c>
      <c r="F2362" s="8" t="s">
        <v>20</v>
      </c>
      <c r="G2362" s="8" t="s">
        <v>21</v>
      </c>
      <c r="H2362" s="9"/>
      <c r="I2362" s="9"/>
      <c r="J2362" s="10">
        <f t="shared" ref="J2362:M2362" si="1410">ifs(OR($H2362="R",$I2362="N"),"N/A",OR(C2362="A",C2362="B",C2362="C",C2362="U"),3,TRUE,"FLAG")</f>
        <v>3</v>
      </c>
      <c r="K2362" s="10">
        <f t="shared" si="1410"/>
        <v>3</v>
      </c>
      <c r="L2362" s="10">
        <f t="shared" si="1410"/>
        <v>3</v>
      </c>
      <c r="M2362" s="10" t="str">
        <f t="shared" si="1410"/>
        <v>FLAG</v>
      </c>
      <c r="N2362" s="10" t="str">
        <f t="shared" si="2"/>
        <v>21-6408(a) - Possession of Gambling Device</v>
      </c>
      <c r="O2362" s="10" t="str">
        <f t="shared" si="3"/>
        <v>Possession of Gambling Device</v>
      </c>
    </row>
    <row r="2363">
      <c r="A2363" s="7" t="s">
        <v>4189</v>
      </c>
      <c r="B2363" s="8" t="s">
        <v>4190</v>
      </c>
      <c r="C2363" s="8" t="s">
        <v>18</v>
      </c>
      <c r="D2363" s="8" t="s">
        <v>18</v>
      </c>
      <c r="E2363" s="8" t="s">
        <v>19</v>
      </c>
      <c r="F2363" s="8" t="s">
        <v>20</v>
      </c>
      <c r="G2363" s="8" t="s">
        <v>21</v>
      </c>
      <c r="H2363" s="9"/>
      <c r="I2363" s="9"/>
      <c r="J2363" s="10">
        <f t="shared" ref="J2363:M2363" si="1411">ifs(OR($H2363="R",$I2363="N"),"N/A",OR(C2363="A",C2363="B",C2363="C",C2363="U"),3,TRUE,"FLAG")</f>
        <v>3</v>
      </c>
      <c r="K2363" s="10">
        <f t="shared" si="1411"/>
        <v>3</v>
      </c>
      <c r="L2363" s="10">
        <f t="shared" si="1411"/>
        <v>3</v>
      </c>
      <c r="M2363" s="10" t="str">
        <f t="shared" si="1411"/>
        <v>FLAG</v>
      </c>
      <c r="N2363" s="10" t="str">
        <f t="shared" si="2"/>
        <v>2-916 - Poultry Disease Control Act; Penalty for violation of act, K.S.A. 2-908 to 2-915</v>
      </c>
      <c r="O2363" s="10" t="str">
        <f t="shared" si="3"/>
        <v>Poultry Disease Control Act</v>
      </c>
    </row>
    <row r="2364">
      <c r="A2364" s="7" t="s">
        <v>4191</v>
      </c>
      <c r="B2364" s="8" t="s">
        <v>4192</v>
      </c>
      <c r="C2364" s="8">
        <v>7.0</v>
      </c>
      <c r="D2364" s="8">
        <v>9.0</v>
      </c>
      <c r="E2364" s="8">
        <v>9.0</v>
      </c>
      <c r="F2364" s="8">
        <v>10.0</v>
      </c>
      <c r="G2364" s="8" t="s">
        <v>21</v>
      </c>
      <c r="H2364" s="9"/>
      <c r="I2364" s="9"/>
      <c r="N2364" s="10" t="str">
        <f t="shared" si="2"/>
        <v>21-6004(a) - Presenting False Claim; With intent to defraud; $25,000 or more</v>
      </c>
      <c r="O2364" s="10" t="str">
        <f t="shared" si="3"/>
        <v>Presenting False Claim</v>
      </c>
    </row>
    <row r="2365">
      <c r="A2365" s="7" t="s">
        <v>4193</v>
      </c>
      <c r="B2365" s="8" t="s">
        <v>4192</v>
      </c>
      <c r="C2365" s="8">
        <v>9.0</v>
      </c>
      <c r="D2365" s="8">
        <v>10.0</v>
      </c>
      <c r="E2365" s="8">
        <v>10.0</v>
      </c>
      <c r="F2365" s="8">
        <v>10.0</v>
      </c>
      <c r="G2365" s="8" t="s">
        <v>21</v>
      </c>
      <c r="H2365" s="9"/>
      <c r="I2365" s="9"/>
      <c r="N2365" s="10" t="str">
        <f t="shared" si="2"/>
        <v>21-6004(a) - Presenting False Claim; With intent to defraud; At least $1,000 but less than $25,000</v>
      </c>
      <c r="O2365" s="10" t="str">
        <f t="shared" si="3"/>
        <v>Presenting False Claim</v>
      </c>
    </row>
    <row r="2366">
      <c r="A2366" s="7" t="s">
        <v>4194</v>
      </c>
      <c r="B2366" s="8" t="s">
        <v>4192</v>
      </c>
      <c r="C2366" s="8" t="s">
        <v>27</v>
      </c>
      <c r="D2366" s="8" t="s">
        <v>28</v>
      </c>
      <c r="E2366" s="8" t="s">
        <v>19</v>
      </c>
      <c r="F2366" s="8" t="s">
        <v>20</v>
      </c>
      <c r="G2366" s="8" t="s">
        <v>21</v>
      </c>
      <c r="H2366" s="9"/>
      <c r="I2366" s="9"/>
      <c r="J2366" s="10">
        <f t="shared" ref="J2366:M2366" si="1412">ifs(OR($H2366="R",$I2366="N"),"N/A",OR(C2366="A",C2366="B",C2366="C",C2366="U"),3,TRUE,"FLAG")</f>
        <v>3</v>
      </c>
      <c r="K2366" s="10">
        <f t="shared" si="1412"/>
        <v>3</v>
      </c>
      <c r="L2366" s="10">
        <f t="shared" si="1412"/>
        <v>3</v>
      </c>
      <c r="M2366" s="10" t="str">
        <f t="shared" si="1412"/>
        <v>FLAG</v>
      </c>
      <c r="N2366" s="10" t="str">
        <f t="shared" si="2"/>
        <v>21-6004(a) - Presenting False Claim; With Intent to Defraud; claim less than $1,000</v>
      </c>
      <c r="O2366" s="10" t="str">
        <f t="shared" si="3"/>
        <v>Presenting False Claim</v>
      </c>
    </row>
    <row r="2367">
      <c r="A2367" s="7" t="s">
        <v>4195</v>
      </c>
      <c r="B2367" s="8" t="s">
        <v>4196</v>
      </c>
      <c r="C2367" s="8" t="s">
        <v>19</v>
      </c>
      <c r="D2367" s="8" t="s">
        <v>19</v>
      </c>
      <c r="E2367" s="8" t="s">
        <v>19</v>
      </c>
      <c r="F2367" s="8" t="s">
        <v>20</v>
      </c>
      <c r="G2367" s="8" t="s">
        <v>21</v>
      </c>
      <c r="H2367" s="9"/>
      <c r="I2367" s="9"/>
      <c r="J2367" s="10">
        <f t="shared" ref="J2367:M2367" si="1413">ifs(OR($H2367="R",$I2367="N"),"N/A",OR(C2367="A",C2367="B",C2367="C",C2367="U"),3,TRUE,"FLAG")</f>
        <v>3</v>
      </c>
      <c r="K2367" s="10">
        <f t="shared" si="1413"/>
        <v>3</v>
      </c>
      <c r="L2367" s="10">
        <f t="shared" si="1413"/>
        <v>3</v>
      </c>
      <c r="M2367" s="10" t="str">
        <f t="shared" si="1413"/>
        <v>FLAG</v>
      </c>
      <c r="N2367" s="10" t="str">
        <f t="shared" si="2"/>
        <v>74-32,177(a)(3) - Private &amp; Out-of-State Postsecondary Educational Institution Act; Accept contracts or enrollment applications from a representative who is not registered</v>
      </c>
      <c r="O2367" s="10" t="str">
        <f t="shared" si="3"/>
        <v>Private &amp; Out-of-State Postsecondary Educational Institution Act</v>
      </c>
    </row>
    <row r="2368">
      <c r="A2368" s="7" t="s">
        <v>4197</v>
      </c>
      <c r="B2368" s="8" t="s">
        <v>4198</v>
      </c>
      <c r="C2368" s="8" t="s">
        <v>19</v>
      </c>
      <c r="D2368" s="8" t="s">
        <v>19</v>
      </c>
      <c r="E2368" s="8" t="s">
        <v>19</v>
      </c>
      <c r="F2368" s="8" t="s">
        <v>20</v>
      </c>
      <c r="G2368" s="8" t="s">
        <v>21</v>
      </c>
      <c r="H2368" s="9"/>
      <c r="I2368" s="9"/>
      <c r="J2368" s="10">
        <f t="shared" ref="J2368:M2368" si="1414">ifs(OR($H2368="R",$I2368="N"),"N/A",OR(C2368="A",C2368="B",C2368="C",C2368="U"),3,TRUE,"FLAG")</f>
        <v>3</v>
      </c>
      <c r="K2368" s="10">
        <f t="shared" si="1414"/>
        <v>3</v>
      </c>
      <c r="L2368" s="10">
        <f t="shared" si="1414"/>
        <v>3</v>
      </c>
      <c r="M2368" s="10" t="str">
        <f t="shared" si="1414"/>
        <v>FLAG</v>
      </c>
      <c r="N2368" s="10" t="str">
        <f t="shared" si="2"/>
        <v>74-32,177(a)(1) - Private &amp; Out-of-State Postsecondary Educational Institution Act; Operate an institution without a certificate of approval</v>
      </c>
      <c r="O2368" s="10" t="str">
        <f t="shared" si="3"/>
        <v>Private &amp; Out-of-State Postsecondary Educational Institution Act</v>
      </c>
    </row>
    <row r="2369">
      <c r="A2369" s="7" t="s">
        <v>4199</v>
      </c>
      <c r="B2369" s="8" t="s">
        <v>4200</v>
      </c>
      <c r="C2369" s="8" t="s">
        <v>19</v>
      </c>
      <c r="D2369" s="8" t="s">
        <v>19</v>
      </c>
      <c r="E2369" s="8" t="s">
        <v>19</v>
      </c>
      <c r="F2369" s="8" t="s">
        <v>20</v>
      </c>
      <c r="G2369" s="8" t="s">
        <v>21</v>
      </c>
      <c r="H2369" s="9"/>
      <c r="I2369" s="9"/>
      <c r="J2369" s="10">
        <f t="shared" ref="J2369:M2369" si="1415">ifs(OR($H2369="R",$I2369="N"),"N/A",OR(C2369="A",C2369="B",C2369="C",C2369="U"),3,TRUE,"FLAG")</f>
        <v>3</v>
      </c>
      <c r="K2369" s="10">
        <f t="shared" si="1415"/>
        <v>3</v>
      </c>
      <c r="L2369" s="10">
        <f t="shared" si="1415"/>
        <v>3</v>
      </c>
      <c r="M2369" s="10" t="str">
        <f t="shared" si="1415"/>
        <v>FLAG</v>
      </c>
      <c r="N2369" s="10" t="str">
        <f t="shared" si="2"/>
        <v>74-32,177(a)(2) - Private &amp; Out-of-State Postsecondary Educational Institution Act; Solicit prospective students without being registered as required by this act</v>
      </c>
      <c r="O2369" s="10" t="str">
        <f t="shared" si="3"/>
        <v>Private &amp; Out-of-State Postsecondary Educational Institution Act</v>
      </c>
    </row>
    <row r="2370">
      <c r="A2370" s="7" t="s">
        <v>4201</v>
      </c>
      <c r="B2370" s="8" t="s">
        <v>4202</v>
      </c>
      <c r="C2370" s="8" t="s">
        <v>19</v>
      </c>
      <c r="D2370" s="8" t="s">
        <v>19</v>
      </c>
      <c r="E2370" s="8" t="s">
        <v>19</v>
      </c>
      <c r="F2370" s="8" t="s">
        <v>20</v>
      </c>
      <c r="G2370" s="8" t="s">
        <v>21</v>
      </c>
      <c r="H2370" s="9"/>
      <c r="I2370" s="9"/>
      <c r="J2370" s="10">
        <f t="shared" ref="J2370:M2370" si="1416">ifs(OR($H2370="R",$I2370="N"),"N/A",OR(C2370="A",C2370="B",C2370="C",C2370="U"),3,TRUE,"FLAG")</f>
        <v>3</v>
      </c>
      <c r="K2370" s="10">
        <f t="shared" si="1416"/>
        <v>3</v>
      </c>
      <c r="L2370" s="10">
        <f t="shared" si="1416"/>
        <v>3</v>
      </c>
      <c r="M2370" s="10" t="str">
        <f t="shared" si="1416"/>
        <v>FLAG</v>
      </c>
      <c r="N2370" s="10" t="str">
        <f t="shared" si="2"/>
        <v>74-32,177(a)(5) - Private &amp; Out-of-State Postsecondary Educational Institution Act; Unauthorized use of the term "accredited" in the name or advertisement of an institution</v>
      </c>
      <c r="O2370" s="10" t="str">
        <f t="shared" si="3"/>
        <v>Private &amp; Out-of-State Postsecondary Educational Institution Act</v>
      </c>
    </row>
    <row r="2371">
      <c r="A2371" s="7" t="s">
        <v>4203</v>
      </c>
      <c r="B2371" s="8" t="s">
        <v>4204</v>
      </c>
      <c r="C2371" s="8" t="s">
        <v>19</v>
      </c>
      <c r="D2371" s="8" t="s">
        <v>19</v>
      </c>
      <c r="E2371" s="8" t="s">
        <v>19</v>
      </c>
      <c r="F2371" s="8" t="s">
        <v>20</v>
      </c>
      <c r="G2371" s="8" t="s">
        <v>21</v>
      </c>
      <c r="H2371" s="9"/>
      <c r="I2371" s="9"/>
      <c r="J2371" s="10">
        <f t="shared" ref="J2371:M2371" si="1417">ifs(OR($H2371="R",$I2371="N"),"N/A",OR(C2371="A",C2371="B",C2371="C",C2371="U"),3,TRUE,"FLAG")</f>
        <v>3</v>
      </c>
      <c r="K2371" s="10">
        <f t="shared" si="1417"/>
        <v>3</v>
      </c>
      <c r="L2371" s="10">
        <f t="shared" si="1417"/>
        <v>3</v>
      </c>
      <c r="M2371" s="10" t="str">
        <f t="shared" si="1417"/>
        <v>FLAG</v>
      </c>
      <c r="N2371" s="10" t="str">
        <f t="shared" si="2"/>
        <v>74-32,177(a)(6) - Private &amp; Out-of-State Postsecondary Educational Institution Act; Unauthorized use of the term "university" in the name or advertisement of an institution</v>
      </c>
      <c r="O2371" s="10" t="str">
        <f t="shared" si="3"/>
        <v>Private &amp; Out-of-State Postsecondary Educational Institution Act</v>
      </c>
    </row>
    <row r="2372">
      <c r="A2372" s="7" t="s">
        <v>4205</v>
      </c>
      <c r="B2372" s="8" t="s">
        <v>4206</v>
      </c>
      <c r="C2372" s="8" t="s">
        <v>19</v>
      </c>
      <c r="D2372" s="8" t="s">
        <v>19</v>
      </c>
      <c r="E2372" s="8" t="s">
        <v>19</v>
      </c>
      <c r="F2372" s="8" t="s">
        <v>20</v>
      </c>
      <c r="G2372" s="8" t="s">
        <v>21</v>
      </c>
      <c r="H2372" s="9"/>
      <c r="I2372" s="9"/>
      <c r="J2372" s="10">
        <f t="shared" ref="J2372:M2372" si="1418">ifs(OR($H2372="R",$I2372="N"),"N/A",OR(C2372="A",C2372="B",C2372="C",C2372="U"),3,TRUE,"FLAG")</f>
        <v>3</v>
      </c>
      <c r="K2372" s="10">
        <f t="shared" si="1418"/>
        <v>3</v>
      </c>
      <c r="L2372" s="10">
        <f t="shared" si="1418"/>
        <v>3</v>
      </c>
      <c r="M2372" s="10" t="str">
        <f t="shared" si="1418"/>
        <v>FLAG</v>
      </c>
      <c r="N2372" s="10" t="str">
        <f t="shared" si="2"/>
        <v>74-32,177(a)(4) - Private &amp; Out-of-State Postsecondary Educational Institution Act; Use fraud or misrepresentation in advertising or in procuring enrollment of a student</v>
      </c>
      <c r="O2372" s="10" t="str">
        <f t="shared" si="3"/>
        <v>Private &amp; Out-of-State Postsecondary Educational Institution Act</v>
      </c>
    </row>
    <row r="2373">
      <c r="A2373" s="7" t="s">
        <v>4207</v>
      </c>
      <c r="B2373" s="8" t="s">
        <v>4208</v>
      </c>
      <c r="C2373" s="8" t="s">
        <v>27</v>
      </c>
      <c r="D2373" s="8" t="s">
        <v>28</v>
      </c>
      <c r="E2373" s="8" t="s">
        <v>19</v>
      </c>
      <c r="F2373" s="8" t="s">
        <v>20</v>
      </c>
      <c r="G2373" s="8" t="s">
        <v>21</v>
      </c>
      <c r="H2373" s="9"/>
      <c r="I2373" s="9"/>
      <c r="J2373" s="10">
        <f t="shared" ref="J2373:M2373" si="1419">ifs(OR($H2373="R",$I2373="N"),"N/A",OR(C2373="A",C2373="B",C2373="C",C2373="U"),3,TRUE,"FLAG")</f>
        <v>3</v>
      </c>
      <c r="K2373" s="10">
        <f t="shared" si="1419"/>
        <v>3</v>
      </c>
      <c r="L2373" s="10">
        <f t="shared" si="1419"/>
        <v>3</v>
      </c>
      <c r="M2373" s="10" t="str">
        <f t="shared" si="1419"/>
        <v>FLAG</v>
      </c>
      <c r="N2373" s="10" t="str">
        <f t="shared" si="2"/>
        <v>75-7b15(e) - Private Investigative or Security Operations; Unreasonably fail to obey subpoena; refuse to be examined or to answer legal or pertinent question as to the character or qualification of applicant or licensee or such's business, business practices and methods or such violations</v>
      </c>
      <c r="O2373" s="10" t="str">
        <f t="shared" si="3"/>
        <v>Private Investigative or Security Operations</v>
      </c>
    </row>
    <row r="2374">
      <c r="A2374" s="7" t="s">
        <v>4209</v>
      </c>
      <c r="B2374" s="8" t="s">
        <v>4210</v>
      </c>
      <c r="C2374" s="8" t="s">
        <v>27</v>
      </c>
      <c r="D2374" s="8" t="s">
        <v>28</v>
      </c>
      <c r="E2374" s="8" t="s">
        <v>19</v>
      </c>
      <c r="F2374" s="8" t="s">
        <v>20</v>
      </c>
      <c r="G2374" s="8" t="s">
        <v>21</v>
      </c>
      <c r="H2374" s="9"/>
      <c r="I2374" s="9"/>
      <c r="J2374" s="10">
        <f t="shared" ref="J2374:M2374" si="1420">ifs(OR($H2374="R",$I2374="N"),"N/A",OR(C2374="A",C2374="B",C2374="C",C2374="U"),3,TRUE,"FLAG")</f>
        <v>3</v>
      </c>
      <c r="K2374" s="10">
        <f t="shared" si="1420"/>
        <v>3</v>
      </c>
      <c r="L2374" s="10">
        <f t="shared" si="1420"/>
        <v>3</v>
      </c>
      <c r="M2374" s="10" t="str">
        <f t="shared" si="1420"/>
        <v>FLAG</v>
      </c>
      <c r="N2374" s="10" t="str">
        <f t="shared" si="2"/>
        <v>21-1801(a) - Prize Fights and Wrestling Matches Prohibited; exception</v>
      </c>
      <c r="O2374" s="10" t="str">
        <f t="shared" si="3"/>
        <v>Prize Fights and Wrestling Matches Prohibited</v>
      </c>
    </row>
    <row r="2375">
      <c r="A2375" s="7" t="s">
        <v>4211</v>
      </c>
      <c r="B2375" s="8" t="s">
        <v>4212</v>
      </c>
      <c r="C2375" s="8" t="s">
        <v>18</v>
      </c>
      <c r="D2375" s="8" t="s">
        <v>18</v>
      </c>
      <c r="E2375" s="8" t="s">
        <v>19</v>
      </c>
      <c r="F2375" s="8" t="s">
        <v>20</v>
      </c>
      <c r="G2375" s="8" t="s">
        <v>21</v>
      </c>
      <c r="H2375" s="9"/>
      <c r="I2375" s="9"/>
      <c r="J2375" s="10">
        <f t="shared" ref="J2375:M2375" si="1421">ifs(OR($H2375="R",$I2375="N"),"N/A",OR(C2375="A",C2375="B",C2375="C",C2375="U"),3,TRUE,"FLAG")</f>
        <v>3</v>
      </c>
      <c r="K2375" s="10">
        <f t="shared" si="1421"/>
        <v>3</v>
      </c>
      <c r="L2375" s="10">
        <f t="shared" si="1421"/>
        <v>3</v>
      </c>
      <c r="M2375" s="10" t="str">
        <f t="shared" si="1421"/>
        <v>FLAG</v>
      </c>
      <c r="N2375" s="10" t="str">
        <f t="shared" si="2"/>
        <v>55-708 - Production &amp; Conservation of Natural Gas; Any violation of act or valid order or rules or regulations of the commission</v>
      </c>
      <c r="O2375" s="10" t="str">
        <f t="shared" si="3"/>
        <v>Production &amp; Conservation of Natural Gas</v>
      </c>
    </row>
    <row r="2376">
      <c r="A2376" s="7" t="s">
        <v>4213</v>
      </c>
      <c r="B2376" s="8" t="s">
        <v>4214</v>
      </c>
      <c r="C2376" s="8" t="s">
        <v>18</v>
      </c>
      <c r="D2376" s="8" t="s">
        <v>18</v>
      </c>
      <c r="E2376" s="8" t="s">
        <v>19</v>
      </c>
      <c r="F2376" s="8" t="s">
        <v>20</v>
      </c>
      <c r="G2376" s="8" t="s">
        <v>21</v>
      </c>
      <c r="H2376" s="9"/>
      <c r="I2376" s="9"/>
      <c r="J2376" s="10">
        <f t="shared" ref="J2376:M2376" si="1422">ifs(OR($H2376="R",$I2376="N"),"N/A",OR(C2376="A",C2376="B",C2376="C",C2376="U"),3,TRUE,"FLAG")</f>
        <v>3</v>
      </c>
      <c r="K2376" s="10">
        <f t="shared" si="1422"/>
        <v>3</v>
      </c>
      <c r="L2376" s="10">
        <f t="shared" si="1422"/>
        <v>3</v>
      </c>
      <c r="M2376" s="10" t="str">
        <f t="shared" si="1422"/>
        <v>FLAG</v>
      </c>
      <c r="N2376" s="10" t="str">
        <f t="shared" si="2"/>
        <v>55-701 - Production &amp; Conservation of Natural Gas; Waste of natural gas prohibited</v>
      </c>
      <c r="O2376" s="10" t="str">
        <f t="shared" si="3"/>
        <v>Production &amp; Conservation of Natural Gas</v>
      </c>
    </row>
    <row r="2377">
      <c r="A2377" s="7" t="s">
        <v>4215</v>
      </c>
      <c r="B2377" s="8" t="s">
        <v>4216</v>
      </c>
      <c r="C2377" s="8" t="s">
        <v>28</v>
      </c>
      <c r="D2377" s="8" t="s">
        <v>19</v>
      </c>
      <c r="E2377" s="8" t="s">
        <v>19</v>
      </c>
      <c r="F2377" s="8" t="s">
        <v>20</v>
      </c>
      <c r="G2377" s="8" t="s">
        <v>21</v>
      </c>
      <c r="H2377" s="9"/>
      <c r="I2377" s="9"/>
      <c r="J2377" s="10">
        <f t="shared" ref="J2377:M2377" si="1423">ifs(OR($H2377="R",$I2377="N"),"N/A",OR(C2377="A",C2377="B",C2377="C",C2377="U"),3,TRUE,"FLAG")</f>
        <v>3</v>
      </c>
      <c r="K2377" s="10">
        <f t="shared" si="1423"/>
        <v>3</v>
      </c>
      <c r="L2377" s="10">
        <f t="shared" si="1423"/>
        <v>3</v>
      </c>
      <c r="M2377" s="10" t="str">
        <f t="shared" si="1423"/>
        <v>FLAG</v>
      </c>
      <c r="N2377" s="10" t="str">
        <f t="shared" si="2"/>
        <v>65-5803(b) - Professional Counselor; Practice professional counseling as a clinical professional counselor without license; Represent oneself as a licensed clinical professional counselor without having such license</v>
      </c>
      <c r="O2377" s="10" t="str">
        <f t="shared" si="3"/>
        <v>Professional Counselor</v>
      </c>
    </row>
    <row r="2378">
      <c r="A2378" s="7" t="s">
        <v>4217</v>
      </c>
      <c r="B2378" s="8" t="s">
        <v>4218</v>
      </c>
      <c r="C2378" s="8" t="s">
        <v>28</v>
      </c>
      <c r="D2378" s="8" t="s">
        <v>19</v>
      </c>
      <c r="E2378" s="8" t="s">
        <v>19</v>
      </c>
      <c r="F2378" s="8" t="s">
        <v>20</v>
      </c>
      <c r="G2378" s="8" t="s">
        <v>21</v>
      </c>
      <c r="H2378" s="9"/>
      <c r="I2378" s="9"/>
      <c r="J2378" s="10">
        <f t="shared" ref="J2378:M2378" si="1424">ifs(OR($H2378="R",$I2378="N"),"N/A",OR(C2378="A",C2378="B",C2378="C",C2378="U"),3,TRUE,"FLAG")</f>
        <v>3</v>
      </c>
      <c r="K2378" s="10">
        <f t="shared" si="1424"/>
        <v>3</v>
      </c>
      <c r="L2378" s="10">
        <f t="shared" si="1424"/>
        <v>3</v>
      </c>
      <c r="M2378" s="10" t="str">
        <f t="shared" si="1424"/>
        <v>FLAG</v>
      </c>
      <c r="N2378" s="10" t="str">
        <f t="shared" si="2"/>
        <v>65-5803(a) - Professional Counselor; Practice professional counseling or represent oneself as a licensed professional counselor, licensed counselor or professional counselor without having such license</v>
      </c>
      <c r="O2378" s="10" t="str">
        <f t="shared" si="3"/>
        <v>Professional Counselor</v>
      </c>
    </row>
    <row r="2379">
      <c r="A2379" s="7" t="s">
        <v>4219</v>
      </c>
      <c r="B2379" s="8" t="s">
        <v>4220</v>
      </c>
      <c r="C2379" s="8" t="s">
        <v>28</v>
      </c>
      <c r="D2379" s="8" t="s">
        <v>19</v>
      </c>
      <c r="E2379" s="8" t="s">
        <v>19</v>
      </c>
      <c r="F2379" s="8" t="s">
        <v>20</v>
      </c>
      <c r="G2379" s="8" t="s">
        <v>21</v>
      </c>
      <c r="H2379" s="9"/>
      <c r="I2379" s="9"/>
      <c r="J2379" s="10">
        <f t="shared" ref="J2379:M2379" si="1425">ifs(OR($H2379="R",$I2379="N"),"N/A",OR(C2379="A",C2379="B",C2379="C",C2379="U"),3,TRUE,"FLAG")</f>
        <v>3</v>
      </c>
      <c r="K2379" s="10">
        <f t="shared" si="1425"/>
        <v>3</v>
      </c>
      <c r="L2379" s="10">
        <f t="shared" si="1425"/>
        <v>3</v>
      </c>
      <c r="M2379" s="10" t="str">
        <f t="shared" si="1425"/>
        <v>FLAG</v>
      </c>
      <c r="N2379" s="10" t="str">
        <f t="shared" si="2"/>
        <v>21-6402(a)(1) - Promoting Material to Minors that is Harmful; Knowingly display any material which is harmful to minors</v>
      </c>
      <c r="O2379" s="10" t="str">
        <f t="shared" si="3"/>
        <v>Promoting Material to Minors that is Harmful</v>
      </c>
    </row>
    <row r="2380">
      <c r="A2380" s="7" t="s">
        <v>4221</v>
      </c>
      <c r="B2380" s="8" t="s">
        <v>4222</v>
      </c>
      <c r="C2380" s="8" t="s">
        <v>28</v>
      </c>
      <c r="D2380" s="8" t="s">
        <v>19</v>
      </c>
      <c r="E2380" s="8" t="s">
        <v>19</v>
      </c>
      <c r="F2380" s="8" t="s">
        <v>20</v>
      </c>
      <c r="G2380" s="8" t="s">
        <v>21</v>
      </c>
      <c r="H2380" s="9"/>
      <c r="I2380" s="9"/>
      <c r="J2380" s="10">
        <f t="shared" ref="J2380:M2380" si="1426">ifs(OR($H2380="R",$I2380="N"),"N/A",OR(C2380="A",C2380="B",C2380="C",C2380="U"),3,TRUE,"FLAG")</f>
        <v>3</v>
      </c>
      <c r="K2380" s="10">
        <f t="shared" si="1426"/>
        <v>3</v>
      </c>
      <c r="L2380" s="10">
        <f t="shared" si="1426"/>
        <v>3</v>
      </c>
      <c r="M2380" s="10" t="str">
        <f t="shared" si="1426"/>
        <v>FLAG</v>
      </c>
      <c r="N2380" s="10" t="str">
        <f t="shared" si="2"/>
        <v>21-6402(a)(2) - Promoting Material to Minors that is Harmful; Knowingly present or distribute to a minor, or otherwise allowing a minor to view, with or without consideration, material harmful to minors</v>
      </c>
      <c r="O2380" s="10" t="str">
        <f t="shared" si="3"/>
        <v>Promoting Material to Minors that is Harmful</v>
      </c>
    </row>
    <row r="2381">
      <c r="A2381" s="7" t="s">
        <v>4223</v>
      </c>
      <c r="B2381" s="8" t="s">
        <v>4224</v>
      </c>
      <c r="C2381" s="8" t="s">
        <v>28</v>
      </c>
      <c r="D2381" s="8" t="s">
        <v>19</v>
      </c>
      <c r="E2381" s="8" t="s">
        <v>19</v>
      </c>
      <c r="F2381" s="8" t="s">
        <v>20</v>
      </c>
      <c r="G2381" s="8" t="s">
        <v>21</v>
      </c>
      <c r="H2381" s="9"/>
      <c r="I2381" s="9"/>
      <c r="J2381" s="10">
        <f t="shared" ref="J2381:M2381" si="1427">ifs(OR($H2381="R",$I2381="N"),"N/A",OR(C2381="A",C2381="B",C2381="C",C2381="U"),3,TRUE,"FLAG")</f>
        <v>3</v>
      </c>
      <c r="K2381" s="10">
        <f t="shared" si="1427"/>
        <v>3</v>
      </c>
      <c r="L2381" s="10">
        <f t="shared" si="1427"/>
        <v>3</v>
      </c>
      <c r="M2381" s="10" t="str">
        <f t="shared" si="1427"/>
        <v>FLAG</v>
      </c>
      <c r="N2381" s="10" t="str">
        <f t="shared" si="2"/>
        <v>21-6402(a)(3) - Promoting Material to Minors that is Harmful; Knowingly present to a minor, or participate in presenting to a minor, with or without consideration, any performance which is harmful to a minor</v>
      </c>
      <c r="O2381" s="10" t="str">
        <f t="shared" si="3"/>
        <v>Promoting Material to Minors that is Harmful</v>
      </c>
    </row>
    <row r="2382">
      <c r="A2382" s="7" t="s">
        <v>4225</v>
      </c>
      <c r="B2382" s="8" t="s">
        <v>4226</v>
      </c>
      <c r="C2382" s="8">
        <v>8.0</v>
      </c>
      <c r="D2382" s="8">
        <v>10.0</v>
      </c>
      <c r="E2382" s="8">
        <v>10.0</v>
      </c>
      <c r="F2382" s="8">
        <v>10.0</v>
      </c>
      <c r="G2382" s="8" t="s">
        <v>24</v>
      </c>
      <c r="H2382" s="9"/>
      <c r="I2382" s="9"/>
      <c r="N2382" s="10" t="str">
        <f t="shared" si="2"/>
        <v>21-6401(b) - Promoting Obscenity to Minors; 2nd or subs. offense</v>
      </c>
      <c r="O2382" s="10" t="str">
        <f t="shared" si="3"/>
        <v>Promoting Obscenity to Minors</v>
      </c>
    </row>
    <row r="2383">
      <c r="A2383" s="7" t="s">
        <v>4227</v>
      </c>
      <c r="B2383" s="8" t="s">
        <v>4226</v>
      </c>
      <c r="C2383" s="8" t="s">
        <v>27</v>
      </c>
      <c r="D2383" s="8" t="s">
        <v>28</v>
      </c>
      <c r="E2383" s="8" t="s">
        <v>19</v>
      </c>
      <c r="F2383" s="8" t="s">
        <v>20</v>
      </c>
      <c r="G2383" s="8" t="s">
        <v>21</v>
      </c>
      <c r="H2383" s="9"/>
      <c r="I2383" s="9"/>
      <c r="J2383" s="10">
        <f t="shared" ref="J2383:M2383" si="1428">ifs(OR($H2383="R",$I2383="N"),"N/A",OR(C2383="A",C2383="B",C2383="C",C2383="U"),3,TRUE,"FLAG")</f>
        <v>3</v>
      </c>
      <c r="K2383" s="10">
        <f t="shared" si="1428"/>
        <v>3</v>
      </c>
      <c r="L2383" s="10">
        <f t="shared" si="1428"/>
        <v>3</v>
      </c>
      <c r="M2383" s="10" t="str">
        <f t="shared" si="1428"/>
        <v>FLAG</v>
      </c>
      <c r="N2383" s="10" t="str">
        <f t="shared" si="2"/>
        <v>21-6401(b) - Promoting Obscenity; As defined in subsections (a)(1) - (a)(4); Where recipient is a child under 18 years of age; 1st offense</v>
      </c>
      <c r="O2383" s="10" t="str">
        <f t="shared" si="3"/>
        <v>Promoting Obscenity</v>
      </c>
    </row>
    <row r="2384">
      <c r="A2384" s="7" t="s">
        <v>4228</v>
      </c>
      <c r="B2384" s="8" t="s">
        <v>4229</v>
      </c>
      <c r="C2384" s="8" t="s">
        <v>27</v>
      </c>
      <c r="D2384" s="8" t="s">
        <v>28</v>
      </c>
      <c r="E2384" s="8" t="s">
        <v>19</v>
      </c>
      <c r="F2384" s="8" t="s">
        <v>20</v>
      </c>
      <c r="G2384" s="8" t="s">
        <v>21</v>
      </c>
      <c r="H2384" s="9"/>
      <c r="I2384" s="9"/>
      <c r="J2384" s="10">
        <f t="shared" ref="J2384:M2384" si="1429">ifs(OR($H2384="R",$I2384="N"),"N/A",OR(C2384="A",C2384="B",C2384="C",C2384="U"),3,TRUE,"FLAG")</f>
        <v>3</v>
      </c>
      <c r="K2384" s="10">
        <f t="shared" si="1429"/>
        <v>3</v>
      </c>
      <c r="L2384" s="10">
        <f t="shared" si="1429"/>
        <v>3</v>
      </c>
      <c r="M2384" s="10" t="str">
        <f t="shared" si="1429"/>
        <v>FLAG</v>
      </c>
      <c r="N2384" s="10" t="str">
        <f t="shared" si="2"/>
        <v>21-6401(a)(1) - Promoting Obscenity; Recklessly manufacture, mail, transmit, publish, distribute, present, exhibit or advertise any obscene material or obscene device; 1st offense</v>
      </c>
      <c r="O2384" s="10" t="str">
        <f t="shared" si="3"/>
        <v>Promoting Obscenity</v>
      </c>
    </row>
    <row r="2385">
      <c r="A2385" s="7" t="s">
        <v>4230</v>
      </c>
      <c r="B2385" s="8" t="s">
        <v>4229</v>
      </c>
      <c r="C2385" s="8">
        <v>9.0</v>
      </c>
      <c r="D2385" s="8">
        <v>10.0</v>
      </c>
      <c r="E2385" s="8">
        <v>10.0</v>
      </c>
      <c r="F2385" s="8">
        <v>10.0</v>
      </c>
      <c r="G2385" s="8" t="s">
        <v>24</v>
      </c>
      <c r="H2385" s="9"/>
      <c r="I2385" s="9"/>
      <c r="N2385" s="10" t="str">
        <f t="shared" si="2"/>
        <v>21-6401(a)(1) - Promoting Obscenity; Recklessly manufacture/distribute/mail/transmit/exhibit/publish/present or advertise any obscene material or obscene device; 2nd or subs. offense</v>
      </c>
      <c r="O2385" s="10" t="str">
        <f t="shared" si="3"/>
        <v>Promoting Obscenity</v>
      </c>
    </row>
    <row r="2386">
      <c r="A2386" s="7" t="s">
        <v>4231</v>
      </c>
      <c r="B2386" s="8" t="s">
        <v>4232</v>
      </c>
      <c r="C2386" s="8" t="s">
        <v>27</v>
      </c>
      <c r="D2386" s="8" t="s">
        <v>28</v>
      </c>
      <c r="E2386" s="8" t="s">
        <v>19</v>
      </c>
      <c r="F2386" s="8" t="s">
        <v>20</v>
      </c>
      <c r="G2386" s="8" t="s">
        <v>21</v>
      </c>
      <c r="H2386" s="9"/>
      <c r="I2386" s="9"/>
      <c r="J2386" s="10">
        <f t="shared" ref="J2386:M2386" si="1430">ifs(OR($H2386="R",$I2386="N"),"N/A",OR(C2386="A",C2386="B",C2386="C",C2386="U"),3,TRUE,"FLAG")</f>
        <v>3</v>
      </c>
      <c r="K2386" s="10">
        <f t="shared" si="1430"/>
        <v>3</v>
      </c>
      <c r="L2386" s="10">
        <f t="shared" si="1430"/>
        <v>3</v>
      </c>
      <c r="M2386" s="10" t="str">
        <f t="shared" si="1430"/>
        <v>FLAG</v>
      </c>
      <c r="N2386" s="10" t="str">
        <f t="shared" si="2"/>
        <v>21-6401(a)(3) - Promoting Obscenity; Recklessly offer or agree to manufacture, mail, transmit, publish, distribute, present, exhibit or advertise any obscene material or obscene device; 1st offense</v>
      </c>
      <c r="O2386" s="10" t="str">
        <f t="shared" si="3"/>
        <v>Promoting Obscenity</v>
      </c>
    </row>
    <row r="2387">
      <c r="A2387" s="7" t="s">
        <v>4233</v>
      </c>
      <c r="B2387" s="8" t="s">
        <v>4232</v>
      </c>
      <c r="C2387" s="8">
        <v>9.0</v>
      </c>
      <c r="D2387" s="8">
        <v>10.0</v>
      </c>
      <c r="E2387" s="8">
        <v>10.0</v>
      </c>
      <c r="F2387" s="8">
        <v>10.0</v>
      </c>
      <c r="G2387" s="8" t="s">
        <v>24</v>
      </c>
      <c r="H2387" s="9"/>
      <c r="I2387" s="9"/>
      <c r="N2387" s="10" t="str">
        <f t="shared" si="2"/>
        <v>21-6401(a)(3) - Promoting Obscenity; Recklessly offer or agree to manufacture/distribute/mail/transmit/exhibit/publish/present or advertise any obscene material or obscene device; 2nd or subs. offense</v>
      </c>
      <c r="O2387" s="10" t="str">
        <f t="shared" si="3"/>
        <v>Promoting Obscenity</v>
      </c>
    </row>
    <row r="2388">
      <c r="A2388" s="7" t="s">
        <v>4234</v>
      </c>
      <c r="B2388" s="8" t="s">
        <v>4235</v>
      </c>
      <c r="C2388" s="8">
        <v>9.0</v>
      </c>
      <c r="D2388" s="8">
        <v>10.0</v>
      </c>
      <c r="E2388" s="8">
        <v>10.0</v>
      </c>
      <c r="F2388" s="8">
        <v>10.0</v>
      </c>
      <c r="G2388" s="8" t="s">
        <v>24</v>
      </c>
      <c r="H2388" s="9"/>
      <c r="I2388" s="9"/>
      <c r="N2388" s="10" t="str">
        <f t="shared" si="2"/>
        <v>21-6401(a)(2) - Promoting Obscenity; Recklessly possess any obscene material or obscene device with intent to issue/mail/transmit/distribute/exhibit/publish/present or advertise such material or device; 2nd or subs. offense</v>
      </c>
      <c r="O2388" s="10" t="str">
        <f t="shared" si="3"/>
        <v>Promoting Obscenity</v>
      </c>
    </row>
    <row r="2389">
      <c r="A2389" s="7" t="s">
        <v>4236</v>
      </c>
      <c r="B2389" s="8" t="s">
        <v>4235</v>
      </c>
      <c r="C2389" s="8" t="s">
        <v>27</v>
      </c>
      <c r="D2389" s="8" t="s">
        <v>28</v>
      </c>
      <c r="E2389" s="8" t="s">
        <v>19</v>
      </c>
      <c r="F2389" s="8" t="s">
        <v>20</v>
      </c>
      <c r="G2389" s="8" t="s">
        <v>21</v>
      </c>
      <c r="H2389" s="9"/>
      <c r="I2389" s="9"/>
      <c r="J2389" s="10">
        <f t="shared" ref="J2389:M2389" si="1431">ifs(OR($H2389="R",$I2389="N"),"N/A",OR(C2389="A",C2389="B",C2389="C",C2389="U"),3,TRUE,"FLAG")</f>
        <v>3</v>
      </c>
      <c r="K2389" s="10">
        <f t="shared" si="1431"/>
        <v>3</v>
      </c>
      <c r="L2389" s="10">
        <f t="shared" si="1431"/>
        <v>3</v>
      </c>
      <c r="M2389" s="10" t="str">
        <f t="shared" si="1431"/>
        <v>FLAG</v>
      </c>
      <c r="N2389" s="10" t="str">
        <f t="shared" si="2"/>
        <v>21-6401(a)(2) - Promoting Obscenity; Recklessly possess any obscene material or obscene device with intent to mail, transmit, publish, distribute, present, exhibit or advertise such material or device; 1st offense</v>
      </c>
      <c r="O2389" s="10" t="str">
        <f t="shared" si="3"/>
        <v>Promoting Obscenity</v>
      </c>
    </row>
    <row r="2390">
      <c r="A2390" s="7" t="s">
        <v>4237</v>
      </c>
      <c r="B2390" s="8" t="s">
        <v>4238</v>
      </c>
      <c r="C2390" s="8" t="s">
        <v>27</v>
      </c>
      <c r="D2390" s="8" t="s">
        <v>28</v>
      </c>
      <c r="E2390" s="8" t="s">
        <v>19</v>
      </c>
      <c r="F2390" s="8" t="s">
        <v>20</v>
      </c>
      <c r="G2390" s="8" t="s">
        <v>21</v>
      </c>
      <c r="H2390" s="9"/>
      <c r="I2390" s="9"/>
      <c r="J2390" s="10">
        <f t="shared" ref="J2390:M2390" si="1432">ifs(OR($H2390="R",$I2390="N"),"N/A",OR(C2390="A",C2390="B",C2390="C",C2390="U"),3,TRUE,"FLAG")</f>
        <v>3</v>
      </c>
      <c r="K2390" s="10">
        <f t="shared" si="1432"/>
        <v>3</v>
      </c>
      <c r="L2390" s="10">
        <f t="shared" si="1432"/>
        <v>3</v>
      </c>
      <c r="M2390" s="10" t="str">
        <f t="shared" si="1432"/>
        <v>FLAG</v>
      </c>
      <c r="N2390" s="10" t="str">
        <f t="shared" si="2"/>
        <v>21-6401(a)(4) - Promoting Obscenity; Recklessly produce, present or direct an obscene performance or participate in a portion thereof which is obscene or which contributes to its obscenity; 1st offense</v>
      </c>
      <c r="O2390" s="10" t="str">
        <f t="shared" si="3"/>
        <v>Promoting Obscenity</v>
      </c>
    </row>
    <row r="2391">
      <c r="A2391" s="7" t="s">
        <v>4239</v>
      </c>
      <c r="B2391" s="8" t="s">
        <v>4238</v>
      </c>
      <c r="C2391" s="8">
        <v>9.0</v>
      </c>
      <c r="D2391" s="8">
        <v>10.0</v>
      </c>
      <c r="E2391" s="8">
        <v>10.0</v>
      </c>
      <c r="F2391" s="8">
        <v>10.0</v>
      </c>
      <c r="G2391" s="8" t="s">
        <v>24</v>
      </c>
      <c r="H2391" s="9"/>
      <c r="I2391" s="9"/>
      <c r="N2391" s="10" t="str">
        <f t="shared" si="2"/>
        <v>21-6401(a)(4) - Promoting Obscenity; Recklessly produce, present or direct an obscene performance or participate in a portion thereof which is obscene or which contributes to its obscenity; 2nd or subs. offense</v>
      </c>
      <c r="O2391" s="10" t="str">
        <f t="shared" si="3"/>
        <v>Promoting Obscenity</v>
      </c>
    </row>
    <row r="2392">
      <c r="A2392" s="7" t="s">
        <v>4240</v>
      </c>
      <c r="B2392" s="8" t="s">
        <v>4241</v>
      </c>
      <c r="C2392" s="8">
        <v>9.0</v>
      </c>
      <c r="D2392" s="8">
        <v>10.0</v>
      </c>
      <c r="E2392" s="8">
        <v>10.0</v>
      </c>
      <c r="F2392" s="8">
        <v>10.0</v>
      </c>
      <c r="G2392" s="8" t="s">
        <v>24</v>
      </c>
      <c r="H2392" s="8" t="s">
        <v>109</v>
      </c>
      <c r="I2392" s="9"/>
      <c r="N2392" s="10" t="str">
        <f t="shared" si="2"/>
        <v>21-6420(a)(8) - Promoting the Sale of Sexual Relations; Being employed to perform any act prohibited by this section offender has no prior convictions under this section</v>
      </c>
      <c r="O2392" s="10" t="str">
        <f t="shared" si="3"/>
        <v>Promoting the Sale of Sexual Relations</v>
      </c>
    </row>
    <row r="2393">
      <c r="A2393" s="7" t="s">
        <v>4242</v>
      </c>
      <c r="B2393" s="8" t="s">
        <v>4241</v>
      </c>
      <c r="C2393" s="8">
        <v>7.0</v>
      </c>
      <c r="D2393" s="8">
        <v>9.0</v>
      </c>
      <c r="E2393" s="8">
        <v>9.0</v>
      </c>
      <c r="F2393" s="8">
        <v>10.0</v>
      </c>
      <c r="G2393" s="8" t="s">
        <v>24</v>
      </c>
      <c r="H2393" s="8" t="s">
        <v>109</v>
      </c>
      <c r="I2393" s="9"/>
      <c r="N2393" s="10" t="str">
        <f t="shared" si="2"/>
        <v>21-6420(a)(8) - Promoting the Sale of Sexual Relations; Being employed to perform any act prohibited by this section offender has prior conviction under this section</v>
      </c>
      <c r="O2393" s="10" t="str">
        <f t="shared" si="3"/>
        <v>Promoting the Sale of Sexual Relations</v>
      </c>
    </row>
    <row r="2394">
      <c r="A2394" s="7" t="s">
        <v>4243</v>
      </c>
      <c r="B2394" s="8" t="s">
        <v>4244</v>
      </c>
      <c r="C2394" s="8">
        <v>9.0</v>
      </c>
      <c r="D2394" s="8">
        <v>10.0</v>
      </c>
      <c r="E2394" s="8">
        <v>10.0</v>
      </c>
      <c r="F2394" s="8">
        <v>10.0</v>
      </c>
      <c r="G2394" s="8" t="s">
        <v>24</v>
      </c>
      <c r="H2394" s="8" t="s">
        <v>109</v>
      </c>
      <c r="I2394" s="9"/>
      <c r="N2394" s="10" t="str">
        <f t="shared" si="2"/>
        <v>21-6420(a)(1) - Promoting the Sale of Sexual Relations; Knowingly establishing, owning, maintaining or managing property where sexual relations are sold by a person 18 or older; offender has no prior convictions under this section</v>
      </c>
      <c r="O2394" s="10" t="str">
        <f t="shared" si="3"/>
        <v>Promoting the Sale of Sexual Relations</v>
      </c>
    </row>
    <row r="2395">
      <c r="A2395" s="7" t="s">
        <v>4245</v>
      </c>
      <c r="B2395" s="8" t="s">
        <v>4244</v>
      </c>
      <c r="C2395" s="8">
        <v>7.0</v>
      </c>
      <c r="D2395" s="8">
        <v>9.0</v>
      </c>
      <c r="E2395" s="8">
        <v>9.0</v>
      </c>
      <c r="F2395" s="8">
        <v>10.0</v>
      </c>
      <c r="G2395" s="8" t="s">
        <v>24</v>
      </c>
      <c r="H2395" s="8" t="s">
        <v>109</v>
      </c>
      <c r="I2395" s="9"/>
      <c r="N2395" s="10" t="str">
        <f t="shared" si="2"/>
        <v>21-6420(a)(1) - Promoting the Sale of Sexual Relations; Knowingly establishing, owning, maintaining or managing property where sexual relations are sold by a person 18 or older; offender has prior conviction under this section</v>
      </c>
      <c r="O2395" s="10" t="str">
        <f t="shared" si="3"/>
        <v>Promoting the Sale of Sexual Relations</v>
      </c>
    </row>
    <row r="2396">
      <c r="A2396" s="7" t="s">
        <v>4246</v>
      </c>
      <c r="B2396" s="8" t="s">
        <v>4247</v>
      </c>
      <c r="C2396" s="8">
        <v>9.0</v>
      </c>
      <c r="D2396" s="8">
        <v>10.0</v>
      </c>
      <c r="E2396" s="8">
        <v>10.0</v>
      </c>
      <c r="F2396" s="8">
        <v>10.0</v>
      </c>
      <c r="G2396" s="8" t="s">
        <v>24</v>
      </c>
      <c r="H2396" s="8" t="s">
        <v>109</v>
      </c>
      <c r="I2396" s="9"/>
      <c r="N2396" s="10" t="str">
        <f t="shared" si="2"/>
        <v>21-6420(a)(4) - Promoting the Sale of Sexual Relations; Knowingly inducing a person 18 or older to become a person who sells sexual relations; offender has no prior convictions under this section</v>
      </c>
      <c r="O2396" s="10" t="str">
        <f t="shared" si="3"/>
        <v>Promoting the Sale of Sexual Relations</v>
      </c>
    </row>
    <row r="2397">
      <c r="A2397" s="7" t="s">
        <v>4248</v>
      </c>
      <c r="B2397" s="8" t="s">
        <v>4247</v>
      </c>
      <c r="C2397" s="8">
        <v>7.0</v>
      </c>
      <c r="D2397" s="8">
        <v>9.0</v>
      </c>
      <c r="E2397" s="8">
        <v>9.0</v>
      </c>
      <c r="F2397" s="8">
        <v>10.0</v>
      </c>
      <c r="G2397" s="8" t="s">
        <v>24</v>
      </c>
      <c r="H2397" s="8" t="s">
        <v>109</v>
      </c>
      <c r="I2397" s="9"/>
      <c r="N2397" s="10" t="str">
        <f t="shared" si="2"/>
        <v>21-6420(a)(4) - Promoting the Sale of Sexual Relations; Knowingly inducing a person 18 or older to become a person who sells sexual relations; offender has prior conviction under this section</v>
      </c>
      <c r="O2397" s="10" t="str">
        <f t="shared" si="3"/>
        <v>Promoting the Sale of Sexual Relations</v>
      </c>
    </row>
    <row r="2398">
      <c r="A2398" s="7" t="s">
        <v>4249</v>
      </c>
      <c r="B2398" s="8" t="s">
        <v>4250</v>
      </c>
      <c r="C2398" s="8">
        <v>9.0</v>
      </c>
      <c r="D2398" s="8">
        <v>10.0</v>
      </c>
      <c r="E2398" s="8">
        <v>10.0</v>
      </c>
      <c r="F2398" s="8">
        <v>10.0</v>
      </c>
      <c r="G2398" s="8" t="s">
        <v>24</v>
      </c>
      <c r="H2398" s="8" t="s">
        <v>109</v>
      </c>
      <c r="I2398" s="9"/>
      <c r="N2398" s="10" t="str">
        <f t="shared" si="2"/>
        <v>21-6420(a)(2) - Promoting the Sale of Sexual Relations; Knowingly permit property to be used as place where sexual relations are offered or sold by a person 18 or older; offender has no prior convictions under this section</v>
      </c>
      <c r="O2398" s="10" t="str">
        <f t="shared" si="3"/>
        <v>Promoting the Sale of Sexual Relations</v>
      </c>
    </row>
    <row r="2399">
      <c r="A2399" s="7" t="s">
        <v>4251</v>
      </c>
      <c r="B2399" s="8" t="s">
        <v>4250</v>
      </c>
      <c r="C2399" s="8">
        <v>7.0</v>
      </c>
      <c r="D2399" s="8">
        <v>9.0</v>
      </c>
      <c r="E2399" s="8">
        <v>9.0</v>
      </c>
      <c r="F2399" s="8">
        <v>10.0</v>
      </c>
      <c r="G2399" s="8" t="s">
        <v>24</v>
      </c>
      <c r="H2399" s="8" t="s">
        <v>109</v>
      </c>
      <c r="I2399" s="9"/>
      <c r="N2399" s="10" t="str">
        <f t="shared" si="2"/>
        <v>21-6420(a)(2) - Promoting the Sale of Sexual Relations; Knowingly permit property to be used as place where sexual relations are offered or sold by a person 18 or older; offender has prior conviction under this section</v>
      </c>
      <c r="O2399" s="10" t="str">
        <f t="shared" si="3"/>
        <v>Promoting the Sale of Sexual Relations</v>
      </c>
    </row>
    <row r="2400">
      <c r="A2400" s="7" t="s">
        <v>4252</v>
      </c>
      <c r="B2400" s="8" t="s">
        <v>4253</v>
      </c>
      <c r="C2400" s="8">
        <v>9.0</v>
      </c>
      <c r="D2400" s="8">
        <v>10.0</v>
      </c>
      <c r="E2400" s="8">
        <v>10.0</v>
      </c>
      <c r="F2400" s="8">
        <v>10.0</v>
      </c>
      <c r="G2400" s="8" t="s">
        <v>24</v>
      </c>
      <c r="H2400" s="8" t="s">
        <v>109</v>
      </c>
      <c r="I2400" s="9"/>
      <c r="N2400" s="10" t="str">
        <f t="shared" si="2"/>
        <v>21-6420(a)(6) - Promoting the Sale of Sexual Relations; Knowingly procuring a person 18 or older selling sexual relations for a patron offender has no prior convictions under this section</v>
      </c>
      <c r="O2400" s="10" t="str">
        <f t="shared" si="3"/>
        <v>Promoting the Sale of Sexual Relations</v>
      </c>
    </row>
    <row r="2401">
      <c r="A2401" s="7" t="s">
        <v>4254</v>
      </c>
      <c r="B2401" s="8" t="s">
        <v>4253</v>
      </c>
      <c r="C2401" s="8">
        <v>7.0</v>
      </c>
      <c r="D2401" s="8">
        <v>9.0</v>
      </c>
      <c r="E2401" s="8">
        <v>9.0</v>
      </c>
      <c r="F2401" s="8">
        <v>10.0</v>
      </c>
      <c r="G2401" s="8" t="s">
        <v>24</v>
      </c>
      <c r="H2401" s="8" t="s">
        <v>109</v>
      </c>
      <c r="I2401" s="9"/>
      <c r="N2401" s="10" t="str">
        <f t="shared" si="2"/>
        <v>21-6420(a)(6) - Promoting the Sale of Sexual Relations; Knowingly procuring a person 18 or older selling sexual relations for a patron offender has prior conviction under this section</v>
      </c>
      <c r="O2401" s="10" t="str">
        <f t="shared" si="3"/>
        <v>Promoting the Sale of Sexual Relations</v>
      </c>
    </row>
    <row r="2402">
      <c r="A2402" s="7" t="s">
        <v>4255</v>
      </c>
      <c r="B2402" s="8" t="s">
        <v>4256</v>
      </c>
      <c r="C2402" s="8">
        <v>9.0</v>
      </c>
      <c r="D2402" s="8">
        <v>10.0</v>
      </c>
      <c r="E2402" s="8">
        <v>10.0</v>
      </c>
      <c r="F2402" s="8">
        <v>10.0</v>
      </c>
      <c r="G2402" s="8" t="s">
        <v>24</v>
      </c>
      <c r="H2402" s="8" t="s">
        <v>109</v>
      </c>
      <c r="I2402" s="9"/>
      <c r="N2402" s="10" t="str">
        <f t="shared" si="2"/>
        <v>21-6420(a)(3) - Promoting the Sale of Sexual Relations; Knowingly procuring a person 18 or older selling sexual relations for a place where sexual relations are sold; offender has no prior convictions under this section</v>
      </c>
      <c r="O2402" s="10" t="str">
        <f t="shared" si="3"/>
        <v>Promoting the Sale of Sexual Relations</v>
      </c>
    </row>
    <row r="2403">
      <c r="A2403" s="7" t="s">
        <v>4257</v>
      </c>
      <c r="B2403" s="8" t="s">
        <v>4256</v>
      </c>
      <c r="C2403" s="8">
        <v>7.0</v>
      </c>
      <c r="D2403" s="8">
        <v>9.0</v>
      </c>
      <c r="E2403" s="8">
        <v>9.0</v>
      </c>
      <c r="F2403" s="8">
        <v>10.0</v>
      </c>
      <c r="G2403" s="8" t="s">
        <v>24</v>
      </c>
      <c r="H2403" s="8" t="s">
        <v>109</v>
      </c>
      <c r="I2403" s="9"/>
      <c r="N2403" s="10" t="str">
        <f t="shared" si="2"/>
        <v>21-6420(a)(3) - Promoting the Sale of Sexual Relations; Knowingly procuring a person 18 or older selling sexual relations for a place where sexual relations are sold; offender has prior conviction under this section</v>
      </c>
      <c r="O2403" s="10" t="str">
        <f t="shared" si="3"/>
        <v>Promoting the Sale of Sexual Relations</v>
      </c>
    </row>
    <row r="2404">
      <c r="A2404" s="7" t="s">
        <v>4258</v>
      </c>
      <c r="B2404" s="8" t="s">
        <v>4259</v>
      </c>
      <c r="C2404" s="8">
        <v>9.0</v>
      </c>
      <c r="D2404" s="8">
        <v>10.0</v>
      </c>
      <c r="E2404" s="8">
        <v>10.0</v>
      </c>
      <c r="F2404" s="8">
        <v>10.0</v>
      </c>
      <c r="G2404" s="8" t="s">
        <v>24</v>
      </c>
      <c r="H2404" s="8" t="s">
        <v>109</v>
      </c>
      <c r="I2404" s="9"/>
      <c r="N2404" s="10" t="str">
        <f t="shared" si="2"/>
        <v>21-6420(a)(5) - Promoting the Sale of Sexual Relations; Knowingly soliciting a patron for a person 18 or older selling sexual relations or a place where sexual relations are sold offender has no prior convictions under this section</v>
      </c>
      <c r="O2404" s="10" t="str">
        <f t="shared" si="3"/>
        <v>Promoting the Sale of Sexual Relations</v>
      </c>
    </row>
    <row r="2405">
      <c r="A2405" s="7" t="s">
        <v>4260</v>
      </c>
      <c r="B2405" s="8" t="s">
        <v>4259</v>
      </c>
      <c r="C2405" s="8">
        <v>7.0</v>
      </c>
      <c r="D2405" s="8">
        <v>9.0</v>
      </c>
      <c r="E2405" s="8">
        <v>9.0</v>
      </c>
      <c r="F2405" s="8">
        <v>10.0</v>
      </c>
      <c r="G2405" s="8" t="s">
        <v>24</v>
      </c>
      <c r="H2405" s="8" t="s">
        <v>109</v>
      </c>
      <c r="I2405" s="9"/>
      <c r="N2405" s="10" t="str">
        <f t="shared" si="2"/>
        <v>21-6420(a)(5) - Promoting the Sale of Sexual Relations; Knowingly soliciting a patron for a person 18 or older selling sexual relations or a place where sexual relations are sold offender has prior conviction under this section</v>
      </c>
      <c r="O2405" s="10" t="str">
        <f t="shared" si="3"/>
        <v>Promoting the Sale of Sexual Relations</v>
      </c>
    </row>
    <row r="2406">
      <c r="A2406" s="7" t="s">
        <v>4261</v>
      </c>
      <c r="B2406" s="8" t="s">
        <v>4262</v>
      </c>
      <c r="C2406" s="8">
        <v>9.0</v>
      </c>
      <c r="D2406" s="8">
        <v>10.0</v>
      </c>
      <c r="E2406" s="8">
        <v>10.0</v>
      </c>
      <c r="F2406" s="8">
        <v>10.0</v>
      </c>
      <c r="G2406" s="8" t="s">
        <v>24</v>
      </c>
      <c r="H2406" s="8" t="s">
        <v>109</v>
      </c>
      <c r="I2406" s="9"/>
      <c r="N2406" s="10" t="str">
        <f t="shared" si="2"/>
        <v>21-6420(a)(7) - Promoting the Sale of Sexual Relations; Knowingly transporting a person 18 or older within the state for promoting or assisting the selling of sexual relations offender has no prior convictions under this section</v>
      </c>
      <c r="O2406" s="10" t="str">
        <f t="shared" si="3"/>
        <v>Promoting the Sale of Sexual Relations</v>
      </c>
    </row>
    <row r="2407">
      <c r="A2407" s="7" t="s">
        <v>4263</v>
      </c>
      <c r="B2407" s="8" t="s">
        <v>4262</v>
      </c>
      <c r="C2407" s="8">
        <v>7.0</v>
      </c>
      <c r="D2407" s="8">
        <v>9.0</v>
      </c>
      <c r="E2407" s="8">
        <v>9.0</v>
      </c>
      <c r="F2407" s="8">
        <v>10.0</v>
      </c>
      <c r="G2407" s="8" t="s">
        <v>24</v>
      </c>
      <c r="H2407" s="8" t="s">
        <v>109</v>
      </c>
      <c r="I2407" s="9"/>
      <c r="N2407" s="10" t="str">
        <f t="shared" si="2"/>
        <v>21-6420(a)(7) - Promoting the Sale of Sexual Relations; Knowingly transporting a person 18 or older within the state for promoting or assisting the selling of sexual relations offender has prior conviction under this section</v>
      </c>
      <c r="O2407" s="10" t="str">
        <f t="shared" si="3"/>
        <v>Promoting the Sale of Sexual Relations</v>
      </c>
    </row>
    <row r="2408">
      <c r="A2408" s="7" t="s">
        <v>4264</v>
      </c>
      <c r="B2408" s="8" t="s">
        <v>4265</v>
      </c>
      <c r="C2408" s="8" t="s">
        <v>27</v>
      </c>
      <c r="D2408" s="8" t="s">
        <v>28</v>
      </c>
      <c r="E2408" s="8" t="s">
        <v>19</v>
      </c>
      <c r="F2408" s="8" t="s">
        <v>20</v>
      </c>
      <c r="G2408" s="8" t="s">
        <v>24</v>
      </c>
      <c r="H2408" s="9"/>
      <c r="I2408" s="9"/>
      <c r="J2408" s="10">
        <f t="shared" ref="J2408:M2408" si="1433">ifs(OR($H2408="R",$I2408="N"),"N/A",OR(C2408="A",C2408="B",C2408="C",C2408="U"),3,TRUE,"FLAG")</f>
        <v>3</v>
      </c>
      <c r="K2408" s="10">
        <f t="shared" si="1433"/>
        <v>3</v>
      </c>
      <c r="L2408" s="10">
        <f t="shared" si="1433"/>
        <v>3</v>
      </c>
      <c r="M2408" s="10" t="str">
        <f t="shared" si="1433"/>
        <v>FLAG</v>
      </c>
      <c r="N2408" s="10" t="str">
        <f t="shared" si="2"/>
        <v>21-5924(a)(1) - Protection Orders; Knowingly violate a protection from abuse order</v>
      </c>
      <c r="O2408" s="10" t="str">
        <f t="shared" si="3"/>
        <v>Protection Orders</v>
      </c>
    </row>
    <row r="2409">
      <c r="A2409" s="7" t="s">
        <v>4266</v>
      </c>
      <c r="B2409" s="8" t="s">
        <v>4267</v>
      </c>
      <c r="C2409" s="8" t="s">
        <v>27</v>
      </c>
      <c r="D2409" s="8" t="s">
        <v>28</v>
      </c>
      <c r="E2409" s="8" t="s">
        <v>19</v>
      </c>
      <c r="F2409" s="8" t="s">
        <v>20</v>
      </c>
      <c r="G2409" s="8" t="s">
        <v>24</v>
      </c>
      <c r="H2409" s="9"/>
      <c r="I2409" s="9"/>
      <c r="J2409" s="10">
        <f t="shared" ref="J2409:M2409" si="1434">ifs(OR($H2409="R",$I2409="N"),"N/A",OR(C2409="A",C2409="B",C2409="C",C2409="U"),3,TRUE,"FLAG")</f>
        <v>3</v>
      </c>
      <c r="K2409" s="10">
        <f t="shared" si="1434"/>
        <v>3</v>
      </c>
      <c r="L2409" s="10">
        <f t="shared" si="1434"/>
        <v>3</v>
      </c>
      <c r="M2409" s="10" t="str">
        <f t="shared" si="1434"/>
        <v>FLAG</v>
      </c>
      <c r="N2409" s="10" t="str">
        <f t="shared" si="2"/>
        <v>21-5924(a)(6) - Protection Orders; Knowingly violate a protection from stalking order</v>
      </c>
      <c r="O2409" s="10" t="str">
        <f t="shared" si="3"/>
        <v>Protection Orders</v>
      </c>
    </row>
    <row r="2410">
      <c r="A2410" s="7" t="s">
        <v>4268</v>
      </c>
      <c r="B2410" s="8" t="s">
        <v>4269</v>
      </c>
      <c r="C2410" s="8" t="s">
        <v>27</v>
      </c>
      <c r="D2410" s="8" t="s">
        <v>28</v>
      </c>
      <c r="E2410" s="8" t="s">
        <v>19</v>
      </c>
      <c r="F2410" s="8" t="s">
        <v>20</v>
      </c>
      <c r="G2410" s="8" t="s">
        <v>24</v>
      </c>
      <c r="H2410" s="9"/>
      <c r="I2410" s="9"/>
      <c r="J2410" s="10">
        <f t="shared" ref="J2410:M2410" si="1435">ifs(OR($H2410="R",$I2410="N"),"N/A",OR(C2410="A",C2410="B",C2410="C",C2410="U"),3,TRUE,"FLAG")</f>
        <v>3</v>
      </c>
      <c r="K2410" s="10">
        <f t="shared" si="1435"/>
        <v>3</v>
      </c>
      <c r="L2410" s="10">
        <f t="shared" si="1435"/>
        <v>3</v>
      </c>
      <c r="M2410" s="10" t="str">
        <f t="shared" si="1435"/>
        <v>FLAG</v>
      </c>
      <c r="N2410" s="10" t="str">
        <f t="shared" si="2"/>
        <v>21-5924(a)(2) - Protection Orders; Knowingly violate a protective order issued by a court or tribunal of any state or Indian tribe</v>
      </c>
      <c r="O2410" s="10" t="str">
        <f t="shared" si="3"/>
        <v>Protection Orders</v>
      </c>
    </row>
    <row r="2411">
      <c r="A2411" s="7" t="s">
        <v>4270</v>
      </c>
      <c r="B2411" s="8" t="s">
        <v>4271</v>
      </c>
      <c r="C2411" s="8" t="s">
        <v>27</v>
      </c>
      <c r="D2411" s="8" t="s">
        <v>28</v>
      </c>
      <c r="E2411" s="8" t="s">
        <v>19</v>
      </c>
      <c r="F2411" s="8" t="s">
        <v>20</v>
      </c>
      <c r="G2411" s="8" t="s">
        <v>24</v>
      </c>
      <c r="H2411" s="9"/>
      <c r="I2411" s="9"/>
      <c r="J2411" s="10">
        <f t="shared" ref="J2411:M2411" si="1436">ifs(OR($H2411="R",$I2411="N"),"N/A",OR(C2411="A",C2411="B",C2411="C",C2411="U"),3,TRUE,"FLAG")</f>
        <v>3</v>
      </c>
      <c r="K2411" s="10">
        <f t="shared" si="1436"/>
        <v>3</v>
      </c>
      <c r="L2411" s="10">
        <f t="shared" si="1436"/>
        <v>3</v>
      </c>
      <c r="M2411" s="10" t="str">
        <f t="shared" si="1436"/>
        <v>FLAG</v>
      </c>
      <c r="N2411" s="10" t="str">
        <f t="shared" si="2"/>
        <v>21-5924(a)(3) - Protection Orders; Knowingly violate a restraining order</v>
      </c>
      <c r="O2411" s="10" t="str">
        <f t="shared" si="3"/>
        <v>Protection Orders</v>
      </c>
    </row>
    <row r="2412">
      <c r="A2412" s="7" t="s">
        <v>4272</v>
      </c>
      <c r="B2412" s="8" t="s">
        <v>4273</v>
      </c>
      <c r="C2412" s="8">
        <v>6.0</v>
      </c>
      <c r="D2412" s="8">
        <v>8.0</v>
      </c>
      <c r="E2412" s="8">
        <v>8.0</v>
      </c>
      <c r="F2412" s="8">
        <v>9.0</v>
      </c>
      <c r="G2412" s="8" t="s">
        <v>24</v>
      </c>
      <c r="H2412" s="9"/>
      <c r="I2412" s="9"/>
      <c r="N2412" s="10" t="str">
        <f t="shared" si="2"/>
        <v>21-5924(b)(2) - Protection Orders; Knowingly violate an extended protective order of abuse or stalking</v>
      </c>
      <c r="O2412" s="10" t="str">
        <f t="shared" si="3"/>
        <v>Protection Orders</v>
      </c>
    </row>
    <row r="2413">
      <c r="A2413" s="7" t="s">
        <v>4274</v>
      </c>
      <c r="B2413" s="8" t="s">
        <v>4275</v>
      </c>
      <c r="C2413" s="8" t="s">
        <v>27</v>
      </c>
      <c r="D2413" s="8" t="s">
        <v>28</v>
      </c>
      <c r="E2413" s="8" t="s">
        <v>19</v>
      </c>
      <c r="F2413" s="8" t="s">
        <v>20</v>
      </c>
      <c r="G2413" s="8" t="s">
        <v>24</v>
      </c>
      <c r="H2413" s="9"/>
      <c r="I2413" s="9"/>
      <c r="J2413" s="10">
        <f t="shared" ref="J2413:M2413" si="1437">ifs(OR($H2413="R",$I2413="N"),"N/A",OR(C2413="A",C2413="B",C2413="C",C2413="U"),3,TRUE,"FLAG")</f>
        <v>3</v>
      </c>
      <c r="K2413" s="10">
        <f t="shared" si="1437"/>
        <v>3</v>
      </c>
      <c r="L2413" s="10">
        <f t="shared" si="1437"/>
        <v>3</v>
      </c>
      <c r="M2413" s="10" t="str">
        <f t="shared" si="1437"/>
        <v>FLAG</v>
      </c>
      <c r="N2413" s="10" t="str">
        <f t="shared" si="2"/>
        <v>21-5924(a)(4) - Protection Orders; Knowingly violate an order issued as a condition of pretrial release, diversion, probation, suspended sentence or postrelease supervision</v>
      </c>
      <c r="O2413" s="10" t="str">
        <f t="shared" si="3"/>
        <v>Protection Orders</v>
      </c>
    </row>
    <row r="2414">
      <c r="A2414" s="7" t="s">
        <v>4276</v>
      </c>
      <c r="B2414" s="8" t="s">
        <v>4277</v>
      </c>
      <c r="C2414" s="8" t="s">
        <v>27</v>
      </c>
      <c r="D2414" s="8" t="s">
        <v>28</v>
      </c>
      <c r="E2414" s="8" t="s">
        <v>19</v>
      </c>
      <c r="F2414" s="8" t="s">
        <v>20</v>
      </c>
      <c r="G2414" s="8" t="s">
        <v>24</v>
      </c>
      <c r="H2414" s="9"/>
      <c r="I2414" s="9"/>
      <c r="J2414" s="10">
        <f t="shared" ref="J2414:M2414" si="1438">ifs(OR($H2414="R",$I2414="N"),"N/A",OR(C2414="A",C2414="B",C2414="C",C2414="U"),3,TRUE,"FLAG")</f>
        <v>3</v>
      </c>
      <c r="K2414" s="10">
        <f t="shared" si="1438"/>
        <v>3</v>
      </c>
      <c r="L2414" s="10">
        <f t="shared" si="1438"/>
        <v>3</v>
      </c>
      <c r="M2414" s="10" t="str">
        <f t="shared" si="1438"/>
        <v>FLAG</v>
      </c>
      <c r="N2414" s="10" t="str">
        <f t="shared" si="2"/>
        <v>21-5924(a)(5) - Protection Orders; Knowingly violate an order issued as a condition of release after conviction or as a condition of a supersedes bond pending disposition of an appeal</v>
      </c>
      <c r="O2414" s="10" t="str">
        <f t="shared" si="3"/>
        <v>Protection Orders</v>
      </c>
    </row>
    <row r="2415">
      <c r="A2415" s="7" t="s">
        <v>4278</v>
      </c>
      <c r="B2415" s="8" t="s">
        <v>4279</v>
      </c>
      <c r="C2415" s="8" t="s">
        <v>27</v>
      </c>
      <c r="D2415" s="8" t="s">
        <v>28</v>
      </c>
      <c r="E2415" s="8" t="s">
        <v>19</v>
      </c>
      <c r="F2415" s="8" t="s">
        <v>20</v>
      </c>
      <c r="G2415" s="8" t="s">
        <v>21</v>
      </c>
      <c r="H2415" s="9"/>
      <c r="I2415" s="9"/>
      <c r="J2415" s="10">
        <f t="shared" ref="J2415:M2415" si="1439">ifs(OR($H2415="R",$I2415="N"),"N/A",OR(C2415="A",C2415="B",C2415="C",C2415="U"),3,TRUE,"FLAG")</f>
        <v>3</v>
      </c>
      <c r="K2415" s="10">
        <f t="shared" si="1439"/>
        <v>3</v>
      </c>
      <c r="L2415" s="10">
        <f t="shared" si="1439"/>
        <v>3</v>
      </c>
      <c r="M2415" s="10" t="str">
        <f t="shared" si="1439"/>
        <v>FLAG</v>
      </c>
      <c r="N2415" s="10" t="str">
        <f t="shared" si="2"/>
        <v>74-5349(c) - Psychologists; Intentionally represent to the public that one is endorsed in a specialty if not so endorsed</v>
      </c>
      <c r="O2415" s="10" t="str">
        <f t="shared" si="3"/>
        <v>Psychologists</v>
      </c>
    </row>
    <row r="2416">
      <c r="A2416" s="7" t="s">
        <v>4280</v>
      </c>
      <c r="B2416" s="8" t="s">
        <v>4281</v>
      </c>
      <c r="C2416" s="8" t="s">
        <v>19</v>
      </c>
      <c r="D2416" s="8" t="s">
        <v>19</v>
      </c>
      <c r="E2416" s="8" t="s">
        <v>19</v>
      </c>
      <c r="F2416" s="8" t="s">
        <v>20</v>
      </c>
      <c r="G2416" s="8" t="s">
        <v>21</v>
      </c>
      <c r="H2416" s="9"/>
      <c r="I2416" s="9"/>
      <c r="J2416" s="10">
        <f t="shared" ref="J2416:M2416" si="1440">ifs(OR($H2416="R",$I2416="N"),"N/A",OR(C2416="A",C2416="B",C2416="C",C2416="U"),3,TRUE,"FLAG")</f>
        <v>3</v>
      </c>
      <c r="K2416" s="10">
        <f t="shared" si="1440"/>
        <v>3</v>
      </c>
      <c r="L2416" s="10">
        <f t="shared" si="1440"/>
        <v>3</v>
      </c>
      <c r="M2416" s="10" t="str">
        <f t="shared" si="1440"/>
        <v>FLAG</v>
      </c>
      <c r="N2416" s="10" t="str">
        <f t="shared" si="2"/>
        <v>74-5371(b) - Psychologists; Practice masters level psychology or hold oneself out as a licensed clinical psychotherapist without holding such license</v>
      </c>
      <c r="O2416" s="10" t="str">
        <f t="shared" si="3"/>
        <v>Psychologists</v>
      </c>
    </row>
    <row r="2417">
      <c r="A2417" s="7" t="s">
        <v>4282</v>
      </c>
      <c r="B2417" s="8" t="s">
        <v>4283</v>
      </c>
      <c r="C2417" s="8" t="s">
        <v>19</v>
      </c>
      <c r="D2417" s="8" t="s">
        <v>19</v>
      </c>
      <c r="E2417" s="8" t="s">
        <v>19</v>
      </c>
      <c r="F2417" s="8" t="s">
        <v>20</v>
      </c>
      <c r="G2417" s="8" t="s">
        <v>21</v>
      </c>
      <c r="H2417" s="9"/>
      <c r="I2417" s="9"/>
      <c r="J2417" s="10">
        <f t="shared" ref="J2417:M2417" si="1441">ifs(OR($H2417="R",$I2417="N"),"N/A",OR(C2417="A",C2417="B",C2417="C",C2417="U"),3,TRUE,"FLAG")</f>
        <v>3</v>
      </c>
      <c r="K2417" s="10">
        <f t="shared" si="1441"/>
        <v>3</v>
      </c>
      <c r="L2417" s="10">
        <f t="shared" si="1441"/>
        <v>3</v>
      </c>
      <c r="M2417" s="10" t="str">
        <f t="shared" si="1441"/>
        <v>FLAG</v>
      </c>
      <c r="N2417" s="10" t="str">
        <f t="shared" si="2"/>
        <v>74-5371(a) - Psychologists; Practice masters level psychology or hold oneself out as a licensed masters level psychologist without holding a valid license</v>
      </c>
      <c r="O2417" s="10" t="str">
        <f t="shared" si="3"/>
        <v>Psychologists</v>
      </c>
    </row>
    <row r="2418">
      <c r="A2418" s="7" t="s">
        <v>4284</v>
      </c>
      <c r="B2418" s="8" t="s">
        <v>4285</v>
      </c>
      <c r="C2418" s="8" t="s">
        <v>27</v>
      </c>
      <c r="D2418" s="8" t="s">
        <v>28</v>
      </c>
      <c r="E2418" s="8" t="s">
        <v>19</v>
      </c>
      <c r="F2418" s="8" t="s">
        <v>20</v>
      </c>
      <c r="G2418" s="8" t="s">
        <v>21</v>
      </c>
      <c r="H2418" s="9"/>
      <c r="I2418" s="9"/>
      <c r="J2418" s="10">
        <f t="shared" ref="J2418:M2418" si="1442">ifs(OR($H2418="R",$I2418="N"),"N/A",OR(C2418="A",C2418="B",C2418="C",C2418="U"),3,TRUE,"FLAG")</f>
        <v>3</v>
      </c>
      <c r="K2418" s="10">
        <f t="shared" si="1442"/>
        <v>3</v>
      </c>
      <c r="L2418" s="10">
        <f t="shared" si="1442"/>
        <v>3</v>
      </c>
      <c r="M2418" s="10" t="str">
        <f t="shared" si="1442"/>
        <v>FLAG</v>
      </c>
      <c r="N2418" s="10" t="str">
        <f t="shared" si="2"/>
        <v>74-5340 - Psychologists; Represent oneself to be a psychologist without a valid, existing license as a psychologist issued by the board</v>
      </c>
      <c r="O2418" s="10" t="str">
        <f t="shared" si="3"/>
        <v>Psychologists</v>
      </c>
    </row>
    <row r="2419">
      <c r="A2419" s="7" t="s">
        <v>4286</v>
      </c>
      <c r="B2419" s="8" t="s">
        <v>4287</v>
      </c>
      <c r="C2419" s="8" t="s">
        <v>27</v>
      </c>
      <c r="D2419" s="8" t="s">
        <v>28</v>
      </c>
      <c r="E2419" s="8" t="s">
        <v>19</v>
      </c>
      <c r="F2419" s="8" t="s">
        <v>20</v>
      </c>
      <c r="G2419" s="8" t="s">
        <v>21</v>
      </c>
      <c r="H2419" s="9"/>
      <c r="I2419" s="9"/>
      <c r="J2419" s="10">
        <f t="shared" ref="J2419:M2419" si="1443">ifs(OR($H2419="R",$I2419="N"),"N/A",OR(C2419="A",C2419="B",C2419="C",C2419="U"),3,TRUE,"FLAG")</f>
        <v>3</v>
      </c>
      <c r="K2419" s="10">
        <f t="shared" si="1443"/>
        <v>3</v>
      </c>
      <c r="L2419" s="10">
        <f t="shared" si="1443"/>
        <v>3</v>
      </c>
      <c r="M2419" s="10" t="str">
        <f t="shared" si="1443"/>
        <v>FLAG</v>
      </c>
      <c r="N2419" s="10" t="str">
        <f t="shared" si="2"/>
        <v>74-4905(f) - Public Employees Retirement Systems; Serving on the board while knowingly obtaining substantial interests in any nonpublicly traded investment with moneys of the fund</v>
      </c>
      <c r="O2419" s="10" t="str">
        <f t="shared" si="3"/>
        <v>Public Employees Retirement Systems</v>
      </c>
    </row>
    <row r="2420">
      <c r="A2420" s="7" t="s">
        <v>4288</v>
      </c>
      <c r="B2420" s="8" t="s">
        <v>4289</v>
      </c>
      <c r="C2420" s="8" t="s">
        <v>28</v>
      </c>
      <c r="D2420" s="8" t="s">
        <v>19</v>
      </c>
      <c r="E2420" s="8" t="s">
        <v>19</v>
      </c>
      <c r="F2420" s="8" t="s">
        <v>20</v>
      </c>
      <c r="G2420" s="8" t="s">
        <v>21</v>
      </c>
      <c r="H2420" s="9"/>
      <c r="I2420" s="9"/>
      <c r="J2420" s="10">
        <f t="shared" ref="J2420:M2420" si="1444">ifs(OR($H2420="R",$I2420="N"),"N/A",OR(C2420="A",C2420="B",C2420="C",C2420="U"),3,TRUE,"FLAG")</f>
        <v>3</v>
      </c>
      <c r="K2420" s="10">
        <f t="shared" si="1444"/>
        <v>3</v>
      </c>
      <c r="L2420" s="10">
        <f t="shared" si="1444"/>
        <v>3</v>
      </c>
      <c r="M2420" s="10" t="str">
        <f t="shared" si="1444"/>
        <v>FLAG</v>
      </c>
      <c r="N2420" s="10" t="str">
        <f t="shared" si="2"/>
        <v>65-6b08(b) - Public Health; Amygdalin (Laetrile); distributing amygdalin (laetrile) at wholesale without permit</v>
      </c>
      <c r="O2420" s="10" t="str">
        <f t="shared" si="3"/>
        <v>Public Health</v>
      </c>
    </row>
    <row r="2421">
      <c r="A2421" s="7" t="s">
        <v>4290</v>
      </c>
      <c r="B2421" s="8" t="s">
        <v>4291</v>
      </c>
      <c r="C2421" s="8" t="s">
        <v>28</v>
      </c>
      <c r="D2421" s="8" t="s">
        <v>19</v>
      </c>
      <c r="E2421" s="8" t="s">
        <v>19</v>
      </c>
      <c r="F2421" s="8" t="s">
        <v>20</v>
      </c>
      <c r="G2421" s="8" t="s">
        <v>21</v>
      </c>
      <c r="H2421" s="9"/>
      <c r="I2421" s="9"/>
      <c r="J2421" s="10">
        <f t="shared" ref="J2421:M2421" si="1445">ifs(OR($H2421="R",$I2421="N"),"N/A",OR(C2421="A",C2421="B",C2421="C",C2421="U"),3,TRUE,"FLAG")</f>
        <v>3</v>
      </c>
      <c r="K2421" s="10">
        <f t="shared" si="1445"/>
        <v>3</v>
      </c>
      <c r="L2421" s="10">
        <f t="shared" si="1445"/>
        <v>3</v>
      </c>
      <c r="M2421" s="10" t="str">
        <f t="shared" si="1445"/>
        <v>FLAG</v>
      </c>
      <c r="N2421" s="10" t="str">
        <f t="shared" si="2"/>
        <v>65-6b08(a) - Public Health; Amygdalin (Laetrile); manufacturing amygdalin (laetrile) without registration</v>
      </c>
      <c r="O2421" s="10" t="str">
        <f t="shared" si="3"/>
        <v>Public Health</v>
      </c>
    </row>
    <row r="2422">
      <c r="A2422" s="7" t="s">
        <v>4292</v>
      </c>
      <c r="B2422" s="8" t="s">
        <v>4293</v>
      </c>
      <c r="C2422" s="8" t="s">
        <v>28</v>
      </c>
      <c r="D2422" s="8" t="s">
        <v>19</v>
      </c>
      <c r="E2422" s="8" t="s">
        <v>19</v>
      </c>
      <c r="F2422" s="8" t="s">
        <v>20</v>
      </c>
      <c r="G2422" s="8" t="s">
        <v>21</v>
      </c>
      <c r="H2422" s="9"/>
      <c r="I2422" s="9"/>
      <c r="J2422" s="10">
        <f t="shared" ref="J2422:M2422" si="1446">ifs(OR($H2422="R",$I2422="N"),"N/A",OR(C2422="A",C2422="B",C2422="C",C2422="U"),3,TRUE,"FLAG")</f>
        <v>3</v>
      </c>
      <c r="K2422" s="10">
        <f t="shared" si="1446"/>
        <v>3</v>
      </c>
      <c r="L2422" s="10">
        <f t="shared" si="1446"/>
        <v>3</v>
      </c>
      <c r="M2422" s="10" t="str">
        <f t="shared" si="1446"/>
        <v>FLAG</v>
      </c>
      <c r="N2422" s="10" t="str">
        <f t="shared" si="2"/>
        <v>65-6b08(d) - Public Health; Amygdalin (Laetrile); sell, offer for sale or distribute amygdalin (laetrile) to the public without a valid prescription of a physician</v>
      </c>
      <c r="O2422" s="10" t="str">
        <f t="shared" si="3"/>
        <v>Public Health</v>
      </c>
    </row>
    <row r="2423">
      <c r="A2423" s="7" t="s">
        <v>4294</v>
      </c>
      <c r="B2423" s="8" t="s">
        <v>4295</v>
      </c>
      <c r="C2423" s="8" t="s">
        <v>28</v>
      </c>
      <c r="D2423" s="8" t="s">
        <v>19</v>
      </c>
      <c r="E2423" s="8" t="s">
        <v>19</v>
      </c>
      <c r="F2423" s="8" t="s">
        <v>20</v>
      </c>
      <c r="G2423" s="8" t="s">
        <v>21</v>
      </c>
      <c r="H2423" s="9"/>
      <c r="I2423" s="9"/>
      <c r="J2423" s="10">
        <f t="shared" ref="J2423:M2423" si="1447">ifs(OR($H2423="R",$I2423="N"),"N/A",OR(C2423="A",C2423="B",C2423="C",C2423="U"),3,TRUE,"FLAG")</f>
        <v>3</v>
      </c>
      <c r="K2423" s="10">
        <f t="shared" si="1447"/>
        <v>3</v>
      </c>
      <c r="L2423" s="10">
        <f t="shared" si="1447"/>
        <v>3</v>
      </c>
      <c r="M2423" s="10" t="str">
        <f t="shared" si="1447"/>
        <v>FLAG</v>
      </c>
      <c r="N2423" s="10" t="str">
        <f t="shared" si="2"/>
        <v>65-6b08(c) - Public Health; Amygdalin (Laetrile); sell, offer for sale or distribute amygdalin (laetrile) to the public, except by a physician, without a currently effective permit</v>
      </c>
      <c r="O2423" s="10" t="str">
        <f t="shared" si="3"/>
        <v>Public Health</v>
      </c>
    </row>
    <row r="2424">
      <c r="A2424" s="7" t="s">
        <v>4296</v>
      </c>
      <c r="B2424" s="8" t="s">
        <v>4297</v>
      </c>
      <c r="C2424" s="8" t="s">
        <v>19</v>
      </c>
      <c r="D2424" s="8" t="s">
        <v>19</v>
      </c>
      <c r="E2424" s="8" t="s">
        <v>19</v>
      </c>
      <c r="F2424" s="8" t="s">
        <v>20</v>
      </c>
      <c r="G2424" s="8" t="s">
        <v>21</v>
      </c>
      <c r="H2424" s="9"/>
      <c r="I2424" s="9"/>
      <c r="J2424" s="10">
        <f t="shared" ref="J2424:M2424" si="1448">ifs(OR($H2424="R",$I2424="N"),"N/A",OR(C2424="A",C2424="B",C2424="C",C2424="U"),3,TRUE,"FLAG")</f>
        <v>3</v>
      </c>
      <c r="K2424" s="10">
        <f t="shared" si="1448"/>
        <v>3</v>
      </c>
      <c r="L2424" s="10">
        <f t="shared" si="1448"/>
        <v>3</v>
      </c>
      <c r="M2424" s="10" t="str">
        <f t="shared" si="1448"/>
        <v>FLAG</v>
      </c>
      <c r="N2424" s="10" t="str">
        <f t="shared" si="2"/>
        <v>65-5605 - Public Health; Confidential Communications &amp; Information; Willful violation of the patient's confidentiality</v>
      </c>
      <c r="O2424" s="10" t="str">
        <f t="shared" si="3"/>
        <v>Public Health</v>
      </c>
    </row>
    <row r="2425">
      <c r="A2425" s="7" t="s">
        <v>4298</v>
      </c>
      <c r="B2425" s="8" t="s">
        <v>4299</v>
      </c>
      <c r="C2425" s="8" t="s">
        <v>19</v>
      </c>
      <c r="D2425" s="8" t="s">
        <v>19</v>
      </c>
      <c r="E2425" s="8" t="s">
        <v>19</v>
      </c>
      <c r="F2425" s="8" t="s">
        <v>20</v>
      </c>
      <c r="G2425" s="8" t="s">
        <v>21</v>
      </c>
      <c r="H2425" s="9"/>
      <c r="I2425" s="9"/>
      <c r="J2425" s="10">
        <f t="shared" ref="J2425:M2425" si="1449">ifs(OR($H2425="R",$I2425="N"),"N/A",OR(C2425="A",C2425="B",C2425="C",C2425="U"),3,TRUE,"FLAG")</f>
        <v>3</v>
      </c>
      <c r="K2425" s="10">
        <f t="shared" si="1449"/>
        <v>3</v>
      </c>
      <c r="L2425" s="10">
        <f t="shared" si="1449"/>
        <v>3</v>
      </c>
      <c r="M2425" s="10" t="str">
        <f t="shared" si="1449"/>
        <v>FLAG</v>
      </c>
      <c r="N2425" s="10" t="str">
        <f t="shared" si="2"/>
        <v>65-5414(a) - Public Health; Unauthorized representation as occupational therapist or occupational therapy assistant</v>
      </c>
      <c r="O2425" s="10" t="str">
        <f t="shared" si="3"/>
        <v>Public Health</v>
      </c>
    </row>
    <row r="2426">
      <c r="A2426" s="7" t="s">
        <v>4300</v>
      </c>
      <c r="B2426" s="8" t="s">
        <v>4301</v>
      </c>
      <c r="C2426" s="8" t="s">
        <v>18</v>
      </c>
      <c r="D2426" s="8" t="s">
        <v>18</v>
      </c>
      <c r="E2426" s="8" t="s">
        <v>19</v>
      </c>
      <c r="F2426" s="8" t="s">
        <v>20</v>
      </c>
      <c r="G2426" s="8" t="s">
        <v>21</v>
      </c>
      <c r="H2426" s="9"/>
      <c r="I2426" s="9"/>
      <c r="J2426" s="10">
        <f t="shared" ref="J2426:M2426" si="1450">ifs(OR($H2426="R",$I2426="N"),"N/A",OR(C2426="A",C2426="B",C2426="C",C2426="U"),3,TRUE,"FLAG")</f>
        <v>3</v>
      </c>
      <c r="K2426" s="10">
        <f t="shared" si="1450"/>
        <v>3</v>
      </c>
      <c r="L2426" s="10">
        <f t="shared" si="1450"/>
        <v>3</v>
      </c>
      <c r="M2426" s="10" t="str">
        <f t="shared" si="1450"/>
        <v>FLAG</v>
      </c>
      <c r="N2426" s="10" t="str">
        <f t="shared" si="2"/>
        <v>65-905 - Public Health; Use of Dead Bodies by Medical School; penalty for violation of provisions of act</v>
      </c>
      <c r="O2426" s="10" t="str">
        <f t="shared" si="3"/>
        <v>Public Health</v>
      </c>
    </row>
    <row r="2427">
      <c r="A2427" s="7" t="s">
        <v>4302</v>
      </c>
      <c r="B2427" s="8" t="s">
        <v>4303</v>
      </c>
      <c r="C2427" s="8" t="s">
        <v>18</v>
      </c>
      <c r="D2427" s="8" t="s">
        <v>18</v>
      </c>
      <c r="E2427" s="8" t="s">
        <v>19</v>
      </c>
      <c r="F2427" s="8" t="s">
        <v>20</v>
      </c>
      <c r="G2427" s="8" t="s">
        <v>21</v>
      </c>
      <c r="H2427" s="9"/>
      <c r="I2427" s="9"/>
      <c r="J2427" s="10">
        <f t="shared" ref="J2427:M2427" si="1451">ifs(OR($H2427="R",$I2427="N"),"N/A",OR(C2427="A",C2427="B",C2427="C",C2427="U"),3,TRUE,"FLAG")</f>
        <v>3</v>
      </c>
      <c r="K2427" s="10">
        <f t="shared" si="1451"/>
        <v>3</v>
      </c>
      <c r="L2427" s="10">
        <f t="shared" si="1451"/>
        <v>3</v>
      </c>
      <c r="M2427" s="10" t="str">
        <f t="shared" si="1451"/>
        <v>FLAG</v>
      </c>
      <c r="N2427" s="10" t="str">
        <f t="shared" si="2"/>
        <v>19-27,151 - Public Improvements; Penalty for any violation of rules and regulations</v>
      </c>
      <c r="O2427" s="10" t="str">
        <f t="shared" si="3"/>
        <v>Public Improvements</v>
      </c>
    </row>
    <row r="2428">
      <c r="A2428" s="7" t="s">
        <v>4304</v>
      </c>
      <c r="B2428" s="8" t="s">
        <v>4305</v>
      </c>
      <c r="C2428" s="8" t="s">
        <v>18</v>
      </c>
      <c r="D2428" s="8" t="s">
        <v>18</v>
      </c>
      <c r="E2428" s="8" t="s">
        <v>19</v>
      </c>
      <c r="F2428" s="8" t="s">
        <v>20</v>
      </c>
      <c r="G2428" s="8" t="s">
        <v>21</v>
      </c>
      <c r="H2428" s="9"/>
      <c r="I2428" s="9"/>
      <c r="J2428" s="10">
        <f t="shared" ref="J2428:M2428" si="1452">ifs(OR($H2428="R",$I2428="N"),"N/A",OR(C2428="A",C2428="B",C2428="C",C2428="U"),3,TRUE,"FLAG")</f>
        <v>3</v>
      </c>
      <c r="K2428" s="10">
        <f t="shared" si="1452"/>
        <v>3</v>
      </c>
      <c r="L2428" s="10">
        <f t="shared" si="1452"/>
        <v>3</v>
      </c>
      <c r="M2428" s="10" t="str">
        <f t="shared" si="1452"/>
        <v>FLAG</v>
      </c>
      <c r="N2428" s="10" t="str">
        <f t="shared" si="2"/>
        <v>19-2779 - Public Improvements; Willful neglect or failure of director to perform duties imposed</v>
      </c>
      <c r="O2428" s="10" t="str">
        <f t="shared" si="3"/>
        <v>Public Improvements</v>
      </c>
    </row>
    <row r="2429">
      <c r="A2429" s="7" t="s">
        <v>4306</v>
      </c>
      <c r="B2429" s="8" t="s">
        <v>4307</v>
      </c>
      <c r="C2429" s="8" t="s">
        <v>18</v>
      </c>
      <c r="D2429" s="8" t="s">
        <v>18</v>
      </c>
      <c r="E2429" s="8" t="s">
        <v>19</v>
      </c>
      <c r="F2429" s="8" t="s">
        <v>20</v>
      </c>
      <c r="G2429" s="8" t="s">
        <v>21</v>
      </c>
      <c r="H2429" s="9"/>
      <c r="I2429" s="9"/>
      <c r="J2429" s="10">
        <f t="shared" ref="J2429:M2429" si="1453">ifs(OR($H2429="R",$I2429="N"),"N/A",OR(C2429="A",C2429="B",C2429="C",C2429="U"),3,TRUE,"FLAG")</f>
        <v>3</v>
      </c>
      <c r="K2429" s="10">
        <f t="shared" si="1453"/>
        <v>3</v>
      </c>
      <c r="L2429" s="10">
        <f t="shared" si="1453"/>
        <v>3</v>
      </c>
      <c r="M2429" s="10" t="str">
        <f t="shared" si="1453"/>
        <v>FLAG</v>
      </c>
      <c r="N2429" s="10" t="str">
        <f t="shared" si="2"/>
        <v>19-2780 - Public Improvements; Wrongfully injure, destroy or impair usefulness of any work or improvement</v>
      </c>
      <c r="O2429" s="10" t="str">
        <f t="shared" si="3"/>
        <v>Public Improvements</v>
      </c>
    </row>
    <row r="2430">
      <c r="A2430" s="7" t="s">
        <v>4308</v>
      </c>
      <c r="B2430" s="8" t="s">
        <v>4309</v>
      </c>
      <c r="C2430" s="8" t="s">
        <v>18</v>
      </c>
      <c r="D2430" s="8" t="s">
        <v>18</v>
      </c>
      <c r="E2430" s="8" t="s">
        <v>19</v>
      </c>
      <c r="F2430" s="8" t="s">
        <v>20</v>
      </c>
      <c r="G2430" s="8" t="s">
        <v>21</v>
      </c>
      <c r="H2430" s="9"/>
      <c r="I2430" s="9"/>
      <c r="J2430" s="10">
        <f t="shared" ref="J2430:M2430" si="1454">ifs(OR($H2430="R",$I2430="N"),"N/A",OR(C2430="A",C2430="B",C2430="C",C2430="U"),3,TRUE,"FLAG")</f>
        <v>3</v>
      </c>
      <c r="K2430" s="10">
        <f t="shared" si="1454"/>
        <v>3</v>
      </c>
      <c r="L2430" s="10">
        <f t="shared" si="1454"/>
        <v>3</v>
      </c>
      <c r="M2430" s="10" t="str">
        <f t="shared" si="1454"/>
        <v>FLAG</v>
      </c>
      <c r="N2430" s="10" t="str">
        <f t="shared" si="2"/>
        <v>47-1010(a)(1) - Public Livestock Markets; Assume or attempt to act as a public livestock market operator without a license</v>
      </c>
      <c r="O2430" s="10" t="str">
        <f t="shared" si="3"/>
        <v>Public Livestock Markets</v>
      </c>
    </row>
    <row r="2431">
      <c r="A2431" s="7" t="s">
        <v>4310</v>
      </c>
      <c r="B2431" s="8" t="s">
        <v>4311</v>
      </c>
      <c r="C2431" s="8" t="s">
        <v>18</v>
      </c>
      <c r="D2431" s="8" t="s">
        <v>18</v>
      </c>
      <c r="E2431" s="8" t="s">
        <v>19</v>
      </c>
      <c r="F2431" s="8" t="s">
        <v>20</v>
      </c>
      <c r="G2431" s="8" t="s">
        <v>21</v>
      </c>
      <c r="H2431" s="9"/>
      <c r="I2431" s="9"/>
      <c r="J2431" s="10">
        <f t="shared" ref="J2431:M2431" si="1455">ifs(OR($H2431="R",$I2431="N"),"N/A",OR(C2431="A",C2431="B",C2431="C",C2431="U"),3,TRUE,"FLAG")</f>
        <v>3</v>
      </c>
      <c r="K2431" s="10">
        <f t="shared" si="1455"/>
        <v>3</v>
      </c>
      <c r="L2431" s="10">
        <f t="shared" si="1455"/>
        <v>3</v>
      </c>
      <c r="M2431" s="10" t="str">
        <f t="shared" si="1455"/>
        <v>FLAG</v>
      </c>
      <c r="N2431" s="10" t="str">
        <f t="shared" si="2"/>
        <v>47-1010(a)(3) - Public Livestock Markets; Fail to account promptly, correctly and fully for any livestock sold or handled and properly to make settlements therefore</v>
      </c>
      <c r="O2431" s="10" t="str">
        <f t="shared" si="3"/>
        <v>Public Livestock Markets</v>
      </c>
    </row>
    <row r="2432">
      <c r="A2432" s="7" t="s">
        <v>4312</v>
      </c>
      <c r="B2432" s="8" t="s">
        <v>4313</v>
      </c>
      <c r="C2432" s="8" t="s">
        <v>18</v>
      </c>
      <c r="D2432" s="8" t="s">
        <v>18</v>
      </c>
      <c r="E2432" s="8" t="s">
        <v>19</v>
      </c>
      <c r="F2432" s="8" t="s">
        <v>20</v>
      </c>
      <c r="G2432" s="8" t="s">
        <v>21</v>
      </c>
      <c r="H2432" s="9"/>
      <c r="I2432" s="9"/>
      <c r="J2432" s="10">
        <f t="shared" ref="J2432:M2432" si="1456">ifs(OR($H2432="R",$I2432="N"),"N/A",OR(C2432="A",C2432="B",C2432="C",C2432="U"),3,TRUE,"FLAG")</f>
        <v>3</v>
      </c>
      <c r="K2432" s="10">
        <f t="shared" si="1456"/>
        <v>3</v>
      </c>
      <c r="L2432" s="10">
        <f t="shared" si="1456"/>
        <v>3</v>
      </c>
      <c r="M2432" s="10" t="str">
        <f t="shared" si="1456"/>
        <v>FLAG</v>
      </c>
      <c r="N2432" s="10" t="str">
        <f t="shared" si="2"/>
        <v>47-1010(a)(6) - Public Livestock Markets; Fail to comply with this act and any and all lawful rules, regulations and orders of the commissioner issued and promulgated hereunder</v>
      </c>
      <c r="O2432" s="10" t="str">
        <f t="shared" si="3"/>
        <v>Public Livestock Markets</v>
      </c>
    </row>
    <row r="2433">
      <c r="A2433" s="7" t="s">
        <v>4314</v>
      </c>
      <c r="B2433" s="8" t="s">
        <v>4315</v>
      </c>
      <c r="C2433" s="8" t="s">
        <v>18</v>
      </c>
      <c r="D2433" s="8" t="s">
        <v>18</v>
      </c>
      <c r="E2433" s="8" t="s">
        <v>19</v>
      </c>
      <c r="F2433" s="8" t="s">
        <v>20</v>
      </c>
      <c r="G2433" s="8" t="s">
        <v>21</v>
      </c>
      <c r="H2433" s="9"/>
      <c r="I2433" s="9"/>
      <c r="J2433" s="10">
        <f t="shared" ref="J2433:M2433" si="1457">ifs(OR($H2433="R",$I2433="N"),"N/A",OR(C2433="A",C2433="B",C2433="C",C2433="U"),3,TRUE,"FLAG")</f>
        <v>3</v>
      </c>
      <c r="K2433" s="10">
        <f t="shared" si="1457"/>
        <v>3</v>
      </c>
      <c r="L2433" s="10">
        <f t="shared" si="1457"/>
        <v>3</v>
      </c>
      <c r="M2433" s="10" t="str">
        <f t="shared" si="1457"/>
        <v>FLAG</v>
      </c>
      <c r="N2433" s="10" t="str">
        <f t="shared" si="2"/>
        <v>47-1010(a)(2) - Public Livestock Markets; Impose false charges for handling or services in connection with livestock handled, sold or offered for sale at a public livestock market</v>
      </c>
      <c r="O2433" s="10" t="str">
        <f t="shared" si="3"/>
        <v>Public Livestock Markets</v>
      </c>
    </row>
    <row r="2434">
      <c r="A2434" s="7" t="s">
        <v>4316</v>
      </c>
      <c r="B2434" s="8" t="s">
        <v>4317</v>
      </c>
      <c r="C2434" s="8" t="s">
        <v>18</v>
      </c>
      <c r="D2434" s="8" t="s">
        <v>18</v>
      </c>
      <c r="E2434" s="8" t="s">
        <v>19</v>
      </c>
      <c r="F2434" s="8" t="s">
        <v>20</v>
      </c>
      <c r="G2434" s="8" t="s">
        <v>21</v>
      </c>
      <c r="H2434" s="9"/>
      <c r="I2434" s="9"/>
      <c r="J2434" s="10">
        <f t="shared" ref="J2434:M2434" si="1458">ifs(OR($H2434="R",$I2434="N"),"N/A",OR(C2434="A",C2434="B",C2434="C",C2434="U"),3,TRUE,"FLAG")</f>
        <v>3</v>
      </c>
      <c r="K2434" s="10">
        <f t="shared" si="1458"/>
        <v>3</v>
      </c>
      <c r="L2434" s="10">
        <f t="shared" si="1458"/>
        <v>3</v>
      </c>
      <c r="M2434" s="10" t="str">
        <f t="shared" si="1458"/>
        <v>FLAG</v>
      </c>
      <c r="N2434" s="10" t="str">
        <f t="shared" si="2"/>
        <v>47-1010(a)(5) - Public Livestock Markets; Make any false or misleading statements as to the health or physical condition of the livestock or quantity of livestock shipped or sold</v>
      </c>
      <c r="O2434" s="10" t="str">
        <f t="shared" si="3"/>
        <v>Public Livestock Markets</v>
      </c>
    </row>
    <row r="2435">
      <c r="A2435" s="7" t="s">
        <v>4318</v>
      </c>
      <c r="B2435" s="8" t="s">
        <v>4319</v>
      </c>
      <c r="C2435" s="8" t="s">
        <v>18</v>
      </c>
      <c r="D2435" s="8" t="s">
        <v>18</v>
      </c>
      <c r="E2435" s="8" t="s">
        <v>19</v>
      </c>
      <c r="F2435" s="8" t="s">
        <v>20</v>
      </c>
      <c r="G2435" s="8" t="s">
        <v>21</v>
      </c>
      <c r="H2435" s="9"/>
      <c r="I2435" s="9"/>
      <c r="J2435" s="10">
        <f t="shared" ref="J2435:M2435" si="1459">ifs(OR($H2435="R",$I2435="N"),"N/A",OR(C2435="A",C2435="B",C2435="C",C2435="U"),3,TRUE,"FLAG")</f>
        <v>3</v>
      </c>
      <c r="K2435" s="10">
        <f t="shared" si="1459"/>
        <v>3</v>
      </c>
      <c r="L2435" s="10">
        <f t="shared" si="1459"/>
        <v>3</v>
      </c>
      <c r="M2435" s="10" t="str">
        <f t="shared" si="1459"/>
        <v>FLAG</v>
      </c>
      <c r="N2435" s="10" t="str">
        <f t="shared" si="2"/>
        <v>47-1010(a)(4) - Public Livestock Markets; Make false or misleading statements as to market conditions at any public livestock market by its owner or employees</v>
      </c>
      <c r="O2435" s="10" t="str">
        <f t="shared" si="3"/>
        <v>Public Livestock Markets</v>
      </c>
    </row>
    <row r="2436">
      <c r="A2436" s="7" t="s">
        <v>4320</v>
      </c>
      <c r="B2436" s="8" t="s">
        <v>4321</v>
      </c>
      <c r="C2436" s="8" t="s">
        <v>19</v>
      </c>
      <c r="D2436" s="8" t="s">
        <v>19</v>
      </c>
      <c r="E2436" s="8" t="s">
        <v>19</v>
      </c>
      <c r="F2436" s="8" t="s">
        <v>20</v>
      </c>
      <c r="G2436" s="8" t="s">
        <v>21</v>
      </c>
      <c r="H2436" s="9"/>
      <c r="I2436" s="9"/>
      <c r="J2436" s="10">
        <f t="shared" ref="J2436:M2436" si="1460">ifs(OR($H2436="R",$I2436="N"),"N/A",OR(C2436="A",C2436="B",C2436="C",C2436="U"),3,TRUE,"FLAG")</f>
        <v>3</v>
      </c>
      <c r="K2436" s="10">
        <f t="shared" si="1460"/>
        <v>3</v>
      </c>
      <c r="L2436" s="10">
        <f t="shared" si="1460"/>
        <v>3</v>
      </c>
      <c r="M2436" s="10" t="str">
        <f t="shared" si="1460"/>
        <v>FLAG</v>
      </c>
      <c r="N2436" s="10" t="str">
        <f t="shared" si="2"/>
        <v>21-6204(a) - Public Nuisance; Maintaining a Public Nuisance; Knowingly causing or permitting condition to exist which injures or endangers the public health, safety or welfare</v>
      </c>
      <c r="O2436" s="10" t="str">
        <f t="shared" si="3"/>
        <v>Public Nuisance</v>
      </c>
    </row>
    <row r="2437">
      <c r="A2437" s="7" t="s">
        <v>4322</v>
      </c>
      <c r="B2437" s="8" t="s">
        <v>4323</v>
      </c>
      <c r="C2437" s="8" t="s">
        <v>19</v>
      </c>
      <c r="D2437" s="8" t="s">
        <v>19</v>
      </c>
      <c r="E2437" s="8" t="s">
        <v>19</v>
      </c>
      <c r="F2437" s="8" t="s">
        <v>20</v>
      </c>
      <c r="G2437" s="8" t="s">
        <v>21</v>
      </c>
      <c r="H2437" s="9"/>
      <c r="I2437" s="9"/>
      <c r="J2437" s="10">
        <f t="shared" ref="J2437:M2437" si="1461">ifs(OR($H2437="R",$I2437="N"),"N/A",OR(C2437="A",C2437="B",C2437="C",C2437="U"),3,TRUE,"FLAG")</f>
        <v>3</v>
      </c>
      <c r="K2437" s="10">
        <f t="shared" si="1461"/>
        <v>3</v>
      </c>
      <c r="L2437" s="10">
        <f t="shared" si="1461"/>
        <v>3</v>
      </c>
      <c r="M2437" s="10" t="str">
        <f t="shared" si="1461"/>
        <v>FLAG</v>
      </c>
      <c r="N2437" s="10" t="str">
        <f t="shared" si="2"/>
        <v>21-6204 - Public Nuisance; Maintaining; Permitting</v>
      </c>
      <c r="O2437" s="10" t="str">
        <f t="shared" si="3"/>
        <v>Public Nuisance</v>
      </c>
    </row>
    <row r="2438">
      <c r="A2438" s="7" t="s">
        <v>4324</v>
      </c>
      <c r="B2438" s="8" t="s">
        <v>4325</v>
      </c>
      <c r="C2438" s="8" t="s">
        <v>19</v>
      </c>
      <c r="D2438" s="8" t="s">
        <v>19</v>
      </c>
      <c r="E2438" s="8" t="s">
        <v>19</v>
      </c>
      <c r="F2438" s="8" t="s">
        <v>20</v>
      </c>
      <c r="G2438" s="8" t="s">
        <v>21</v>
      </c>
      <c r="H2438" s="9"/>
      <c r="I2438" s="9"/>
      <c r="J2438" s="10">
        <f t="shared" ref="J2438:M2438" si="1462">ifs(OR($H2438="R",$I2438="N"),"N/A",OR(C2438="A",C2438="B",C2438="C",C2438="U"),3,TRUE,"FLAG")</f>
        <v>3</v>
      </c>
      <c r="K2438" s="10">
        <f t="shared" si="1462"/>
        <v>3</v>
      </c>
      <c r="L2438" s="10">
        <f t="shared" si="1462"/>
        <v>3</v>
      </c>
      <c r="M2438" s="10" t="str">
        <f t="shared" si="1462"/>
        <v>FLAG</v>
      </c>
      <c r="N2438" s="10" t="str">
        <f t="shared" si="2"/>
        <v>21-6204(b) - Public Nuisance; Permitting a Public Nuisance; Knowingly permitting property under offender's control to be used to maintain a public nuisance</v>
      </c>
      <c r="O2438" s="10" t="str">
        <f t="shared" si="3"/>
        <v>Public Nuisance</v>
      </c>
    </row>
    <row r="2439">
      <c r="A2439" s="7" t="s">
        <v>4326</v>
      </c>
      <c r="B2439" s="8" t="s">
        <v>4327</v>
      </c>
      <c r="C2439" s="8" t="s">
        <v>27</v>
      </c>
      <c r="D2439" s="8" t="s">
        <v>28</v>
      </c>
      <c r="E2439" s="8" t="s">
        <v>19</v>
      </c>
      <c r="F2439" s="8" t="s">
        <v>20</v>
      </c>
      <c r="G2439" s="8" t="s">
        <v>21</v>
      </c>
      <c r="H2439" s="9"/>
      <c r="I2439" s="9"/>
      <c r="J2439" s="10">
        <f t="shared" ref="J2439:M2439" si="1463">ifs(OR($H2439="R",$I2439="N"),"N/A",OR(C2439="A",C2439="B",C2439="C",C2439="U"),3,TRUE,"FLAG")</f>
        <v>3</v>
      </c>
      <c r="K2439" s="10">
        <f t="shared" si="1463"/>
        <v>3</v>
      </c>
      <c r="L2439" s="10">
        <f t="shared" si="1463"/>
        <v>3</v>
      </c>
      <c r="M2439" s="10" t="str">
        <f t="shared" si="1463"/>
        <v>FLAG</v>
      </c>
      <c r="N2439" s="10" t="str">
        <f t="shared" si="2"/>
        <v>75-4315d(g) - Public Officers &amp; Employees; Appointments; Unauthorized intentional disclosure of personal information of appointees</v>
      </c>
      <c r="O2439" s="10" t="str">
        <f t="shared" si="3"/>
        <v>Public Officers &amp; Employees</v>
      </c>
    </row>
    <row r="2440">
      <c r="A2440" s="7" t="s">
        <v>4328</v>
      </c>
      <c r="B2440" s="8" t="s">
        <v>4329</v>
      </c>
      <c r="C2440" s="8" t="s">
        <v>19</v>
      </c>
      <c r="D2440" s="8" t="s">
        <v>19</v>
      </c>
      <c r="E2440" s="8" t="s">
        <v>19</v>
      </c>
      <c r="F2440" s="8" t="s">
        <v>20</v>
      </c>
      <c r="G2440" s="8" t="s">
        <v>21</v>
      </c>
      <c r="H2440" s="9"/>
      <c r="I2440" s="9"/>
      <c r="J2440" s="10">
        <f t="shared" ref="J2440:M2440" si="1464">ifs(OR($H2440="R",$I2440="N"),"N/A",OR(C2440="A",C2440="B",C2440="C",C2440="U"),3,TRUE,"FLAG")</f>
        <v>3</v>
      </c>
      <c r="K2440" s="10">
        <f t="shared" si="1464"/>
        <v>3</v>
      </c>
      <c r="L2440" s="10">
        <f t="shared" si="1464"/>
        <v>3</v>
      </c>
      <c r="M2440" s="10" t="str">
        <f t="shared" si="1464"/>
        <v>FLAG</v>
      </c>
      <c r="N2440" s="10" t="str">
        <f t="shared" si="2"/>
        <v>75-1232 - Public Officers &amp; Employees; Architectural Services; knowingly permit the use of, using or occupying a mobile home in violation of the provisions of this act</v>
      </c>
      <c r="O2440" s="10" t="str">
        <f t="shared" si="3"/>
        <v>Public Officers &amp; Employees</v>
      </c>
    </row>
    <row r="2441">
      <c r="A2441" s="7" t="s">
        <v>4330</v>
      </c>
      <c r="B2441" s="8" t="s">
        <v>4331</v>
      </c>
      <c r="C2441" s="8" t="s">
        <v>19</v>
      </c>
      <c r="D2441" s="8" t="s">
        <v>19</v>
      </c>
      <c r="E2441" s="8" t="s">
        <v>19</v>
      </c>
      <c r="F2441" s="8" t="s">
        <v>20</v>
      </c>
      <c r="G2441" s="8" t="s">
        <v>21</v>
      </c>
      <c r="H2441" s="9"/>
      <c r="I2441" s="9"/>
      <c r="J2441" s="10">
        <f t="shared" ref="J2441:M2441" si="1465">ifs(OR($H2441="R",$I2441="N"),"N/A",OR(C2441="A",C2441="B",C2441="C",C2441="U"),3,TRUE,"FLAG")</f>
        <v>3</v>
      </c>
      <c r="K2441" s="10">
        <f t="shared" si="1465"/>
        <v>3</v>
      </c>
      <c r="L2441" s="10">
        <f t="shared" si="1465"/>
        <v>3</v>
      </c>
      <c r="M2441" s="10" t="str">
        <f t="shared" si="1465"/>
        <v>FLAG</v>
      </c>
      <c r="N2441" s="10" t="str">
        <f t="shared" si="2"/>
        <v>75-1223(a) - Public Officers &amp; Employees; Architectural Services; penalty for violation of act</v>
      </c>
      <c r="O2441" s="10" t="str">
        <f t="shared" si="3"/>
        <v>Public Officers &amp; Employees</v>
      </c>
    </row>
    <row r="2442">
      <c r="A2442" s="7" t="s">
        <v>4332</v>
      </c>
      <c r="B2442" s="8" t="s">
        <v>4333</v>
      </c>
      <c r="C2442" s="8" t="s">
        <v>18</v>
      </c>
      <c r="D2442" s="8" t="s">
        <v>18</v>
      </c>
      <c r="E2442" s="8" t="s">
        <v>19</v>
      </c>
      <c r="F2442" s="8" t="s">
        <v>20</v>
      </c>
      <c r="G2442" s="8" t="s">
        <v>21</v>
      </c>
      <c r="H2442" s="9"/>
      <c r="I2442" s="9"/>
      <c r="J2442" s="10">
        <f t="shared" ref="J2442:M2442" si="1466">ifs(OR($H2442="R",$I2442="N"),"N/A",OR(C2442="A",C2442="B",C2442="C",C2442="U"),3,TRUE,"FLAG")</f>
        <v>3</v>
      </c>
      <c r="K2442" s="10">
        <f t="shared" si="1466"/>
        <v>3</v>
      </c>
      <c r="L2442" s="10">
        <f t="shared" si="1466"/>
        <v>3</v>
      </c>
      <c r="M2442" s="10" t="str">
        <f t="shared" si="1466"/>
        <v>FLAG</v>
      </c>
      <c r="N2442" s="10" t="str">
        <f t="shared" si="2"/>
        <v>75-2957 - Public Officers &amp; Employees; Civil Service; penalty for violation of act</v>
      </c>
      <c r="O2442" s="10" t="str">
        <f t="shared" si="3"/>
        <v>Public Officers &amp; Employees</v>
      </c>
    </row>
    <row r="2443">
      <c r="A2443" s="7" t="s">
        <v>4334</v>
      </c>
      <c r="B2443" s="8" t="s">
        <v>4335</v>
      </c>
      <c r="C2443" s="8" t="s">
        <v>19</v>
      </c>
      <c r="D2443" s="8" t="s">
        <v>19</v>
      </c>
      <c r="E2443" s="8" t="s">
        <v>19</v>
      </c>
      <c r="F2443" s="8" t="s">
        <v>20</v>
      </c>
      <c r="G2443" s="8" t="s">
        <v>21</v>
      </c>
      <c r="H2443" s="9"/>
      <c r="I2443" s="9"/>
      <c r="J2443" s="10">
        <f t="shared" ref="J2443:M2443" si="1467">ifs(OR($H2443="R",$I2443="N"),"N/A",OR(C2443="A",C2443="B",C2443="C",C2443="U"),3,TRUE,"FLAG")</f>
        <v>3</v>
      </c>
      <c r="K2443" s="10">
        <f t="shared" si="1467"/>
        <v>3</v>
      </c>
      <c r="L2443" s="10">
        <f t="shared" si="1467"/>
        <v>3</v>
      </c>
      <c r="M2443" s="10" t="str">
        <f t="shared" si="1467"/>
        <v>FLAG</v>
      </c>
      <c r="N2443" s="10" t="str">
        <f t="shared" si="2"/>
        <v>75-2953(a) - Public Officers &amp; Employees; Civil Service; State employee using authority or official influence to compel another state employee to apply for or become member of organization, pay or promise to pay assessment or contribution or take part in political activity</v>
      </c>
      <c r="O2443" s="10" t="str">
        <f t="shared" si="3"/>
        <v>Public Officers &amp; Employees</v>
      </c>
    </row>
    <row r="2444">
      <c r="A2444" s="7" t="s">
        <v>4336</v>
      </c>
      <c r="B2444" s="8" t="s">
        <v>4337</v>
      </c>
      <c r="C2444" s="8" t="s">
        <v>27</v>
      </c>
      <c r="D2444" s="8" t="s">
        <v>28</v>
      </c>
      <c r="E2444" s="8" t="s">
        <v>19</v>
      </c>
      <c r="F2444" s="8" t="s">
        <v>20</v>
      </c>
      <c r="G2444" s="8" t="s">
        <v>21</v>
      </c>
      <c r="H2444" s="9"/>
      <c r="I2444" s="9"/>
      <c r="J2444" s="10">
        <f t="shared" ref="J2444:M2444" si="1468">ifs(OR($H2444="R",$I2444="N"),"N/A",OR(C2444="A",C2444="B",C2444="C",C2444="U"),3,TRUE,"FLAG")</f>
        <v>3</v>
      </c>
      <c r="K2444" s="10">
        <f t="shared" si="1468"/>
        <v>3</v>
      </c>
      <c r="L2444" s="10">
        <f t="shared" si="1468"/>
        <v>3</v>
      </c>
      <c r="M2444" s="10" t="str">
        <f t="shared" si="1468"/>
        <v>FLAG</v>
      </c>
      <c r="N2444" s="10" t="str">
        <f t="shared" si="2"/>
        <v>75-53,105(f) - Public Officers &amp; Employees; Department for Children and Families; Unauthorized discloseure of records from KBI and FBI</v>
      </c>
      <c r="O2444" s="10" t="str">
        <f t="shared" si="3"/>
        <v>Public Officers &amp; Employees</v>
      </c>
    </row>
    <row r="2445">
      <c r="A2445" s="7" t="s">
        <v>4338</v>
      </c>
      <c r="B2445" s="8" t="s">
        <v>4339</v>
      </c>
      <c r="C2445" s="8" t="s">
        <v>27</v>
      </c>
      <c r="D2445" s="8" t="s">
        <v>28</v>
      </c>
      <c r="E2445" s="8" t="s">
        <v>19</v>
      </c>
      <c r="F2445" s="8" t="s">
        <v>20</v>
      </c>
      <c r="G2445" s="8" t="s">
        <v>21</v>
      </c>
      <c r="H2445" s="9"/>
      <c r="I2445" s="9"/>
      <c r="J2445" s="10">
        <f t="shared" ref="J2445:M2445" si="1469">ifs(OR($H2445="R",$I2445="N"),"N/A",OR(C2445="A",C2445="B",C2445="C",C2445="U"),3,TRUE,"FLAG")</f>
        <v>3</v>
      </c>
      <c r="K2445" s="10">
        <f t="shared" si="1469"/>
        <v>3</v>
      </c>
      <c r="L2445" s="10">
        <f t="shared" si="1469"/>
        <v>3</v>
      </c>
      <c r="M2445" s="10" t="str">
        <f t="shared" si="1469"/>
        <v>FLAG</v>
      </c>
      <c r="N2445" s="10" t="str">
        <f t="shared" si="2"/>
        <v>75-5226(a) - Public Officers &amp; Employees; Department of Corrections; unlawful use of inmate labor</v>
      </c>
      <c r="O2445" s="10" t="str">
        <f t="shared" si="3"/>
        <v>Public Officers &amp; Employees</v>
      </c>
    </row>
    <row r="2446">
      <c r="A2446" s="7" t="s">
        <v>4340</v>
      </c>
      <c r="B2446" s="8" t="s">
        <v>4341</v>
      </c>
      <c r="C2446" s="8" t="s">
        <v>28</v>
      </c>
      <c r="D2446" s="8" t="s">
        <v>19</v>
      </c>
      <c r="E2446" s="8" t="s">
        <v>19</v>
      </c>
      <c r="F2446" s="8" t="s">
        <v>20</v>
      </c>
      <c r="G2446" s="8" t="s">
        <v>21</v>
      </c>
      <c r="H2446" s="9"/>
      <c r="I2446" s="9"/>
      <c r="J2446" s="10">
        <f t="shared" ref="J2446:M2446" si="1470">ifs(OR($H2446="R",$I2446="N"),"N/A",OR(C2446="A",C2446="B",C2446="C",C2446="U"),3,TRUE,"FLAG")</f>
        <v>3</v>
      </c>
      <c r="K2446" s="10">
        <f t="shared" si="1470"/>
        <v>3</v>
      </c>
      <c r="L2446" s="10">
        <f t="shared" si="1470"/>
        <v>3</v>
      </c>
      <c r="M2446" s="10" t="str">
        <f t="shared" si="1470"/>
        <v>FLAG</v>
      </c>
      <c r="N2446" s="10" t="str">
        <f t="shared" si="2"/>
        <v>75-5145 - Public Officers &amp; Employees; Department of Revenue; unlawful for debt collection agency to utilize or divulge certain information</v>
      </c>
      <c r="O2446" s="10" t="str">
        <f t="shared" si="3"/>
        <v>Public Officers &amp; Employees</v>
      </c>
    </row>
    <row r="2447">
      <c r="A2447" s="7" t="s">
        <v>4342</v>
      </c>
      <c r="B2447" s="8" t="s">
        <v>4343</v>
      </c>
      <c r="C2447" s="8" t="s">
        <v>27</v>
      </c>
      <c r="D2447" s="8" t="s">
        <v>28</v>
      </c>
      <c r="E2447" s="8" t="s">
        <v>19</v>
      </c>
      <c r="F2447" s="8" t="s">
        <v>20</v>
      </c>
      <c r="G2447" s="8" t="s">
        <v>21</v>
      </c>
      <c r="H2447" s="9"/>
      <c r="I2447" s="9"/>
      <c r="J2447" s="10">
        <f t="shared" ref="J2447:M2447" si="1471">ifs(OR($H2447="R",$I2447="N"),"N/A",OR(C2447="A",C2447="B",C2447="C",C2447="U"),3,TRUE,"FLAG")</f>
        <v>3</v>
      </c>
      <c r="K2447" s="10">
        <f t="shared" si="1471"/>
        <v>3</v>
      </c>
      <c r="L2447" s="10">
        <f t="shared" si="1471"/>
        <v>3</v>
      </c>
      <c r="M2447" s="10" t="str">
        <f t="shared" si="1471"/>
        <v>FLAG</v>
      </c>
      <c r="N2447" s="10" t="str">
        <f t="shared" si="2"/>
        <v>75-5133(a) - Public Officers &amp; Employees; Department of Revenue; unlawful to divulge licensure, registration and tax information</v>
      </c>
      <c r="O2447" s="10" t="str">
        <f t="shared" si="3"/>
        <v>Public Officers &amp; Employees</v>
      </c>
    </row>
    <row r="2448">
      <c r="A2448" s="7" t="s">
        <v>4344</v>
      </c>
      <c r="B2448" s="8" t="s">
        <v>4345</v>
      </c>
      <c r="C2448" s="8" t="s">
        <v>1532</v>
      </c>
      <c r="D2448" s="8">
        <v>10.0</v>
      </c>
      <c r="E2448" s="8">
        <v>10.0</v>
      </c>
      <c r="F2448" s="8">
        <v>10.0</v>
      </c>
      <c r="G2448" s="8" t="s">
        <v>21</v>
      </c>
      <c r="H2448" s="9"/>
      <c r="I2448" s="9"/>
      <c r="N2448" s="10" t="str">
        <f t="shared" si="2"/>
        <v>75-4228 - Public Officers &amp; Employees; Liability of Treasurer and Director of Accounts and Reports</v>
      </c>
      <c r="O2448" s="10" t="str">
        <f t="shared" si="3"/>
        <v>Public Officers &amp; Employees</v>
      </c>
    </row>
    <row r="2449">
      <c r="A2449" s="7" t="s">
        <v>4346</v>
      </c>
      <c r="B2449" s="8" t="s">
        <v>4347</v>
      </c>
      <c r="C2449" s="8" t="s">
        <v>18</v>
      </c>
      <c r="D2449" s="8" t="s">
        <v>18</v>
      </c>
      <c r="E2449" s="8" t="s">
        <v>19</v>
      </c>
      <c r="F2449" s="8" t="s">
        <v>20</v>
      </c>
      <c r="G2449" s="8" t="s">
        <v>21</v>
      </c>
      <c r="H2449" s="9"/>
      <c r="I2449" s="9"/>
      <c r="J2449" s="10">
        <f t="shared" ref="J2449:M2449" si="1472">ifs(OR($H2449="R",$I2449="N"),"N/A",OR(C2449="A",C2449="B",C2449="C",C2449="U"),3,TRUE,"FLAG")</f>
        <v>3</v>
      </c>
      <c r="K2449" s="10">
        <f t="shared" si="1472"/>
        <v>3</v>
      </c>
      <c r="L2449" s="10">
        <f t="shared" si="1472"/>
        <v>3</v>
      </c>
      <c r="M2449" s="10" t="str">
        <f t="shared" si="1472"/>
        <v>FLAG</v>
      </c>
      <c r="N2449" s="10" t="str">
        <f t="shared" si="2"/>
        <v>75-1130 - Public Officers &amp; Employees; Municipal Accounting Board; penalties for violation of act</v>
      </c>
      <c r="O2449" s="10" t="str">
        <f t="shared" si="3"/>
        <v>Public Officers &amp; Employees</v>
      </c>
    </row>
    <row r="2450">
      <c r="A2450" s="7" t="s">
        <v>4348</v>
      </c>
      <c r="B2450" s="8" t="s">
        <v>4349</v>
      </c>
      <c r="C2450" s="8" t="s">
        <v>18</v>
      </c>
      <c r="D2450" s="8" t="s">
        <v>18</v>
      </c>
      <c r="E2450" s="8" t="s">
        <v>19</v>
      </c>
      <c r="F2450" s="8" t="s">
        <v>20</v>
      </c>
      <c r="G2450" s="8" t="s">
        <v>21</v>
      </c>
      <c r="H2450" s="9"/>
      <c r="I2450" s="9"/>
      <c r="J2450" s="10">
        <f t="shared" ref="J2450:M2450" si="1473">ifs(OR($H2450="R",$I2450="N"),"N/A",OR(C2450="A",C2450="B",C2450="C",C2450="U"),3,TRUE,"FLAG")</f>
        <v>3</v>
      </c>
      <c r="K2450" s="10">
        <f t="shared" si="1473"/>
        <v>3</v>
      </c>
      <c r="L2450" s="10">
        <f t="shared" si="1473"/>
        <v>3</v>
      </c>
      <c r="M2450" s="10" t="str">
        <f t="shared" si="1473"/>
        <v>FLAG</v>
      </c>
      <c r="N2450" s="10" t="str">
        <f t="shared" si="2"/>
        <v>75-1128 - Public Officers &amp; Employees; Municipal Accounting Board; unlawfully acting as licensed public accountant</v>
      </c>
      <c r="O2450" s="10" t="str">
        <f t="shared" si="3"/>
        <v>Public Officers &amp; Employees</v>
      </c>
    </row>
    <row r="2451">
      <c r="A2451" s="7" t="s">
        <v>4350</v>
      </c>
      <c r="B2451" s="8" t="s">
        <v>4351</v>
      </c>
      <c r="C2451" s="8" t="s">
        <v>18</v>
      </c>
      <c r="D2451" s="8" t="s">
        <v>18</v>
      </c>
      <c r="E2451" s="8" t="s">
        <v>19</v>
      </c>
      <c r="F2451" s="8" t="s">
        <v>20</v>
      </c>
      <c r="G2451" s="8" t="s">
        <v>21</v>
      </c>
      <c r="H2451" s="9"/>
      <c r="I2451" s="9"/>
      <c r="J2451" s="10">
        <f t="shared" ref="J2451:M2451" si="1474">ifs(OR($H2451="R",$I2451="N"),"N/A",OR(C2451="A",C2451="B",C2451="C",C2451="U"),3,TRUE,"FLAG")</f>
        <v>3</v>
      </c>
      <c r="K2451" s="10">
        <f t="shared" si="1474"/>
        <v>3</v>
      </c>
      <c r="L2451" s="10">
        <f t="shared" si="1474"/>
        <v>3</v>
      </c>
      <c r="M2451" s="10" t="str">
        <f t="shared" si="1474"/>
        <v>FLAG</v>
      </c>
      <c r="N2451" s="10" t="str">
        <f t="shared" si="2"/>
        <v>75-2207 - Public Officers &amp; Employees; State Capitol; unauthorized removal of property from hall of house of representatives</v>
      </c>
      <c r="O2451" s="10" t="str">
        <f t="shared" si="3"/>
        <v>Public Officers &amp; Employees</v>
      </c>
    </row>
    <row r="2452">
      <c r="A2452" s="7" t="s">
        <v>4352</v>
      </c>
      <c r="B2452" s="8" t="s">
        <v>4353</v>
      </c>
      <c r="C2452" s="8" t="s">
        <v>18</v>
      </c>
      <c r="D2452" s="8" t="s">
        <v>18</v>
      </c>
      <c r="E2452" s="8" t="s">
        <v>19</v>
      </c>
      <c r="F2452" s="8" t="s">
        <v>20</v>
      </c>
      <c r="G2452" s="8" t="s">
        <v>21</v>
      </c>
      <c r="H2452" s="9"/>
      <c r="I2452" s="9"/>
      <c r="J2452" s="10">
        <f t="shared" ref="J2452:M2452" si="1475">ifs(OR($H2452="R",$I2452="N"),"N/A",OR(C2452="A",C2452="B",C2452="C",C2452="U"),3,TRUE,"FLAG")</f>
        <v>3</v>
      </c>
      <c r="K2452" s="10">
        <f t="shared" si="1475"/>
        <v>3</v>
      </c>
      <c r="L2452" s="10">
        <f t="shared" si="1475"/>
        <v>3</v>
      </c>
      <c r="M2452" s="10" t="str">
        <f t="shared" si="1475"/>
        <v>FLAG</v>
      </c>
      <c r="N2452" s="10" t="str">
        <f t="shared" si="2"/>
        <v>75-2749(a) - Public Officers &amp; Employees; State Historical Society; failure to comply with notification requirements herein pertaining to a violation of K.S.A. 75-2748</v>
      </c>
      <c r="O2452" s="10" t="str">
        <f t="shared" si="3"/>
        <v>Public Officers &amp; Employees</v>
      </c>
    </row>
    <row r="2453">
      <c r="A2453" s="7" t="s">
        <v>4354</v>
      </c>
      <c r="B2453" s="8" t="s">
        <v>4355</v>
      </c>
      <c r="C2453" s="8" t="s">
        <v>18</v>
      </c>
      <c r="D2453" s="8" t="s">
        <v>18</v>
      </c>
      <c r="E2453" s="8" t="s">
        <v>19</v>
      </c>
      <c r="F2453" s="8" t="s">
        <v>20</v>
      </c>
      <c r="G2453" s="8" t="s">
        <v>21</v>
      </c>
      <c r="H2453" s="9"/>
      <c r="I2453" s="9"/>
      <c r="J2453" s="10">
        <f t="shared" ref="J2453:M2453" si="1476">ifs(OR($H2453="R",$I2453="N"),"N/A",OR(C2453="A",C2453="B",C2453="C",C2453="U"),3,TRUE,"FLAG")</f>
        <v>3</v>
      </c>
      <c r="K2453" s="10">
        <f t="shared" si="1476"/>
        <v>3</v>
      </c>
      <c r="L2453" s="10">
        <f t="shared" si="1476"/>
        <v>3</v>
      </c>
      <c r="M2453" s="10" t="str">
        <f t="shared" si="1476"/>
        <v>FLAG</v>
      </c>
      <c r="N2453" s="10" t="str">
        <f t="shared" si="2"/>
        <v>75-2749(b) - Public Officers &amp; Employees; State Historical Society; failure to comply with notification requirements herein pertaining to discovery of human skeletal remains</v>
      </c>
      <c r="O2453" s="10" t="str">
        <f t="shared" si="3"/>
        <v>Public Officers &amp; Employees</v>
      </c>
    </row>
    <row r="2454">
      <c r="A2454" s="7" t="s">
        <v>4356</v>
      </c>
      <c r="B2454" s="8" t="s">
        <v>4357</v>
      </c>
      <c r="C2454" s="8" t="s">
        <v>18</v>
      </c>
      <c r="D2454" s="8" t="s">
        <v>18</v>
      </c>
      <c r="E2454" s="8" t="s">
        <v>19</v>
      </c>
      <c r="F2454" s="8" t="s">
        <v>20</v>
      </c>
      <c r="G2454" s="8" t="s">
        <v>21</v>
      </c>
      <c r="H2454" s="9"/>
      <c r="I2454" s="9"/>
      <c r="J2454" s="10">
        <f t="shared" ref="J2454:M2454" si="1477">ifs(OR($H2454="R",$I2454="N"),"N/A",OR(C2454="A",C2454="B",C2454="C",C2454="U"),3,TRUE,"FLAG")</f>
        <v>3</v>
      </c>
      <c r="K2454" s="10">
        <f t="shared" si="1477"/>
        <v>3</v>
      </c>
      <c r="L2454" s="10">
        <f t="shared" si="1477"/>
        <v>3</v>
      </c>
      <c r="M2454" s="10" t="str">
        <f t="shared" si="1477"/>
        <v>FLAG</v>
      </c>
      <c r="N2454" s="10" t="str">
        <f t="shared" si="2"/>
        <v>75-2748 - Public Officers &amp; Employees; State Historical Society; Human skeletal remains violations</v>
      </c>
      <c r="O2454" s="10" t="str">
        <f t="shared" si="3"/>
        <v>Public Officers &amp; Employees</v>
      </c>
    </row>
    <row r="2455">
      <c r="A2455" s="7" t="s">
        <v>4358</v>
      </c>
      <c r="B2455" s="8" t="s">
        <v>4359</v>
      </c>
      <c r="C2455" s="8" t="s">
        <v>19</v>
      </c>
      <c r="D2455" s="8" t="s">
        <v>19</v>
      </c>
      <c r="E2455" s="8" t="s">
        <v>19</v>
      </c>
      <c r="F2455" s="8" t="s">
        <v>20</v>
      </c>
      <c r="G2455" s="8" t="s">
        <v>21</v>
      </c>
      <c r="H2455" s="9"/>
      <c r="I2455" s="9"/>
      <c r="J2455" s="10">
        <f t="shared" ref="J2455:M2455" si="1478">ifs(OR($H2455="R",$I2455="N"),"N/A",OR(C2455="A",C2455="B",C2455="C",C2455="U"),3,TRUE,"FLAG")</f>
        <v>3</v>
      </c>
      <c r="K2455" s="10">
        <f t="shared" si="1478"/>
        <v>3</v>
      </c>
      <c r="L2455" s="10">
        <f t="shared" si="1478"/>
        <v>3</v>
      </c>
      <c r="M2455" s="10" t="str">
        <f t="shared" si="1478"/>
        <v>FLAG</v>
      </c>
      <c r="N2455" s="10" t="str">
        <f t="shared" si="2"/>
        <v>75-7313(b) - Public Officers &amp; Employees; State Long-Term Care Ombudsman; discriminatory, disciplinary or retaliatory action against individuals for communications with ombudsman prohibited</v>
      </c>
      <c r="O2455" s="10" t="str">
        <f t="shared" si="3"/>
        <v>Public Officers &amp; Employees</v>
      </c>
    </row>
    <row r="2456">
      <c r="A2456" s="7" t="s">
        <v>4360</v>
      </c>
      <c r="B2456" s="8" t="s">
        <v>4361</v>
      </c>
      <c r="C2456" s="8" t="s">
        <v>19</v>
      </c>
      <c r="D2456" s="8" t="s">
        <v>19</v>
      </c>
      <c r="E2456" s="8" t="s">
        <v>19</v>
      </c>
      <c r="F2456" s="8" t="s">
        <v>20</v>
      </c>
      <c r="G2456" s="8" t="s">
        <v>21</v>
      </c>
      <c r="H2456" s="9"/>
      <c r="I2456" s="9"/>
      <c r="J2456" s="10">
        <f t="shared" ref="J2456:M2456" si="1479">ifs(OR($H2456="R",$I2456="N"),"N/A",OR(C2456="A",C2456="B",C2456="C",C2456="U"),3,TRUE,"FLAG")</f>
        <v>3</v>
      </c>
      <c r="K2456" s="10">
        <f t="shared" si="1479"/>
        <v>3</v>
      </c>
      <c r="L2456" s="10">
        <f t="shared" si="1479"/>
        <v>3</v>
      </c>
      <c r="M2456" s="10" t="str">
        <f t="shared" si="1479"/>
        <v>FLAG</v>
      </c>
      <c r="N2456" s="10" t="str">
        <f t="shared" si="2"/>
        <v>75-7313(a) - Public Officers &amp; Employees; State Long-Term Care Ombudsman; interference with lawful action or activity of ombudsman</v>
      </c>
      <c r="O2456" s="10" t="str">
        <f t="shared" si="3"/>
        <v>Public Officers &amp; Employees</v>
      </c>
    </row>
    <row r="2457">
      <c r="A2457" s="7" t="s">
        <v>4362</v>
      </c>
      <c r="B2457" s="8" t="s">
        <v>4363</v>
      </c>
      <c r="C2457" s="8" t="s">
        <v>18</v>
      </c>
      <c r="D2457" s="8" t="s">
        <v>18</v>
      </c>
      <c r="E2457" s="8" t="s">
        <v>19</v>
      </c>
      <c r="F2457" s="8" t="s">
        <v>20</v>
      </c>
      <c r="G2457" s="8" t="s">
        <v>21</v>
      </c>
      <c r="H2457" s="9"/>
      <c r="I2457" s="9"/>
      <c r="J2457" s="10">
        <f t="shared" ref="J2457:M2457" si="1480">ifs(OR($H2457="R",$I2457="N"),"N/A",OR(C2457="A",C2457="B",C2457="C",C2457="U"),3,TRUE,"FLAG")</f>
        <v>3</v>
      </c>
      <c r="K2457" s="10">
        <f t="shared" si="1480"/>
        <v>3</v>
      </c>
      <c r="L2457" s="10">
        <f t="shared" si="1480"/>
        <v>3</v>
      </c>
      <c r="M2457" s="10" t="str">
        <f t="shared" si="1480"/>
        <v>FLAG</v>
      </c>
      <c r="N2457" s="10" t="str">
        <f t="shared" si="2"/>
        <v>75-4229 - Public Officers &amp; Employees; State moneys; criminal liability of board members</v>
      </c>
      <c r="O2457" s="10" t="str">
        <f t="shared" si="3"/>
        <v>Public Officers &amp; Employees</v>
      </c>
    </row>
    <row r="2458">
      <c r="A2458" s="7" t="s">
        <v>4364</v>
      </c>
      <c r="B2458" s="8" t="s">
        <v>4365</v>
      </c>
      <c r="C2458" s="8" t="s">
        <v>19</v>
      </c>
      <c r="D2458" s="8" t="s">
        <v>19</v>
      </c>
      <c r="E2458" s="8" t="s">
        <v>19</v>
      </c>
      <c r="F2458" s="8" t="s">
        <v>20</v>
      </c>
      <c r="G2458" s="8" t="s">
        <v>21</v>
      </c>
      <c r="H2458" s="9"/>
      <c r="I2458" s="9"/>
      <c r="J2458" s="10">
        <f t="shared" ref="J2458:M2458" si="1481">ifs(OR($H2458="R",$I2458="N"),"N/A",OR(C2458="A",C2458="B",C2458="C",C2458="U"),3,TRUE,"FLAG")</f>
        <v>3</v>
      </c>
      <c r="K2458" s="10">
        <f t="shared" si="1481"/>
        <v>3</v>
      </c>
      <c r="L2458" s="10">
        <f t="shared" si="1481"/>
        <v>3</v>
      </c>
      <c r="M2458" s="10" t="str">
        <f t="shared" si="1481"/>
        <v>FLAG</v>
      </c>
      <c r="N2458" s="10" t="str">
        <f t="shared" si="2"/>
        <v>75-4313 - Public Officers &amp; Employees; Unauthorized disbursement of funds</v>
      </c>
      <c r="O2458" s="10" t="str">
        <f t="shared" si="3"/>
        <v>Public Officers &amp; Employees</v>
      </c>
    </row>
    <row r="2459">
      <c r="A2459" s="7" t="s">
        <v>4366</v>
      </c>
      <c r="B2459" s="8" t="s">
        <v>4367</v>
      </c>
      <c r="C2459" s="8" t="s">
        <v>27</v>
      </c>
      <c r="D2459" s="8" t="s">
        <v>28</v>
      </c>
      <c r="E2459" s="8" t="s">
        <v>19</v>
      </c>
      <c r="F2459" s="8" t="s">
        <v>20</v>
      </c>
      <c r="G2459" s="8" t="s">
        <v>21</v>
      </c>
      <c r="H2459" s="9"/>
      <c r="I2459" s="9"/>
      <c r="J2459" s="10">
        <f t="shared" ref="J2459:M2459" si="1482">ifs(OR($H2459="R",$I2459="N"),"N/A",OR(C2459="A",C2459="B",C2459="C",C2459="U"),3,TRUE,"FLAG")</f>
        <v>3</v>
      </c>
      <c r="K2459" s="10">
        <f t="shared" si="1482"/>
        <v>3</v>
      </c>
      <c r="L2459" s="10">
        <f t="shared" si="1482"/>
        <v>3</v>
      </c>
      <c r="M2459" s="10" t="str">
        <f t="shared" si="1482"/>
        <v>FLAG</v>
      </c>
      <c r="N2459" s="10" t="str">
        <f t="shared" si="2"/>
        <v>75-4316(b) - Public Officers &amp; Employees; Unlawful discharge of public employee declaring or subjected to bankruptcy, wage earners' plan or similar proceeding</v>
      </c>
      <c r="O2459" s="10" t="str">
        <f t="shared" si="3"/>
        <v>Public Officers &amp; Employees</v>
      </c>
    </row>
    <row r="2460">
      <c r="A2460" s="7" t="s">
        <v>4368</v>
      </c>
      <c r="B2460" s="8" t="s">
        <v>4369</v>
      </c>
      <c r="C2460" s="8" t="s">
        <v>1532</v>
      </c>
      <c r="D2460" s="8">
        <v>10.0</v>
      </c>
      <c r="E2460" s="8">
        <v>10.0</v>
      </c>
      <c r="F2460" s="8">
        <v>10.0</v>
      </c>
      <c r="G2460" s="8" t="s">
        <v>21</v>
      </c>
      <c r="H2460" s="9"/>
      <c r="I2460" s="9"/>
      <c r="N2460" s="10" t="str">
        <f t="shared" si="2"/>
        <v>75-4314 - Public Officers &amp; Employees; Unlawful receipt of funds by a public official</v>
      </c>
      <c r="O2460" s="10" t="str">
        <f t="shared" si="3"/>
        <v>Public Officers &amp; Employees</v>
      </c>
    </row>
    <row r="2461">
      <c r="A2461" s="7" t="s">
        <v>4370</v>
      </c>
      <c r="B2461" s="8" t="s">
        <v>4371</v>
      </c>
      <c r="C2461" s="8" t="s">
        <v>28</v>
      </c>
      <c r="D2461" s="8" t="s">
        <v>19</v>
      </c>
      <c r="E2461" s="8" t="s">
        <v>19</v>
      </c>
      <c r="F2461" s="8" t="s">
        <v>20</v>
      </c>
      <c r="G2461" s="8" t="s">
        <v>21</v>
      </c>
      <c r="H2461" s="9"/>
      <c r="I2461" s="9"/>
      <c r="J2461" s="10">
        <f t="shared" ref="J2461:M2461" si="1483">ifs(OR($H2461="R",$I2461="N"),"N/A",OR(C2461="A",C2461="B",C2461="C",C2461="U"),3,TRUE,"FLAG")</f>
        <v>3</v>
      </c>
      <c r="K2461" s="10">
        <f t="shared" si="1483"/>
        <v>3</v>
      </c>
      <c r="L2461" s="10">
        <f t="shared" si="1483"/>
        <v>3</v>
      </c>
      <c r="M2461" s="10" t="str">
        <f t="shared" si="1483"/>
        <v>FLAG</v>
      </c>
      <c r="N2461" s="10" t="str">
        <f t="shared" si="2"/>
        <v>75-4306(a) - Public Officers &amp; Employees; Violation of K.S.A. 75-4304 or 75-4305, and amendments thereto, or failure to make any disclosure of substantial interests required by K.S.A. 75-4302a</v>
      </c>
      <c r="O2461" s="10" t="str">
        <f t="shared" si="3"/>
        <v>Public Officers &amp; Employees</v>
      </c>
    </row>
    <row r="2462">
      <c r="A2462" s="7" t="s">
        <v>4372</v>
      </c>
      <c r="B2462" s="8" t="s">
        <v>4373</v>
      </c>
      <c r="C2462" s="8" t="s">
        <v>18</v>
      </c>
      <c r="D2462" s="8" t="s">
        <v>18</v>
      </c>
      <c r="E2462" s="8" t="s">
        <v>19</v>
      </c>
      <c r="F2462" s="8" t="s">
        <v>20</v>
      </c>
      <c r="G2462" s="8" t="s">
        <v>21</v>
      </c>
      <c r="H2462" s="9"/>
      <c r="I2462" s="9"/>
      <c r="J2462" s="10">
        <f t="shared" ref="J2462:M2462" si="1484">ifs(OR($H2462="R",$I2462="N"),"N/A",OR(C2462="A",C2462="B",C2462="C",C2462="U"),3,TRUE,"FLAG")</f>
        <v>3</v>
      </c>
      <c r="K2462" s="10">
        <f t="shared" si="1484"/>
        <v>3</v>
      </c>
      <c r="L2462" s="10">
        <f t="shared" si="1484"/>
        <v>3</v>
      </c>
      <c r="M2462" s="10" t="str">
        <f t="shared" si="1484"/>
        <v>FLAG</v>
      </c>
      <c r="N2462" s="10" t="str">
        <f t="shared" si="2"/>
        <v>75-4508(a) - Public Officers &amp; Employees; Violation of K.S.A. 75-4505, 75-4506 or 75-4507 or rules and regulations thereunder</v>
      </c>
      <c r="O2462" s="10" t="str">
        <f t="shared" si="3"/>
        <v>Public Officers &amp; Employees</v>
      </c>
    </row>
    <row r="2463">
      <c r="A2463" s="7" t="s">
        <v>4374</v>
      </c>
      <c r="B2463" s="8" t="s">
        <v>4375</v>
      </c>
      <c r="C2463" s="8" t="s">
        <v>28</v>
      </c>
      <c r="D2463" s="8" t="s">
        <v>19</v>
      </c>
      <c r="E2463" s="8" t="s">
        <v>19</v>
      </c>
      <c r="F2463" s="8" t="s">
        <v>20</v>
      </c>
      <c r="G2463" s="8" t="s">
        <v>21</v>
      </c>
      <c r="H2463" s="9"/>
      <c r="I2463" s="9"/>
      <c r="J2463" s="10">
        <f t="shared" ref="J2463:M2463" si="1485">ifs(OR($H2463="R",$I2463="N"),"N/A",OR(C2463="A",C2463="B",C2463="C",C2463="U"),3,TRUE,"FLAG")</f>
        <v>3</v>
      </c>
      <c r="K2463" s="10">
        <f t="shared" si="1485"/>
        <v>3</v>
      </c>
      <c r="L2463" s="10">
        <f t="shared" si="1485"/>
        <v>3</v>
      </c>
      <c r="M2463" s="10" t="str">
        <f t="shared" si="1485"/>
        <v>FLAG</v>
      </c>
      <c r="N2463" s="10" t="str">
        <f t="shared" si="2"/>
        <v>45-407(d) - Public Records Preservation; Unauthorized disclosure of confidential information prohibited</v>
      </c>
      <c r="O2463" s="10" t="str">
        <f t="shared" si="3"/>
        <v>Public Records Preservation</v>
      </c>
    </row>
    <row r="2464">
      <c r="A2464" s="7" t="s">
        <v>4376</v>
      </c>
      <c r="B2464" s="8" t="s">
        <v>4377</v>
      </c>
      <c r="C2464" s="8" t="s">
        <v>18</v>
      </c>
      <c r="D2464" s="8" t="s">
        <v>18</v>
      </c>
      <c r="E2464" s="8" t="s">
        <v>19</v>
      </c>
      <c r="F2464" s="8" t="s">
        <v>20</v>
      </c>
      <c r="G2464" s="8" t="s">
        <v>21</v>
      </c>
      <c r="H2464" s="9"/>
      <c r="I2464" s="9"/>
      <c r="J2464" s="10">
        <f t="shared" ref="J2464:M2464" si="1486">ifs(OR($H2464="R",$I2464="N"),"N/A",OR(C2464="A",C2464="B",C2464="C",C2464="U"),3,TRUE,"FLAG")</f>
        <v>3</v>
      </c>
      <c r="K2464" s="10">
        <f t="shared" si="1486"/>
        <v>3</v>
      </c>
      <c r="L2464" s="10">
        <f t="shared" si="1486"/>
        <v>3</v>
      </c>
      <c r="M2464" s="10" t="str">
        <f t="shared" si="1486"/>
        <v>FLAG</v>
      </c>
      <c r="N2464" s="10" t="str">
        <f t="shared" si="2"/>
        <v>66-1203 - Public Utilities; Demurrage rates prohibited</v>
      </c>
      <c r="O2464" s="10" t="str">
        <f t="shared" si="3"/>
        <v>Public Utilities</v>
      </c>
    </row>
    <row r="2465">
      <c r="A2465" s="7" t="s">
        <v>4378</v>
      </c>
      <c r="B2465" s="8" t="s">
        <v>4379</v>
      </c>
      <c r="C2465" s="8">
        <v>7.0</v>
      </c>
      <c r="D2465" s="8">
        <v>9.0</v>
      </c>
      <c r="E2465" s="8">
        <v>9.0</v>
      </c>
      <c r="F2465" s="8">
        <v>10.0</v>
      </c>
      <c r="G2465" s="8" t="s">
        <v>21</v>
      </c>
      <c r="H2465" s="9"/>
      <c r="I2465" s="9"/>
      <c r="N2465" s="10" t="str">
        <f t="shared" si="2"/>
        <v>66-137 - Public Utilities; Powers of State Corporation Commission; falsifying or destroying accounts/records</v>
      </c>
      <c r="O2465" s="10" t="str">
        <f t="shared" si="3"/>
        <v>Public Utilities</v>
      </c>
    </row>
    <row r="2466">
      <c r="A2466" s="7" t="s">
        <v>4380</v>
      </c>
      <c r="B2466" s="8" t="s">
        <v>4381</v>
      </c>
      <c r="C2466" s="8">
        <v>9.0</v>
      </c>
      <c r="D2466" s="8">
        <v>10.0</v>
      </c>
      <c r="E2466" s="8">
        <v>10.0</v>
      </c>
      <c r="F2466" s="8">
        <v>10.0</v>
      </c>
      <c r="G2466" s="8" t="s">
        <v>21</v>
      </c>
      <c r="H2466" s="9"/>
      <c r="I2466" s="9"/>
      <c r="N2466" s="10" t="str">
        <f t="shared" si="2"/>
        <v>21-5838(a) - Pyramid Promotional Scheme; Knowingly establish, operate, advertise or promote scheme</v>
      </c>
      <c r="O2466" s="10" t="str">
        <f t="shared" si="3"/>
        <v>Pyramid Promotional Scheme</v>
      </c>
    </row>
    <row r="2467">
      <c r="A2467" s="7" t="s">
        <v>4382</v>
      </c>
      <c r="B2467" s="8" t="s">
        <v>4383</v>
      </c>
      <c r="C2467" s="8" t="s">
        <v>28</v>
      </c>
      <c r="D2467" s="8" t="s">
        <v>19</v>
      </c>
      <c r="E2467" s="8" t="s">
        <v>19</v>
      </c>
      <c r="F2467" s="8" t="s">
        <v>20</v>
      </c>
      <c r="G2467" s="8" t="s">
        <v>21</v>
      </c>
      <c r="H2467" s="9"/>
      <c r="I2467" s="9"/>
      <c r="J2467" s="10">
        <f t="shared" ref="J2467:M2467" si="1487">ifs(OR($H2467="R",$I2467="N"),"N/A",OR(C2467="A",C2467="B",C2467="C",C2467="U"),3,TRUE,"FLAG")</f>
        <v>3</v>
      </c>
      <c r="K2467" s="10">
        <f t="shared" si="1487"/>
        <v>3</v>
      </c>
      <c r="L2467" s="10">
        <f t="shared" si="1487"/>
        <v>3</v>
      </c>
      <c r="M2467" s="10" t="str">
        <f t="shared" si="1487"/>
        <v>FLAG</v>
      </c>
      <c r="N2467" s="10" t="str">
        <f t="shared" si="2"/>
        <v>65-7303(c) - Radiologic Technologists Practice Act; Depicting oneself as holder of a license without such license</v>
      </c>
      <c r="O2467" s="10" t="str">
        <f t="shared" si="3"/>
        <v>Radiologic Technologists Practice Act</v>
      </c>
    </row>
    <row r="2468">
      <c r="A2468" s="7" t="s">
        <v>4384</v>
      </c>
      <c r="B2468" s="8" t="s">
        <v>4385</v>
      </c>
      <c r="C2468" s="8" t="s">
        <v>28</v>
      </c>
      <c r="D2468" s="8" t="s">
        <v>19</v>
      </c>
      <c r="E2468" s="8" t="s">
        <v>19</v>
      </c>
      <c r="F2468" s="8" t="s">
        <v>20</v>
      </c>
      <c r="G2468" s="8" t="s">
        <v>21</v>
      </c>
      <c r="H2468" s="9"/>
      <c r="I2468" s="9"/>
      <c r="J2468" s="10">
        <f t="shared" ref="J2468:M2468" si="1488">ifs(OR($H2468="R",$I2468="N"),"N/A",OR(C2468="A",C2468="B",C2468="C",C2468="U"),3,TRUE,"FLAG")</f>
        <v>3</v>
      </c>
      <c r="K2468" s="10">
        <f t="shared" si="1488"/>
        <v>3</v>
      </c>
      <c r="L2468" s="10">
        <f t="shared" si="1488"/>
        <v>3</v>
      </c>
      <c r="M2468" s="10" t="str">
        <f t="shared" si="1488"/>
        <v>FLAG</v>
      </c>
      <c r="N2468" s="10" t="str">
        <f t="shared" si="2"/>
        <v>65-7303(a) - Radiologic Technologists Practice Act; Perform radiologic technology procedures on humans for diagnostic or therapeutic purposes without a valid license</v>
      </c>
      <c r="O2468" s="10" t="str">
        <f t="shared" si="3"/>
        <v>Radiologic Technologists Practice Act</v>
      </c>
    </row>
    <row r="2469">
      <c r="A2469" s="7" t="s">
        <v>4386</v>
      </c>
      <c r="B2469" s="8" t="s">
        <v>4387</v>
      </c>
      <c r="C2469" s="8" t="s">
        <v>28</v>
      </c>
      <c r="D2469" s="8" t="s">
        <v>19</v>
      </c>
      <c r="E2469" s="8" t="s">
        <v>19</v>
      </c>
      <c r="F2469" s="8" t="s">
        <v>20</v>
      </c>
      <c r="G2469" s="8" t="s">
        <v>21</v>
      </c>
      <c r="H2469" s="9"/>
      <c r="I2469" s="9"/>
      <c r="J2469" s="10">
        <f t="shared" ref="J2469:M2469" si="1489">ifs(OR($H2469="R",$I2469="N"),"N/A",OR(C2469="A",C2469="B",C2469="C",C2469="U"),3,TRUE,"FLAG")</f>
        <v>3</v>
      </c>
      <c r="K2469" s="10">
        <f t="shared" si="1489"/>
        <v>3</v>
      </c>
      <c r="L2469" s="10">
        <f t="shared" si="1489"/>
        <v>3</v>
      </c>
      <c r="M2469" s="10" t="str">
        <f t="shared" si="1489"/>
        <v>FLAG</v>
      </c>
      <c r="N2469" s="10" t="str">
        <f t="shared" si="2"/>
        <v>65-7303(b) - Radiologic Technologists Practice Act; Unauthorized use of radioactive substances/equipment</v>
      </c>
      <c r="O2469" s="10" t="str">
        <f t="shared" si="3"/>
        <v>Radiologic Technologists Practice Act</v>
      </c>
    </row>
    <row r="2470">
      <c r="A2470" s="7" t="s">
        <v>4388</v>
      </c>
      <c r="B2470" s="8" t="s">
        <v>4389</v>
      </c>
      <c r="C2470" s="8" t="s">
        <v>28</v>
      </c>
      <c r="D2470" s="8" t="s">
        <v>19</v>
      </c>
      <c r="E2470" s="8" t="s">
        <v>19</v>
      </c>
      <c r="F2470" s="8" t="s">
        <v>20</v>
      </c>
      <c r="G2470" s="8" t="s">
        <v>21</v>
      </c>
      <c r="H2470" s="9"/>
      <c r="I2470" s="9"/>
      <c r="J2470" s="10">
        <f t="shared" ref="J2470:M2470" si="1490">ifs(OR($H2470="R",$I2470="N"),"N/A",OR(C2470="A",C2470="B",C2470="C",C2470="U"),3,TRUE,"FLAG")</f>
        <v>3</v>
      </c>
      <c r="K2470" s="10">
        <f t="shared" si="1490"/>
        <v>3</v>
      </c>
      <c r="L2470" s="10">
        <f t="shared" si="1490"/>
        <v>3</v>
      </c>
      <c r="M2470" s="10" t="str">
        <f t="shared" si="1490"/>
        <v>FLAG</v>
      </c>
      <c r="N2470" s="10" t="str">
        <f t="shared" si="2"/>
        <v>48-16a11(a) - Radon Certification Law; Willful violation</v>
      </c>
      <c r="O2470" s="10" t="str">
        <f t="shared" si="3"/>
        <v>Radon Certification Law</v>
      </c>
    </row>
    <row r="2471">
      <c r="A2471" s="7" t="s">
        <v>4390</v>
      </c>
      <c r="B2471" s="8" t="s">
        <v>4391</v>
      </c>
      <c r="C2471" s="8" t="s">
        <v>18</v>
      </c>
      <c r="D2471" s="8" t="s">
        <v>18</v>
      </c>
      <c r="E2471" s="8" t="s">
        <v>19</v>
      </c>
      <c r="F2471" s="8" t="s">
        <v>20</v>
      </c>
      <c r="G2471" s="8" t="s">
        <v>21</v>
      </c>
      <c r="H2471" s="9"/>
      <c r="I2471" s="9"/>
      <c r="J2471" s="10">
        <f t="shared" ref="J2471:M2471" si="1491">ifs(OR($H2471="R",$I2471="N"),"N/A",OR(C2471="A",C2471="B",C2471="C",C2471="U"),3,TRUE,"FLAG")</f>
        <v>3</v>
      </c>
      <c r="K2471" s="10">
        <f t="shared" si="1491"/>
        <v>3</v>
      </c>
      <c r="L2471" s="10">
        <f t="shared" si="1491"/>
        <v>3</v>
      </c>
      <c r="M2471" s="10" t="str">
        <f t="shared" si="1491"/>
        <v>FLAG</v>
      </c>
      <c r="N2471" s="10" t="str">
        <f t="shared" si="2"/>
        <v>66-274 - Railroad Companies; Any railroad company or corporation operating a line of railroad in Kansas failing or neglecting to comply with K.S.A. 66-273</v>
      </c>
      <c r="O2471" s="10" t="str">
        <f t="shared" si="3"/>
        <v>Railroad Companies</v>
      </c>
    </row>
    <row r="2472">
      <c r="A2472" s="7" t="s">
        <v>4392</v>
      </c>
      <c r="B2472" s="8" t="s">
        <v>4393</v>
      </c>
      <c r="C2472" s="8" t="s">
        <v>18</v>
      </c>
      <c r="D2472" s="8" t="s">
        <v>18</v>
      </c>
      <c r="E2472" s="8" t="s">
        <v>19</v>
      </c>
      <c r="F2472" s="8" t="s">
        <v>20</v>
      </c>
      <c r="G2472" s="8" t="s">
        <v>21</v>
      </c>
      <c r="H2472" s="9"/>
      <c r="I2472" s="9"/>
      <c r="J2472" s="10">
        <f t="shared" ref="J2472:M2472" si="1492">ifs(OR($H2472="R",$I2472="N"),"N/A",OR(C2472="A",C2472="B",C2472="C",C2472="U"),3,TRUE,"FLAG")</f>
        <v>3</v>
      </c>
      <c r="K2472" s="10">
        <f t="shared" si="1492"/>
        <v>3</v>
      </c>
      <c r="L2472" s="10">
        <f t="shared" si="1492"/>
        <v>3</v>
      </c>
      <c r="M2472" s="10" t="str">
        <f t="shared" si="1492"/>
        <v>FLAG</v>
      </c>
      <c r="N2472" s="10" t="str">
        <f t="shared" si="2"/>
        <v>66-228 - Railroad Companies; Fail to restore crossing with time allowed</v>
      </c>
      <c r="O2472" s="10" t="str">
        <f t="shared" si="3"/>
        <v>Railroad Companies</v>
      </c>
    </row>
    <row r="2473">
      <c r="A2473" s="7" t="s">
        <v>4394</v>
      </c>
      <c r="B2473" s="8" t="s">
        <v>4395</v>
      </c>
      <c r="C2473" s="8" t="s">
        <v>18</v>
      </c>
      <c r="D2473" s="8" t="s">
        <v>18</v>
      </c>
      <c r="E2473" s="8" t="s">
        <v>19</v>
      </c>
      <c r="F2473" s="8" t="s">
        <v>20</v>
      </c>
      <c r="G2473" s="8" t="s">
        <v>21</v>
      </c>
      <c r="H2473" s="9"/>
      <c r="I2473" s="9"/>
      <c r="J2473" s="10">
        <f t="shared" ref="J2473:M2473" si="1493">ifs(OR($H2473="R",$I2473="N"),"N/A",OR(C2473="A",C2473="B",C2473="C",C2473="U"),3,TRUE,"FLAG")</f>
        <v>3</v>
      </c>
      <c r="K2473" s="10">
        <f t="shared" si="1493"/>
        <v>3</v>
      </c>
      <c r="L2473" s="10">
        <f t="shared" si="1493"/>
        <v>3</v>
      </c>
      <c r="M2473" s="10" t="str">
        <f t="shared" si="1493"/>
        <v>FLAG</v>
      </c>
      <c r="N2473" s="10" t="str">
        <f t="shared" si="2"/>
        <v>66-273 - Railroad Companies; Requirements for permitting trains, engines or cars to stand on public highway</v>
      </c>
      <c r="O2473" s="10" t="str">
        <f t="shared" si="3"/>
        <v>Railroad Companies</v>
      </c>
    </row>
    <row r="2474">
      <c r="A2474" s="7" t="s">
        <v>4396</v>
      </c>
      <c r="B2474" s="8" t="s">
        <v>4397</v>
      </c>
      <c r="C2474" s="8" t="s">
        <v>178</v>
      </c>
      <c r="D2474" s="8" t="s">
        <v>179</v>
      </c>
      <c r="E2474" s="8" t="s">
        <v>179</v>
      </c>
      <c r="F2474" s="8" t="s">
        <v>179</v>
      </c>
      <c r="G2474" s="8" t="s">
        <v>24</v>
      </c>
      <c r="H2474" s="8" t="s">
        <v>109</v>
      </c>
      <c r="I2474" s="8" t="s">
        <v>54</v>
      </c>
      <c r="N2474" s="10" t="str">
        <f t="shared" si="2"/>
        <v>21-5503(a)(3) - Rape; Commit, attempt, conspire or solicit to commit; Sexual intercourse with child under 14; offender 18 or older</v>
      </c>
      <c r="O2474" s="10" t="str">
        <f t="shared" si="3"/>
        <v>Rape</v>
      </c>
    </row>
    <row r="2475">
      <c r="A2475" s="7" t="s">
        <v>4398</v>
      </c>
      <c r="B2475" s="8" t="s">
        <v>4399</v>
      </c>
      <c r="C2475" s="8">
        <v>1.0</v>
      </c>
      <c r="D2475" s="8">
        <v>3.0</v>
      </c>
      <c r="E2475" s="8">
        <v>3.0</v>
      </c>
      <c r="F2475" s="8">
        <v>4.0</v>
      </c>
      <c r="G2475" s="8" t="s">
        <v>24</v>
      </c>
      <c r="H2475" s="8" t="s">
        <v>109</v>
      </c>
      <c r="I2475" s="8" t="s">
        <v>54</v>
      </c>
      <c r="N2475" s="10" t="str">
        <f t="shared" si="2"/>
        <v>21-5503(a)(2) - Rape; Knowingly engage in nonconsensual sexual intercourse; victim incapable of consent due to mental deficiency or disease, or apparently under the effects of alcoholic liquor, narcotic, drug or other substance</v>
      </c>
      <c r="O2475" s="10" t="str">
        <f t="shared" si="3"/>
        <v>Rape</v>
      </c>
    </row>
    <row r="2476">
      <c r="A2476" s="7" t="s">
        <v>4400</v>
      </c>
      <c r="B2476" s="8" t="s">
        <v>4401</v>
      </c>
      <c r="C2476" s="8">
        <v>1.0</v>
      </c>
      <c r="D2476" s="8">
        <v>3.0</v>
      </c>
      <c r="E2476" s="8">
        <v>3.0</v>
      </c>
      <c r="F2476" s="8">
        <v>4.0</v>
      </c>
      <c r="G2476" s="8" t="s">
        <v>24</v>
      </c>
      <c r="H2476" s="8" t="s">
        <v>109</v>
      </c>
      <c r="I2476" s="8" t="s">
        <v>54</v>
      </c>
      <c r="N2476" s="10" t="str">
        <f t="shared" si="2"/>
        <v>21-5503(a)(1)(A) - Rape; Knowingly engage in nonconsensual sexual intercourse; victim overcome by force or fear</v>
      </c>
      <c r="O2476" s="10" t="str">
        <f t="shared" si="3"/>
        <v>Rape</v>
      </c>
    </row>
    <row r="2477">
      <c r="A2477" s="7" t="s">
        <v>4402</v>
      </c>
      <c r="B2477" s="8" t="s">
        <v>4403</v>
      </c>
      <c r="C2477" s="8">
        <v>1.0</v>
      </c>
      <c r="D2477" s="8">
        <v>3.0</v>
      </c>
      <c r="E2477" s="8">
        <v>3.0</v>
      </c>
      <c r="F2477" s="8">
        <v>4.0</v>
      </c>
      <c r="G2477" s="8" t="s">
        <v>24</v>
      </c>
      <c r="H2477" s="8" t="s">
        <v>109</v>
      </c>
      <c r="I2477" s="8" t="s">
        <v>54</v>
      </c>
      <c r="N2477" s="10" t="str">
        <f t="shared" si="2"/>
        <v>21-5503(a)(1)(B) - Rape; Knowingly engage in nonconsensual sexual intercourse; victim unconscious or physically powerless</v>
      </c>
      <c r="O2477" s="10" t="str">
        <f t="shared" si="3"/>
        <v>Rape</v>
      </c>
    </row>
    <row r="2478">
      <c r="A2478" s="7" t="s">
        <v>4404</v>
      </c>
      <c r="B2478" s="8" t="s">
        <v>4397</v>
      </c>
      <c r="C2478" s="8">
        <v>1.0</v>
      </c>
      <c r="D2478" s="8">
        <v>3.0</v>
      </c>
      <c r="E2478" s="8">
        <v>3.0</v>
      </c>
      <c r="F2478" s="8">
        <v>4.0</v>
      </c>
      <c r="G2478" s="8" t="s">
        <v>24</v>
      </c>
      <c r="H2478" s="8" t="s">
        <v>109</v>
      </c>
      <c r="I2478" s="8" t="s">
        <v>54</v>
      </c>
      <c r="N2478" s="10" t="str">
        <f t="shared" si="2"/>
        <v>21-5503(a)(3) - Rape; Sexual intercourse with a child under 14; offender less than 18</v>
      </c>
      <c r="O2478" s="10" t="str">
        <f t="shared" si="3"/>
        <v>Rape</v>
      </c>
    </row>
    <row r="2479">
      <c r="A2479" s="7" t="s">
        <v>4405</v>
      </c>
      <c r="B2479" s="8" t="s">
        <v>4406</v>
      </c>
      <c r="C2479" s="8">
        <v>2.0</v>
      </c>
      <c r="D2479" s="8">
        <v>4.0</v>
      </c>
      <c r="E2479" s="8">
        <v>4.0</v>
      </c>
      <c r="F2479" s="8">
        <v>5.0</v>
      </c>
      <c r="G2479" s="8" t="s">
        <v>24</v>
      </c>
      <c r="H2479" s="8" t="s">
        <v>109</v>
      </c>
      <c r="I2479" s="8" t="s">
        <v>54</v>
      </c>
      <c r="N2479" s="10" t="str">
        <f t="shared" si="2"/>
        <v>21-5503(a)(5) - Rape; Sexual intercourse; Consent obtained through knowing misrepresentation that sexual intercourse is legally required within scope of authority</v>
      </c>
      <c r="O2479" s="10" t="str">
        <f t="shared" si="3"/>
        <v>Rape</v>
      </c>
    </row>
    <row r="2480">
      <c r="A2480" s="7" t="s">
        <v>4407</v>
      </c>
      <c r="B2480" s="8" t="s">
        <v>4408</v>
      </c>
      <c r="C2480" s="8">
        <v>2.0</v>
      </c>
      <c r="D2480" s="8">
        <v>4.0</v>
      </c>
      <c r="E2480" s="8">
        <v>4.0</v>
      </c>
      <c r="F2480" s="8">
        <v>5.0</v>
      </c>
      <c r="G2480" s="8" t="s">
        <v>24</v>
      </c>
      <c r="H2480" s="8" t="s">
        <v>109</v>
      </c>
      <c r="I2480" s="8" t="s">
        <v>54</v>
      </c>
      <c r="N2480" s="10" t="str">
        <f t="shared" si="2"/>
        <v>21-5503(a)(4) - Rape; Sexual intercourse; Consent obtained through knowing misrepresentation that sexual intercourse is medically or therapeutically necessary</v>
      </c>
      <c r="O2480" s="10" t="str">
        <f t="shared" si="3"/>
        <v>Rape</v>
      </c>
    </row>
    <row r="2481">
      <c r="A2481" s="7" t="s">
        <v>4409</v>
      </c>
      <c r="B2481" s="8" t="s">
        <v>4410</v>
      </c>
      <c r="C2481" s="8" t="s">
        <v>27</v>
      </c>
      <c r="D2481" s="8" t="s">
        <v>28</v>
      </c>
      <c r="E2481" s="8" t="s">
        <v>19</v>
      </c>
      <c r="F2481" s="8" t="s">
        <v>20</v>
      </c>
      <c r="G2481" s="8" t="s">
        <v>21</v>
      </c>
      <c r="H2481" s="9"/>
      <c r="I2481" s="9"/>
      <c r="J2481" s="10">
        <f t="shared" ref="J2481:M2481" si="1494">ifs(OR($H2481="R",$I2481="N"),"N/A",OR(C2481="A",C2481="B",C2481="C",C2481="U"),3,TRUE,"FLAG")</f>
        <v>3</v>
      </c>
      <c r="K2481" s="10">
        <f t="shared" si="1494"/>
        <v>3</v>
      </c>
      <c r="L2481" s="10">
        <f t="shared" si="1494"/>
        <v>3</v>
      </c>
      <c r="M2481" s="10" t="str">
        <f t="shared" si="1494"/>
        <v>FLAG</v>
      </c>
      <c r="N2481" s="10" t="str">
        <f t="shared" si="2"/>
        <v>58-4103(a)(3) - Real Estate Appraisers; Advertise of otherwise represent that such person is a state certified or license appraiser</v>
      </c>
      <c r="O2481" s="10" t="str">
        <f t="shared" si="3"/>
        <v>Real Estate Appraisers</v>
      </c>
    </row>
    <row r="2482">
      <c r="A2482" s="7" t="s">
        <v>4411</v>
      </c>
      <c r="B2482" s="8" t="s">
        <v>4412</v>
      </c>
      <c r="C2482" s="8" t="s">
        <v>27</v>
      </c>
      <c r="D2482" s="8" t="s">
        <v>28</v>
      </c>
      <c r="E2482" s="8" t="s">
        <v>19</v>
      </c>
      <c r="F2482" s="8" t="s">
        <v>20</v>
      </c>
      <c r="G2482" s="8" t="s">
        <v>21</v>
      </c>
      <c r="H2482" s="9"/>
      <c r="I2482" s="9"/>
      <c r="J2482" s="10">
        <f t="shared" ref="J2482:M2482" si="1495">ifs(OR($H2482="R",$I2482="N"),"N/A",OR(C2482="A",C2482="B",C2482="C",C2482="U"),3,TRUE,"FLAG")</f>
        <v>3</v>
      </c>
      <c r="K2482" s="10">
        <f t="shared" si="1495"/>
        <v>3</v>
      </c>
      <c r="L2482" s="10">
        <f t="shared" si="1495"/>
        <v>3</v>
      </c>
      <c r="M2482" s="10" t="str">
        <f t="shared" si="1495"/>
        <v>FLAG</v>
      </c>
      <c r="N2482" s="10" t="str">
        <f t="shared" si="2"/>
        <v>58-4103(a)(2) - Real Estate Appraisers; Assume or use the title of state certified or licensed appraiser without certification or licensure</v>
      </c>
      <c r="O2482" s="10" t="str">
        <f t="shared" si="3"/>
        <v>Real Estate Appraisers</v>
      </c>
    </row>
    <row r="2483">
      <c r="A2483" s="7" t="s">
        <v>4413</v>
      </c>
      <c r="B2483" s="8" t="s">
        <v>4414</v>
      </c>
      <c r="C2483" s="8" t="s">
        <v>27</v>
      </c>
      <c r="D2483" s="8" t="s">
        <v>28</v>
      </c>
      <c r="E2483" s="8" t="s">
        <v>19</v>
      </c>
      <c r="F2483" s="8" t="s">
        <v>20</v>
      </c>
      <c r="G2483" s="8" t="s">
        <v>21</v>
      </c>
      <c r="H2483" s="9"/>
      <c r="I2483" s="9"/>
      <c r="J2483" s="10">
        <f t="shared" ref="J2483:M2483" si="1496">ifs(OR($H2483="R",$I2483="N"),"N/A",OR(C2483="A",C2483="B",C2483="C",C2483="U"),3,TRUE,"FLAG")</f>
        <v>3</v>
      </c>
      <c r="K2483" s="10">
        <f t="shared" si="1496"/>
        <v>3</v>
      </c>
      <c r="L2483" s="10">
        <f t="shared" si="1496"/>
        <v>3</v>
      </c>
      <c r="M2483" s="10" t="str">
        <f t="shared" si="1496"/>
        <v>FLAG</v>
      </c>
      <c r="N2483" s="10" t="str">
        <f t="shared" si="2"/>
        <v>58-4103(a)(1) - Real Estate Appraisers; Engage in any written appraisal in connection with a federally related transaction without certification or licensure</v>
      </c>
      <c r="O2483" s="10" t="str">
        <f t="shared" si="3"/>
        <v>Real Estate Appraisers</v>
      </c>
    </row>
    <row r="2484">
      <c r="A2484" s="7" t="s">
        <v>4415</v>
      </c>
      <c r="B2484" s="8" t="s">
        <v>4416</v>
      </c>
      <c r="C2484" s="8" t="s">
        <v>27</v>
      </c>
      <c r="D2484" s="8" t="s">
        <v>28</v>
      </c>
      <c r="E2484" s="8" t="s">
        <v>19</v>
      </c>
      <c r="F2484" s="8" t="s">
        <v>20</v>
      </c>
      <c r="G2484" s="8" t="s">
        <v>21</v>
      </c>
      <c r="H2484" s="9"/>
      <c r="I2484" s="9"/>
      <c r="J2484" s="10">
        <f t="shared" ref="J2484:M2484" si="1497">ifs(OR($H2484="R",$I2484="N"),"N/A",OR(C2484="A",C2484="B",C2484="C",C2484="U"),3,TRUE,"FLAG")</f>
        <v>3</v>
      </c>
      <c r="K2484" s="10">
        <f t="shared" si="1497"/>
        <v>3</v>
      </c>
      <c r="L2484" s="10">
        <f t="shared" si="1497"/>
        <v>3</v>
      </c>
      <c r="M2484" s="10" t="str">
        <f t="shared" si="1497"/>
        <v>FLAG</v>
      </c>
      <c r="N2484" s="10" t="str">
        <f t="shared" si="2"/>
        <v>58-3073 - Real Estate Brokers' &amp; Salespersons' License Act; File statement required under K.S.A. 58-3066 to 58-3071 which is false or untrue or contains any material misstatement of fact</v>
      </c>
      <c r="O2484" s="10" t="str">
        <f t="shared" si="3"/>
        <v>Real Estate Brokers' &amp; Salespersons' License Act</v>
      </c>
    </row>
    <row r="2485">
      <c r="A2485" s="7" t="s">
        <v>4417</v>
      </c>
      <c r="B2485" s="8" t="s">
        <v>4418</v>
      </c>
      <c r="C2485" s="8" t="s">
        <v>18</v>
      </c>
      <c r="D2485" s="8" t="s">
        <v>18</v>
      </c>
      <c r="E2485" s="8" t="s">
        <v>19</v>
      </c>
      <c r="F2485" s="8" t="s">
        <v>20</v>
      </c>
      <c r="G2485" s="8" t="s">
        <v>21</v>
      </c>
      <c r="H2485" s="9"/>
      <c r="I2485" s="9"/>
      <c r="J2485" s="10">
        <f t="shared" ref="J2485:M2485" si="1498">ifs(OR($H2485="R",$I2485="N"),"N/A",OR(C2485="A",C2485="B",C2485="C",C2485="U"),3,TRUE,"FLAG")</f>
        <v>3</v>
      </c>
      <c r="K2485" s="10">
        <f t="shared" si="1498"/>
        <v>3</v>
      </c>
      <c r="L2485" s="10">
        <f t="shared" si="1498"/>
        <v>3</v>
      </c>
      <c r="M2485" s="10" t="str">
        <f t="shared" si="1498"/>
        <v>FLAG</v>
      </c>
      <c r="N2485" s="10" t="str">
        <f t="shared" si="2"/>
        <v>58-3065(a) - Real Estate Brokers' &amp; Salespersons' License Act; Penalty for violation of act</v>
      </c>
      <c r="O2485" s="10" t="str">
        <f t="shared" si="3"/>
        <v>Real Estate Brokers' &amp; Salespersons' License Act</v>
      </c>
    </row>
    <row r="2486">
      <c r="A2486" s="7" t="s">
        <v>4419</v>
      </c>
      <c r="B2486" s="8" t="s">
        <v>4420</v>
      </c>
      <c r="C2486" s="8" t="s">
        <v>19</v>
      </c>
      <c r="D2486" s="8" t="s">
        <v>19</v>
      </c>
      <c r="E2486" s="8" t="s">
        <v>19</v>
      </c>
      <c r="F2486" s="8" t="s">
        <v>20</v>
      </c>
      <c r="G2486" s="8" t="s">
        <v>21</v>
      </c>
      <c r="H2486" s="9"/>
      <c r="I2486" s="9"/>
      <c r="J2486" s="10">
        <f t="shared" ref="J2486:M2486" si="1499">ifs(OR($H2486="R",$I2486="N"),"N/A",OR(C2486="A",C2486="B",C2486="C",C2486="U"),3,TRUE,"FLAG")</f>
        <v>3</v>
      </c>
      <c r="K2486" s="10">
        <f t="shared" si="1499"/>
        <v>3</v>
      </c>
      <c r="L2486" s="10">
        <f t="shared" si="1499"/>
        <v>3</v>
      </c>
      <c r="M2486" s="10" t="str">
        <f t="shared" si="1499"/>
        <v>FLAG</v>
      </c>
      <c r="N2486" s="10" t="str">
        <f t="shared" si="2"/>
        <v>21-6323(a) - Refusal to Yield a Telephone Party Line in Emergency</v>
      </c>
      <c r="O2486" s="10" t="str">
        <f t="shared" si="3"/>
        <v>Refusal to Yield a Telephone Party Line in Emergency</v>
      </c>
    </row>
    <row r="2487">
      <c r="A2487" s="7" t="s">
        <v>4421</v>
      </c>
      <c r="B2487" s="8" t="s">
        <v>4422</v>
      </c>
      <c r="C2487" s="8" t="s">
        <v>1532</v>
      </c>
      <c r="D2487" s="8">
        <v>10.0</v>
      </c>
      <c r="E2487" s="8">
        <v>10.0</v>
      </c>
      <c r="F2487" s="8">
        <v>10.0</v>
      </c>
      <c r="G2487" s="8" t="s">
        <v>21</v>
      </c>
      <c r="H2487" s="9"/>
      <c r="I2487" s="9"/>
      <c r="N2487" s="10" t="str">
        <f t="shared" si="2"/>
        <v>44-619 - Regulation of Labor &amp; Industry; Induce violation of act or orders</v>
      </c>
      <c r="O2487" s="10" t="str">
        <f t="shared" si="3"/>
        <v>Regulation of Labor &amp; Industry</v>
      </c>
    </row>
    <row r="2488">
      <c r="A2488" s="7" t="s">
        <v>4423</v>
      </c>
      <c r="B2488" s="8" t="s">
        <v>4424</v>
      </c>
      <c r="C2488" s="8">
        <v>10.0</v>
      </c>
      <c r="D2488" s="8">
        <v>10.0</v>
      </c>
      <c r="E2488" s="8">
        <v>10.0</v>
      </c>
      <c r="F2488" s="8">
        <v>10.0</v>
      </c>
      <c r="G2488" s="8" t="s">
        <v>21</v>
      </c>
      <c r="H2488" s="9"/>
      <c r="I2488" s="9"/>
      <c r="N2488" s="10" t="str">
        <f t="shared" si="2"/>
        <v>65-1693(a) - Regulation of Pharmacists; Knowingly fail to submit prescription monitoring information as a dispenser to the board as required or submit incorrect prescription monitoring information</v>
      </c>
      <c r="O2488" s="10" t="str">
        <f t="shared" si="3"/>
        <v>Regulation of Pharmacists</v>
      </c>
    </row>
    <row r="2489">
      <c r="A2489" s="7" t="s">
        <v>4425</v>
      </c>
      <c r="B2489" s="8" t="s">
        <v>4426</v>
      </c>
      <c r="C2489" s="8">
        <v>10.0</v>
      </c>
      <c r="D2489" s="8">
        <v>10.0</v>
      </c>
      <c r="E2489" s="8">
        <v>10.0</v>
      </c>
      <c r="F2489" s="8">
        <v>10.0</v>
      </c>
      <c r="G2489" s="8" t="s">
        <v>21</v>
      </c>
      <c r="H2489" s="9"/>
      <c r="I2489" s="9"/>
      <c r="N2489" s="10" t="str">
        <f t="shared" si="2"/>
        <v>65-1693(b) - Regulation of Pharmacists; Person authorized to have prescription monitoring information pursuant to the act who knowingly discloses such information in violation of the state Pharmacy Act</v>
      </c>
      <c r="O2489" s="10" t="str">
        <f t="shared" si="3"/>
        <v>Regulation of Pharmacists</v>
      </c>
    </row>
    <row r="2490">
      <c r="A2490" s="7" t="s">
        <v>4427</v>
      </c>
      <c r="B2490" s="8" t="s">
        <v>4428</v>
      </c>
      <c r="C2490" s="8">
        <v>10.0</v>
      </c>
      <c r="D2490" s="8">
        <v>10.0</v>
      </c>
      <c r="E2490" s="8">
        <v>10.0</v>
      </c>
      <c r="F2490" s="8">
        <v>10.0</v>
      </c>
      <c r="G2490" s="8" t="s">
        <v>21</v>
      </c>
      <c r="H2490" s="9"/>
      <c r="I2490" s="9"/>
      <c r="N2490" s="10" t="str">
        <f t="shared" si="2"/>
        <v>65-1693(c) - Regulation of Pharmacists; Person authorized to have prescription monitoring information pursuant to the act who knowingly uses such information in a manner or for a purpose in violation of the state Pharmacy Act</v>
      </c>
      <c r="O2490" s="10" t="str">
        <f t="shared" si="3"/>
        <v>Regulation of Pharmacists</v>
      </c>
    </row>
    <row r="2491">
      <c r="A2491" s="7" t="s">
        <v>4429</v>
      </c>
      <c r="B2491" s="8" t="s">
        <v>4430</v>
      </c>
      <c r="C2491" s="8">
        <v>10.0</v>
      </c>
      <c r="D2491" s="8">
        <v>10.0</v>
      </c>
      <c r="E2491" s="8">
        <v>10.0</v>
      </c>
      <c r="F2491" s="8">
        <v>10.0</v>
      </c>
      <c r="G2491" s="8" t="s">
        <v>21</v>
      </c>
      <c r="H2491" s="9"/>
      <c r="I2491" s="9"/>
      <c r="N2491" s="10" t="str">
        <f t="shared" si="2"/>
        <v>65-1693(d) - Regulation of Pharmacists; Person unauthorized to have prescription monitoring information pursuant to the state Pharmacy Act who knowingly obtains or attempts to obtain the same</v>
      </c>
      <c r="O2491" s="10" t="str">
        <f t="shared" si="3"/>
        <v>Regulation of Pharmacists</v>
      </c>
    </row>
    <row r="2492">
      <c r="A2492" s="7" t="s">
        <v>4431</v>
      </c>
      <c r="B2492" s="8" t="s">
        <v>4432</v>
      </c>
      <c r="C2492" s="8" t="s">
        <v>28</v>
      </c>
      <c r="D2492" s="8" t="s">
        <v>19</v>
      </c>
      <c r="E2492" s="8" t="s">
        <v>19</v>
      </c>
      <c r="F2492" s="8" t="s">
        <v>20</v>
      </c>
      <c r="G2492" s="8" t="s">
        <v>21</v>
      </c>
      <c r="H2492" s="9"/>
      <c r="I2492" s="9"/>
      <c r="J2492" s="10">
        <f t="shared" ref="J2492:M2492" si="1500">ifs(OR($H2492="R",$I2492="N"),"N/A",OR(C2492="A",C2492="B",C2492="C",C2492="U"),3,TRUE,"FLAG")</f>
        <v>3</v>
      </c>
      <c r="K2492" s="10">
        <f t="shared" si="1500"/>
        <v>3</v>
      </c>
      <c r="L2492" s="10">
        <f t="shared" si="1500"/>
        <v>3</v>
      </c>
      <c r="M2492" s="10" t="str">
        <f t="shared" si="1500"/>
        <v>FLAG</v>
      </c>
      <c r="N2492" s="10" t="str">
        <f t="shared" si="2"/>
        <v>55-1504(a) - Regulations of Equipment/Crude Oil/Products; Failure of person possessing crude oil to produce the required documentation</v>
      </c>
      <c r="O2492" s="10" t="str">
        <f t="shared" si="3"/>
        <v>Regulations of Equipment/Crude Oil/Products</v>
      </c>
    </row>
    <row r="2493">
      <c r="A2493" s="7" t="s">
        <v>4433</v>
      </c>
      <c r="B2493" s="8" t="s">
        <v>4434</v>
      </c>
      <c r="C2493" s="8" t="s">
        <v>28</v>
      </c>
      <c r="D2493" s="8" t="s">
        <v>19</v>
      </c>
      <c r="E2493" s="8" t="s">
        <v>19</v>
      </c>
      <c r="F2493" s="8" t="s">
        <v>20</v>
      </c>
      <c r="G2493" s="8" t="s">
        <v>21</v>
      </c>
      <c r="H2493" s="9"/>
      <c r="I2493" s="9"/>
      <c r="J2493" s="10">
        <f t="shared" ref="J2493:M2493" si="1501">ifs(OR($H2493="R",$I2493="N"),"N/A",OR(C2493="A",C2493="B",C2493="C",C2493="U"),3,TRUE,"FLAG")</f>
        <v>3</v>
      </c>
      <c r="K2493" s="10">
        <f t="shared" si="1501"/>
        <v>3</v>
      </c>
      <c r="L2493" s="10">
        <f t="shared" si="1501"/>
        <v>3</v>
      </c>
      <c r="M2493" s="10" t="str">
        <f t="shared" si="1501"/>
        <v>FLAG</v>
      </c>
      <c r="N2493" s="10" t="str">
        <f t="shared" si="2"/>
        <v>55-1502(a) - Regulations of Equipment/Crude Oil/Products; Failure of records to contain required information</v>
      </c>
      <c r="O2493" s="10" t="str">
        <f t="shared" si="3"/>
        <v>Regulations of Equipment/Crude Oil/Products</v>
      </c>
    </row>
    <row r="2494">
      <c r="A2494" s="7" t="s">
        <v>4435</v>
      </c>
      <c r="B2494" s="8" t="s">
        <v>4436</v>
      </c>
      <c r="C2494" s="8" t="s">
        <v>28</v>
      </c>
      <c r="D2494" s="8" t="s">
        <v>19</v>
      </c>
      <c r="E2494" s="8" t="s">
        <v>19</v>
      </c>
      <c r="F2494" s="8" t="s">
        <v>20</v>
      </c>
      <c r="G2494" s="8" t="s">
        <v>21</v>
      </c>
      <c r="H2494" s="9"/>
      <c r="I2494" s="9"/>
      <c r="J2494" s="10">
        <f t="shared" ref="J2494:M2494" si="1502">ifs(OR($H2494="R",$I2494="N"),"N/A",OR(C2494="A",C2494="B",C2494="C",C2494="U"),3,TRUE,"FLAG")</f>
        <v>3</v>
      </c>
      <c r="K2494" s="10">
        <f t="shared" si="1502"/>
        <v>3</v>
      </c>
      <c r="L2494" s="10">
        <f t="shared" si="1502"/>
        <v>3</v>
      </c>
      <c r="M2494" s="10" t="str">
        <f t="shared" si="1502"/>
        <v>FLAG</v>
      </c>
      <c r="N2494" s="10" t="str">
        <f t="shared" si="2"/>
        <v>55-1503(a) - Regulations of Equipment/Crude Oil/Products; Failure to permit inspection of equipment or materials being transported</v>
      </c>
      <c r="O2494" s="10" t="str">
        <f t="shared" si="3"/>
        <v>Regulations of Equipment/Crude Oil/Products</v>
      </c>
    </row>
    <row r="2495">
      <c r="A2495" s="7" t="s">
        <v>4437</v>
      </c>
      <c r="B2495" s="8" t="s">
        <v>4438</v>
      </c>
      <c r="C2495" s="8" t="s">
        <v>28</v>
      </c>
      <c r="D2495" s="8" t="s">
        <v>19</v>
      </c>
      <c r="E2495" s="8" t="s">
        <v>19</v>
      </c>
      <c r="F2495" s="8" t="s">
        <v>20</v>
      </c>
      <c r="G2495" s="8" t="s">
        <v>21</v>
      </c>
      <c r="H2495" s="9"/>
      <c r="I2495" s="9"/>
      <c r="J2495" s="10">
        <f t="shared" ref="J2495:M2495" si="1503">ifs(OR($H2495="R",$I2495="N"),"N/A",OR(C2495="A",C2495="B",C2495="C",C2495="U"),3,TRUE,"FLAG")</f>
        <v>3</v>
      </c>
      <c r="K2495" s="10">
        <f t="shared" si="1503"/>
        <v>3</v>
      </c>
      <c r="L2495" s="10">
        <f t="shared" si="1503"/>
        <v>3</v>
      </c>
      <c r="M2495" s="10" t="str">
        <f t="shared" si="1503"/>
        <v>FLAG</v>
      </c>
      <c r="N2495" s="10" t="str">
        <f t="shared" si="2"/>
        <v>55-1502(b) - Regulations of Equipment/Crude Oil/Products; Failure to retain records as required</v>
      </c>
      <c r="O2495" s="10" t="str">
        <f t="shared" si="3"/>
        <v>Regulations of Equipment/Crude Oil/Products</v>
      </c>
    </row>
    <row r="2496">
      <c r="A2496" s="7" t="s">
        <v>4439</v>
      </c>
      <c r="B2496" s="8" t="s">
        <v>4440</v>
      </c>
      <c r="C2496" s="8" t="s">
        <v>28</v>
      </c>
      <c r="D2496" s="8" t="s">
        <v>19</v>
      </c>
      <c r="E2496" s="8" t="s">
        <v>19</v>
      </c>
      <c r="F2496" s="8" t="s">
        <v>20</v>
      </c>
      <c r="G2496" s="8" t="s">
        <v>21</v>
      </c>
      <c r="H2496" s="9"/>
      <c r="I2496" s="9"/>
      <c r="J2496" s="10">
        <f t="shared" ref="J2496:M2496" si="1504">ifs(OR($H2496="R",$I2496="N"),"N/A",OR(C2496="A",C2496="B",C2496="C",C2496="U"),3,TRUE,"FLAG")</f>
        <v>3</v>
      </c>
      <c r="K2496" s="10">
        <f t="shared" si="1504"/>
        <v>3</v>
      </c>
      <c r="L2496" s="10">
        <f t="shared" si="1504"/>
        <v>3</v>
      </c>
      <c r="M2496" s="10" t="str">
        <f t="shared" si="1504"/>
        <v>FLAG</v>
      </c>
      <c r="N2496" s="10" t="str">
        <f t="shared" si="2"/>
        <v>55-1505 - Regulations of Equipment/Crude Oil/Products; Tamper with field equipment identification</v>
      </c>
      <c r="O2496" s="10" t="str">
        <f t="shared" si="3"/>
        <v>Regulations of Equipment/Crude Oil/Products</v>
      </c>
    </row>
    <row r="2497">
      <c r="A2497" s="7" t="s">
        <v>4441</v>
      </c>
      <c r="B2497" s="8" t="s">
        <v>4442</v>
      </c>
      <c r="C2497" s="8" t="s">
        <v>28</v>
      </c>
      <c r="D2497" s="8" t="s">
        <v>19</v>
      </c>
      <c r="E2497" s="8" t="s">
        <v>19</v>
      </c>
      <c r="F2497" s="8" t="s">
        <v>20</v>
      </c>
      <c r="G2497" s="8" t="s">
        <v>21</v>
      </c>
      <c r="H2497" s="9"/>
      <c r="I2497" s="9"/>
      <c r="J2497" s="10">
        <f t="shared" ref="J2497:M2497" si="1505">ifs(OR($H2497="R",$I2497="N"),"N/A",OR(C2497="A",C2497="B",C2497="C",C2497="U"),3,TRUE,"FLAG")</f>
        <v>3</v>
      </c>
      <c r="K2497" s="10">
        <f t="shared" si="1505"/>
        <v>3</v>
      </c>
      <c r="L2497" s="10">
        <f t="shared" si="1505"/>
        <v>3</v>
      </c>
      <c r="M2497" s="10" t="str">
        <f t="shared" si="1505"/>
        <v>FLAG</v>
      </c>
      <c r="N2497" s="10" t="str">
        <f t="shared" si="2"/>
        <v>39-1402(a) - Reporting Abuse, Neglect or Exploitation of Certain Persons; Failure to report abuse, neglect or exploitation of residents</v>
      </c>
      <c r="O2497" s="10" t="str">
        <f t="shared" si="3"/>
        <v>Reporting Abuse, Neglect or Exploitation of Certain Persons</v>
      </c>
    </row>
    <row r="2498">
      <c r="A2498" s="7" t="s">
        <v>4443</v>
      </c>
      <c r="B2498" s="8" t="s">
        <v>4444</v>
      </c>
      <c r="C2498" s="8" t="s">
        <v>28</v>
      </c>
      <c r="D2498" s="8" t="s">
        <v>19</v>
      </c>
      <c r="E2498" s="8" t="s">
        <v>19</v>
      </c>
      <c r="F2498" s="8" t="s">
        <v>20</v>
      </c>
      <c r="G2498" s="8" t="s">
        <v>21</v>
      </c>
      <c r="H2498" s="9"/>
      <c r="I2498" s="9"/>
      <c r="J2498" s="10">
        <f t="shared" ref="J2498:M2498" si="1506">ifs(OR($H2498="R",$I2498="N"),"N/A",OR(C2498="A",C2498="B",C2498="C",C2498="U"),3,TRUE,"FLAG")</f>
        <v>3</v>
      </c>
      <c r="K2498" s="10">
        <f t="shared" si="1506"/>
        <v>3</v>
      </c>
      <c r="L2498" s="10">
        <f t="shared" si="1506"/>
        <v>3</v>
      </c>
      <c r="M2498" s="10" t="str">
        <f t="shared" si="1506"/>
        <v>FLAG</v>
      </c>
      <c r="N2498" s="10" t="str">
        <f t="shared" si="2"/>
        <v>39-1431(a) - Reporting Abuse, Neglect or Exploitation of Certain Persons; Failure to report abuse, neglect or exploitation or need of protective services</v>
      </c>
      <c r="O2498" s="10" t="str">
        <f t="shared" si="3"/>
        <v>Reporting Abuse, Neglect or Exploitation of Certain Persons</v>
      </c>
    </row>
    <row r="2499">
      <c r="A2499" s="7" t="s">
        <v>4445</v>
      </c>
      <c r="B2499" s="8" t="s">
        <v>4446</v>
      </c>
      <c r="C2499" s="8" t="s">
        <v>19</v>
      </c>
      <c r="D2499" s="8" t="s">
        <v>19</v>
      </c>
      <c r="E2499" s="8" t="s">
        <v>19</v>
      </c>
      <c r="F2499" s="8" t="s">
        <v>20</v>
      </c>
      <c r="G2499" s="8" t="s">
        <v>21</v>
      </c>
      <c r="H2499" s="9"/>
      <c r="I2499" s="9"/>
      <c r="J2499" s="10">
        <f t="shared" ref="J2499:M2499" si="1507">ifs(OR($H2499="R",$I2499="N"),"N/A",OR(C2499="A",C2499="B",C2499="C",C2499="U"),3,TRUE,"FLAG")</f>
        <v>3</v>
      </c>
      <c r="K2499" s="10">
        <f t="shared" si="1507"/>
        <v>3</v>
      </c>
      <c r="L2499" s="10">
        <f t="shared" si="1507"/>
        <v>3</v>
      </c>
      <c r="M2499" s="10" t="str">
        <f t="shared" si="1507"/>
        <v>FLAG</v>
      </c>
      <c r="N2499" s="10" t="str">
        <f t="shared" si="2"/>
        <v>65-1,209(a) - Residential Childhood Lead Poisoning Prevention Act; 1st violation of act</v>
      </c>
      <c r="O2499" s="10" t="str">
        <f t="shared" si="3"/>
        <v>Residential Childhood Lead Poisoning Prevention Act</v>
      </c>
    </row>
    <row r="2500">
      <c r="A2500" s="7" t="s">
        <v>4447</v>
      </c>
      <c r="B2500" s="8" t="s">
        <v>4448</v>
      </c>
      <c r="C2500" s="8" t="s">
        <v>28</v>
      </c>
      <c r="D2500" s="8" t="s">
        <v>19</v>
      </c>
      <c r="E2500" s="8" t="s">
        <v>19</v>
      </c>
      <c r="F2500" s="8" t="s">
        <v>20</v>
      </c>
      <c r="G2500" s="8" t="s">
        <v>21</v>
      </c>
      <c r="H2500" s="9"/>
      <c r="I2500" s="9"/>
      <c r="J2500" s="10">
        <f t="shared" ref="J2500:M2500" si="1508">ifs(OR($H2500="R",$I2500="N"),"N/A",OR(C2500="A",C2500="B",C2500="C",C2500="U"),3,TRUE,"FLAG")</f>
        <v>3</v>
      </c>
      <c r="K2500" s="10">
        <f t="shared" si="1508"/>
        <v>3</v>
      </c>
      <c r="L2500" s="10">
        <f t="shared" si="1508"/>
        <v>3</v>
      </c>
      <c r="M2500" s="10" t="str">
        <f t="shared" si="1508"/>
        <v>FLAG</v>
      </c>
      <c r="N2500" s="10" t="str">
        <f t="shared" si="2"/>
        <v>65-1,209(b) - Residential Childhood Lead Poisoning Prevention Act; 2nd or subs. violation of act</v>
      </c>
      <c r="O2500" s="10" t="str">
        <f t="shared" si="3"/>
        <v>Residential Childhood Lead Poisoning Prevention Act</v>
      </c>
    </row>
    <row r="2501">
      <c r="A2501" s="7" t="s">
        <v>4449</v>
      </c>
      <c r="B2501" s="8" t="s">
        <v>4450</v>
      </c>
      <c r="C2501" s="8" t="s">
        <v>28</v>
      </c>
      <c r="D2501" s="8" t="s">
        <v>19</v>
      </c>
      <c r="E2501" s="8" t="s">
        <v>19</v>
      </c>
      <c r="F2501" s="8" t="s">
        <v>20</v>
      </c>
      <c r="G2501" s="8" t="s">
        <v>21</v>
      </c>
      <c r="H2501" s="9"/>
      <c r="I2501" s="9"/>
      <c r="J2501" s="10">
        <f t="shared" ref="J2501:M2501" si="1509">ifs(OR($H2501="R",$I2501="N"),"N/A",OR(C2501="A",C2501="B",C2501="C",C2501="U"),3,TRUE,"FLAG")</f>
        <v>3</v>
      </c>
      <c r="K2501" s="10">
        <f t="shared" si="1509"/>
        <v>3</v>
      </c>
      <c r="L2501" s="10">
        <f t="shared" si="1509"/>
        <v>3</v>
      </c>
      <c r="M2501" s="10" t="str">
        <f t="shared" si="1509"/>
        <v>FLAG</v>
      </c>
      <c r="N2501" s="10" t="str">
        <f t="shared" si="2"/>
        <v>65-5514(a) - Respiratory Therapy Practice Act; Unauthorized representation as respiratory therapist</v>
      </c>
      <c r="O2501" s="10" t="str">
        <f t="shared" si="3"/>
        <v>Respiratory Therapy Practice Act</v>
      </c>
    </row>
    <row r="2502">
      <c r="A2502" s="7" t="s">
        <v>4451</v>
      </c>
      <c r="B2502" s="8" t="s">
        <v>4452</v>
      </c>
      <c r="C2502" s="8" t="s">
        <v>18</v>
      </c>
      <c r="D2502" s="8" t="s">
        <v>18</v>
      </c>
      <c r="E2502" s="8" t="s">
        <v>19</v>
      </c>
      <c r="F2502" s="8" t="s">
        <v>20</v>
      </c>
      <c r="G2502" s="8" t="s">
        <v>21</v>
      </c>
      <c r="H2502" s="9"/>
      <c r="I2502" s="9"/>
      <c r="J2502" s="10">
        <f t="shared" ref="J2502:M2502" si="1510">ifs(OR($H2502="R",$I2502="N"),"N/A",OR(C2502="A",C2502="B",C2502="C",C2502="U"),3,TRUE,"FLAG")</f>
        <v>3</v>
      </c>
      <c r="K2502" s="10">
        <f t="shared" si="1510"/>
        <v>3</v>
      </c>
      <c r="L2502" s="10">
        <f t="shared" si="1510"/>
        <v>3</v>
      </c>
      <c r="M2502" s="10" t="str">
        <f t="shared" si="1510"/>
        <v>FLAG</v>
      </c>
      <c r="N2502" s="10" t="str">
        <f t="shared" si="2"/>
        <v>79-3606(iii) - Retailers' Sales Tax; 501(c)(3) Charitable Organization; contractor use of or disposal of materials purchased under tax exempt certificate for purpose not authorized by certificate without payment of tax</v>
      </c>
      <c r="O2502" s="10" t="str">
        <f t="shared" si="3"/>
        <v>Retailers' Sales Tax</v>
      </c>
    </row>
    <row r="2503">
      <c r="A2503" s="7" t="s">
        <v>4453</v>
      </c>
      <c r="B2503" s="8" t="s">
        <v>4454</v>
      </c>
      <c r="C2503" s="8" t="s">
        <v>18</v>
      </c>
      <c r="D2503" s="8" t="s">
        <v>18</v>
      </c>
      <c r="E2503" s="8" t="s">
        <v>19</v>
      </c>
      <c r="F2503" s="8" t="s">
        <v>20</v>
      </c>
      <c r="G2503" s="8" t="s">
        <v>21</v>
      </c>
      <c r="H2503" s="9"/>
      <c r="I2503" s="9"/>
      <c r="J2503" s="10">
        <f t="shared" ref="J2503:M2503" si="1511">ifs(OR($H2503="R",$I2503="N"),"N/A",OR(C2503="A",C2503="B",C2503="C",C2503="U"),3,TRUE,"FLAG")</f>
        <v>3</v>
      </c>
      <c r="K2503" s="10">
        <f t="shared" si="1511"/>
        <v>3</v>
      </c>
      <c r="L2503" s="10">
        <f t="shared" si="1511"/>
        <v>3</v>
      </c>
      <c r="M2503" s="10" t="str">
        <f t="shared" si="1511"/>
        <v>FLAG</v>
      </c>
      <c r="N2503" s="10" t="str">
        <f t="shared" si="2"/>
        <v>79-3606(xxx) - Retailers' Sales Tax; Booth Theatre Foundation; contractor use of or disposal of materials purchased under tax exempt certificate for purpose not authorized by certificate without payment of tax</v>
      </c>
      <c r="O2503" s="10" t="str">
        <f t="shared" si="3"/>
        <v>Retailers' Sales Tax</v>
      </c>
    </row>
    <row r="2504">
      <c r="A2504" s="7" t="s">
        <v>4455</v>
      </c>
      <c r="B2504" s="8" t="s">
        <v>4456</v>
      </c>
      <c r="C2504" s="8" t="s">
        <v>18</v>
      </c>
      <c r="D2504" s="8" t="s">
        <v>18</v>
      </c>
      <c r="E2504" s="8" t="s">
        <v>19</v>
      </c>
      <c r="F2504" s="8" t="s">
        <v>20</v>
      </c>
      <c r="G2504" s="8" t="s">
        <v>21</v>
      </c>
      <c r="H2504" s="9"/>
      <c r="I2504" s="9"/>
      <c r="J2504" s="10">
        <f t="shared" ref="J2504:M2504" si="1512">ifs(OR($H2504="R",$I2504="N"),"N/A",OR(C2504="A",C2504="B",C2504="C",C2504="U"),3,TRUE,"FLAG")</f>
        <v>3</v>
      </c>
      <c r="K2504" s="10">
        <f t="shared" si="1512"/>
        <v>3</v>
      </c>
      <c r="L2504" s="10">
        <f t="shared" si="1512"/>
        <v>3</v>
      </c>
      <c r="M2504" s="10" t="str">
        <f t="shared" si="1512"/>
        <v>FLAG</v>
      </c>
      <c r="N2504" s="10" t="str">
        <f t="shared" si="2"/>
        <v>79-3606(sss) - Retailers' Sales Tax; Catholic charities or Youthville; contractor use of or disposal of materials purchased under tax exempt certificate for purpose not authorized by certificate without payment of tax</v>
      </c>
      <c r="O2504" s="10" t="str">
        <f t="shared" si="3"/>
        <v>Retailers' Sales Tax</v>
      </c>
    </row>
    <row r="2505">
      <c r="A2505" s="7" t="s">
        <v>4457</v>
      </c>
      <c r="B2505" s="8" t="s">
        <v>4458</v>
      </c>
      <c r="C2505" s="8" t="s">
        <v>18</v>
      </c>
      <c r="D2505" s="8" t="s">
        <v>18</v>
      </c>
      <c r="E2505" s="8" t="s">
        <v>19</v>
      </c>
      <c r="F2505" s="8" t="s">
        <v>20</v>
      </c>
      <c r="G2505" s="8" t="s">
        <v>21</v>
      </c>
      <c r="H2505" s="9"/>
      <c r="I2505" s="9"/>
      <c r="J2505" s="10">
        <f t="shared" ref="J2505:M2505" si="1513">ifs(OR($H2505="R",$I2505="N"),"N/A",OR(C2505="A",C2505="B",C2505="C",C2505="U"),3,TRUE,"FLAG")</f>
        <v>3</v>
      </c>
      <c r="K2505" s="10">
        <f t="shared" si="1513"/>
        <v>3</v>
      </c>
      <c r="L2505" s="10">
        <f t="shared" si="1513"/>
        <v>3</v>
      </c>
      <c r="M2505" s="10" t="str">
        <f t="shared" si="1513"/>
        <v>FLAG</v>
      </c>
      <c r="N2505" s="10" t="str">
        <f t="shared" si="2"/>
        <v>79-3606(e) - Retailers' Sales Tax; Federal Projects; contractor use of or disposal of materials purchased under tax exempt certificate for purpose not authorized by certificate without payment of tax</v>
      </c>
      <c r="O2505" s="10" t="str">
        <f t="shared" si="3"/>
        <v>Retailers' Sales Tax</v>
      </c>
    </row>
    <row r="2506">
      <c r="A2506" s="7" t="s">
        <v>4459</v>
      </c>
      <c r="B2506" s="8" t="s">
        <v>4460</v>
      </c>
      <c r="C2506" s="8" t="s">
        <v>18</v>
      </c>
      <c r="D2506" s="8" t="s">
        <v>18</v>
      </c>
      <c r="E2506" s="8" t="s">
        <v>19</v>
      </c>
      <c r="F2506" s="8" t="s">
        <v>20</v>
      </c>
      <c r="G2506" s="8" t="s">
        <v>21</v>
      </c>
      <c r="H2506" s="9"/>
      <c r="I2506" s="9"/>
      <c r="J2506" s="10">
        <f t="shared" ref="J2506:M2506" si="1514">ifs(OR($H2506="R",$I2506="N"),"N/A",OR(C2506="A",C2506="B",C2506="C",C2506="U"),3,TRUE,"FLAG")</f>
        <v>3</v>
      </c>
      <c r="K2506" s="10">
        <f t="shared" si="1514"/>
        <v>3</v>
      </c>
      <c r="L2506" s="10">
        <f t="shared" si="1514"/>
        <v>3</v>
      </c>
      <c r="M2506" s="10" t="str">
        <f t="shared" si="1514"/>
        <v>FLAG</v>
      </c>
      <c r="N2506" s="10" t="str">
        <f t="shared" si="2"/>
        <v>79-3606(uuu) - Retailers' Sales Tax; Kansas Children's Service League; contractor use of or disposal of materials purchased under tax exempt certificate for purpose not authorized by certificate without payment of tax</v>
      </c>
      <c r="O2506" s="10" t="str">
        <f t="shared" si="3"/>
        <v>Retailers' Sales Tax</v>
      </c>
    </row>
    <row r="2507">
      <c r="A2507" s="7" t="s">
        <v>4461</v>
      </c>
      <c r="B2507" s="8" t="s">
        <v>4462</v>
      </c>
      <c r="C2507" s="8" t="s">
        <v>18</v>
      </c>
      <c r="D2507" s="8" t="s">
        <v>18</v>
      </c>
      <c r="E2507" s="8" t="s">
        <v>19</v>
      </c>
      <c r="F2507" s="8" t="s">
        <v>20</v>
      </c>
      <c r="G2507" s="8" t="s">
        <v>21</v>
      </c>
      <c r="H2507" s="9"/>
      <c r="I2507" s="9"/>
      <c r="J2507" s="10">
        <f t="shared" ref="J2507:M2507" si="1515">ifs(OR($H2507="R",$I2507="N"),"N/A",OR(C2507="A",C2507="B",C2507="C",C2507="U"),3,TRUE,"FLAG")</f>
        <v>3</v>
      </c>
      <c r="K2507" s="10">
        <f t="shared" si="1515"/>
        <v>3</v>
      </c>
      <c r="L2507" s="10">
        <f t="shared" si="1515"/>
        <v>3</v>
      </c>
      <c r="M2507" s="10" t="str">
        <f t="shared" si="1515"/>
        <v>FLAG</v>
      </c>
      <c r="N2507" s="10" t="str">
        <f t="shared" si="2"/>
        <v>79-3606e - Retailers' Sales Tax; Kiowa County Disaster; contractor use of or disposal of materials purchased under tax exempt certificate for purpose not authorized by certificate without payment of tax</v>
      </c>
      <c r="O2507" s="10" t="str">
        <f t="shared" si="3"/>
        <v>Retailers' Sales Tax</v>
      </c>
    </row>
    <row r="2508">
      <c r="A2508" s="7" t="s">
        <v>4463</v>
      </c>
      <c r="B2508" s="8" t="s">
        <v>4464</v>
      </c>
      <c r="C2508" s="8" t="s">
        <v>18</v>
      </c>
      <c r="D2508" s="8" t="s">
        <v>18</v>
      </c>
      <c r="E2508" s="8" t="s">
        <v>19</v>
      </c>
      <c r="F2508" s="8" t="s">
        <v>20</v>
      </c>
      <c r="G2508" s="8" t="s">
        <v>21</v>
      </c>
      <c r="H2508" s="9"/>
      <c r="I2508" s="9"/>
      <c r="J2508" s="10">
        <f t="shared" ref="J2508:M2508" si="1516">ifs(OR($H2508="R",$I2508="N"),"N/A",OR(C2508="A",C2508="B",C2508="C",C2508="U"),3,TRUE,"FLAG")</f>
        <v>3</v>
      </c>
      <c r="K2508" s="10">
        <f t="shared" si="1516"/>
        <v>3</v>
      </c>
      <c r="L2508" s="10">
        <f t="shared" si="1516"/>
        <v>3</v>
      </c>
      <c r="M2508" s="10" t="str">
        <f t="shared" si="1516"/>
        <v>FLAG</v>
      </c>
      <c r="N2508" s="10" t="str">
        <f t="shared" si="2"/>
        <v>79-3606(cc) - Retailers' Sales Tax; Manufacturing, non-manufacturing, or retail business exemption for construction, remodeling or expansion pursuant to requirements of K.S.A. 74-50,115; contractor use of or disposal of materials purchased under tax exempt certificate for purpose not authorized by certificate without payment of tax</v>
      </c>
      <c r="O2508" s="10" t="str">
        <f t="shared" si="3"/>
        <v>Retailers' Sales Tax</v>
      </c>
    </row>
    <row r="2509">
      <c r="A2509" s="7" t="s">
        <v>4465</v>
      </c>
      <c r="B2509" s="8" t="s">
        <v>4466</v>
      </c>
      <c r="C2509" s="8" t="s">
        <v>18</v>
      </c>
      <c r="D2509" s="8" t="s">
        <v>18</v>
      </c>
      <c r="E2509" s="8" t="s">
        <v>19</v>
      </c>
      <c r="F2509" s="8" t="s">
        <v>20</v>
      </c>
      <c r="G2509" s="8" t="s">
        <v>21</v>
      </c>
      <c r="H2509" s="9"/>
      <c r="I2509" s="9"/>
      <c r="J2509" s="10">
        <f t="shared" ref="J2509:M2509" si="1517">ifs(OR($H2509="R",$I2509="N"),"N/A",OR(C2509="A",C2509="B",C2509="C",C2509="U"),3,TRUE,"FLAG")</f>
        <v>3</v>
      </c>
      <c r="K2509" s="10">
        <f t="shared" si="1517"/>
        <v>3</v>
      </c>
      <c r="L2509" s="10">
        <f t="shared" si="1517"/>
        <v>3</v>
      </c>
      <c r="M2509" s="10" t="str">
        <f t="shared" si="1517"/>
        <v>FLAG</v>
      </c>
      <c r="N2509" s="10" t="str">
        <f t="shared" si="2"/>
        <v>79-3606(hhhh) - Retailers' Sales Tax; NAICS subsectors; contractor use or disposal of materials purchased under tax exempt certification for purpose not authorized without payment of tax</v>
      </c>
      <c r="O2509" s="10" t="str">
        <f t="shared" si="3"/>
        <v>Retailers' Sales Tax</v>
      </c>
    </row>
    <row r="2510">
      <c r="A2510" s="7" t="s">
        <v>4467</v>
      </c>
      <c r="B2510" s="8" t="s">
        <v>4468</v>
      </c>
      <c r="C2510" s="8" t="s">
        <v>18</v>
      </c>
      <c r="D2510" s="8" t="s">
        <v>18</v>
      </c>
      <c r="E2510" s="8" t="s">
        <v>19</v>
      </c>
      <c r="F2510" s="8" t="s">
        <v>20</v>
      </c>
      <c r="G2510" s="8" t="s">
        <v>21</v>
      </c>
      <c r="H2510" s="9"/>
      <c r="I2510" s="9"/>
      <c r="J2510" s="10">
        <f t="shared" ref="J2510:M2510" si="1518">ifs(OR($H2510="R",$I2510="N"),"N/A",OR(C2510="A",C2510="B",C2510="C",C2510="U"),3,TRUE,"FLAG")</f>
        <v>3</v>
      </c>
      <c r="K2510" s="10">
        <f t="shared" si="1518"/>
        <v>3</v>
      </c>
      <c r="L2510" s="10">
        <f t="shared" si="1518"/>
        <v>3</v>
      </c>
      <c r="M2510" s="10" t="str">
        <f t="shared" si="1518"/>
        <v>FLAG</v>
      </c>
      <c r="N2510" s="10" t="str">
        <f t="shared" si="2"/>
        <v>79-3606(ttt) - Retailers' Sales Tax; Nonprofit Museum; contractor use of or disposal of materials purchased under tax exempt certificate for purpose not authorized by certificate without payment of tax</v>
      </c>
      <c r="O2510" s="10" t="str">
        <f t="shared" si="3"/>
        <v>Retailers' Sales Tax</v>
      </c>
    </row>
    <row r="2511">
      <c r="A2511" s="7" t="s">
        <v>4469</v>
      </c>
      <c r="B2511" s="8" t="s">
        <v>4470</v>
      </c>
      <c r="C2511" s="8" t="s">
        <v>18</v>
      </c>
      <c r="D2511" s="8" t="s">
        <v>18</v>
      </c>
      <c r="E2511" s="8" t="s">
        <v>19</v>
      </c>
      <c r="F2511" s="8" t="s">
        <v>20</v>
      </c>
      <c r="G2511" s="8" t="s">
        <v>21</v>
      </c>
      <c r="H2511" s="9"/>
      <c r="I2511" s="9"/>
      <c r="J2511" s="10">
        <f t="shared" ref="J2511:M2511" si="1519">ifs(OR($H2511="R",$I2511="N"),"N/A",OR(C2511="A",C2511="B",C2511="C",C2511="U"),3,TRUE,"FLAG")</f>
        <v>3</v>
      </c>
      <c r="K2511" s="10">
        <f t="shared" si="1519"/>
        <v>3</v>
      </c>
      <c r="L2511" s="10">
        <f t="shared" si="1519"/>
        <v>3</v>
      </c>
      <c r="M2511" s="10" t="str">
        <f t="shared" si="1519"/>
        <v>FLAG</v>
      </c>
      <c r="N2511" s="10" t="str">
        <f t="shared" si="2"/>
        <v>79-3606(ccc) - Retailers' Sales Tax; Nonprofit Primary Care Clinic or Health Center; contractor use of or disposal of materials purchased under tax exempt certificate for purpose not authorized by certificate without payment of tax</v>
      </c>
      <c r="O2511" s="10" t="str">
        <f t="shared" si="3"/>
        <v>Retailers' Sales Tax</v>
      </c>
    </row>
    <row r="2512">
      <c r="A2512" s="7" t="s">
        <v>4471</v>
      </c>
      <c r="B2512" s="8" t="s">
        <v>4472</v>
      </c>
      <c r="C2512" s="8" t="s">
        <v>18</v>
      </c>
      <c r="D2512" s="8" t="s">
        <v>18</v>
      </c>
      <c r="E2512" s="8" t="s">
        <v>19</v>
      </c>
      <c r="F2512" s="8" t="s">
        <v>20</v>
      </c>
      <c r="G2512" s="8" t="s">
        <v>21</v>
      </c>
      <c r="H2512" s="9"/>
      <c r="I2512" s="9"/>
      <c r="J2512" s="10">
        <f t="shared" ref="J2512:M2512" si="1520">ifs(OR($H2512="R",$I2512="N"),"N/A",OR(C2512="A",C2512="B",C2512="C",C2512="U"),3,TRUE,"FLAG")</f>
        <v>3</v>
      </c>
      <c r="K2512" s="10">
        <f t="shared" si="1520"/>
        <v>3</v>
      </c>
      <c r="L2512" s="10">
        <f t="shared" si="1520"/>
        <v>3</v>
      </c>
      <c r="M2512" s="10" t="str">
        <f t="shared" si="1520"/>
        <v>FLAG</v>
      </c>
      <c r="N2512" s="10" t="str">
        <f t="shared" si="2"/>
        <v>79-3606(aaa) - Retailers' Sales Tax; Nonprofit Religious Organization; contractor use of or disposal of materials purchased under tax exempt certificate for purpose not authorized by certificate without payment of tax</v>
      </c>
      <c r="O2512" s="10" t="str">
        <f t="shared" si="3"/>
        <v>Retailers' Sales Tax</v>
      </c>
    </row>
    <row r="2513">
      <c r="A2513" s="7" t="s">
        <v>4473</v>
      </c>
      <c r="B2513" s="8" t="s">
        <v>4474</v>
      </c>
      <c r="C2513" s="8" t="s">
        <v>18</v>
      </c>
      <c r="D2513" s="8" t="s">
        <v>18</v>
      </c>
      <c r="E2513" s="8" t="s">
        <v>19</v>
      </c>
      <c r="F2513" s="8" t="s">
        <v>20</v>
      </c>
      <c r="G2513" s="8" t="s">
        <v>21</v>
      </c>
      <c r="H2513" s="9"/>
      <c r="I2513" s="9"/>
      <c r="J2513" s="10">
        <f t="shared" ref="J2513:M2513" si="1521">ifs(OR($H2513="R",$I2513="N"),"N/A",OR(C2513="A",C2513="B",C2513="C",C2513="U"),3,TRUE,"FLAG")</f>
        <v>3</v>
      </c>
      <c r="K2513" s="10">
        <f t="shared" si="1521"/>
        <v>3</v>
      </c>
      <c r="L2513" s="10">
        <f t="shared" si="1521"/>
        <v>3</v>
      </c>
      <c r="M2513" s="10" t="str">
        <f t="shared" si="1521"/>
        <v>FLAG</v>
      </c>
      <c r="N2513" s="10" t="str">
        <f t="shared" si="2"/>
        <v>79-3606(xx) - Retailers' Sales Tax; Nonprofit Zoo; contractor use of or disposal of materials purchased under tax exempt certificate for purpose not authorized by certificate without payment of tax</v>
      </c>
      <c r="O2513" s="10" t="str">
        <f t="shared" si="3"/>
        <v>Retailers' Sales Tax</v>
      </c>
    </row>
    <row r="2514">
      <c r="A2514" s="7" t="s">
        <v>4475</v>
      </c>
      <c r="B2514" s="8" t="s">
        <v>4476</v>
      </c>
      <c r="C2514" s="8" t="s">
        <v>18</v>
      </c>
      <c r="D2514" s="8" t="s">
        <v>18</v>
      </c>
      <c r="E2514" s="8" t="s">
        <v>19</v>
      </c>
      <c r="F2514" s="8" t="s">
        <v>20</v>
      </c>
      <c r="G2514" s="8" t="s">
        <v>21</v>
      </c>
      <c r="H2514" s="9"/>
      <c r="I2514" s="9"/>
      <c r="J2514" s="10">
        <f t="shared" ref="J2514:M2514" si="1522">ifs(OR($H2514="R",$I2514="N"),"N/A",OR(C2514="A",C2514="B",C2514="C",C2514="U"),3,TRUE,"FLAG")</f>
        <v>3</v>
      </c>
      <c r="K2514" s="10">
        <f t="shared" si="1522"/>
        <v>3</v>
      </c>
      <c r="L2514" s="10">
        <f t="shared" si="1522"/>
        <v>3</v>
      </c>
      <c r="M2514" s="10" t="str">
        <f t="shared" si="1522"/>
        <v>FLAG</v>
      </c>
      <c r="N2514" s="10" t="str">
        <f t="shared" si="2"/>
        <v>79-3606(d) - Retailers' Sales Tax; Public Buildings; contractor use of or disposal of materials purchased under tax exempt certificate for purpose not authorized by certificate without payment of tax</v>
      </c>
      <c r="O2514" s="10" t="str">
        <f t="shared" si="3"/>
        <v>Retailers' Sales Tax</v>
      </c>
    </row>
    <row r="2515">
      <c r="A2515" s="7" t="s">
        <v>4477</v>
      </c>
      <c r="B2515" s="8" t="s">
        <v>4478</v>
      </c>
      <c r="C2515" s="8" t="s">
        <v>18</v>
      </c>
      <c r="D2515" s="8" t="s">
        <v>18</v>
      </c>
      <c r="E2515" s="8" t="s">
        <v>19</v>
      </c>
      <c r="F2515" s="8" t="s">
        <v>20</v>
      </c>
      <c r="G2515" s="8" t="s">
        <v>21</v>
      </c>
      <c r="H2515" s="9"/>
      <c r="I2515" s="9"/>
      <c r="J2515" s="10">
        <f t="shared" ref="J2515:M2515" si="1523">ifs(OR($H2515="R",$I2515="N"),"N/A",OR(C2515="A",C2515="B",C2515="C",C2515="U"),3,TRUE,"FLAG")</f>
        <v>3</v>
      </c>
      <c r="K2515" s="10">
        <f t="shared" si="1523"/>
        <v>3</v>
      </c>
      <c r="L2515" s="10">
        <f t="shared" si="1523"/>
        <v>3</v>
      </c>
      <c r="M2515" s="10" t="str">
        <f t="shared" si="1523"/>
        <v>FLAG</v>
      </c>
      <c r="N2515" s="10" t="str">
        <f t="shared" si="2"/>
        <v>79-3606(ffff) - Retailers' Sales Tax; Sheltered Living, Inc.; contractor use of or disposal of materials purchased under tax exempt certificate for purpose not authorized by certificate without payment of tax</v>
      </c>
      <c r="O2515" s="10" t="str">
        <f t="shared" si="3"/>
        <v>Retailers' Sales Tax</v>
      </c>
    </row>
    <row r="2516">
      <c r="A2516" s="7" t="s">
        <v>4479</v>
      </c>
      <c r="B2516" s="8" t="s">
        <v>4480</v>
      </c>
      <c r="C2516" s="8" t="s">
        <v>18</v>
      </c>
      <c r="D2516" s="8" t="s">
        <v>18</v>
      </c>
      <c r="E2516" s="8" t="s">
        <v>19</v>
      </c>
      <c r="F2516" s="8" t="s">
        <v>20</v>
      </c>
      <c r="G2516" s="8" t="s">
        <v>21</v>
      </c>
      <c r="H2516" s="9"/>
      <c r="I2516" s="9"/>
      <c r="J2516" s="10">
        <f t="shared" ref="J2516:M2516" si="1524">ifs(OR($H2516="R",$I2516="N"),"N/A",OR(C2516="A",C2516="B",C2516="C",C2516="U"),3,TRUE,"FLAG")</f>
        <v>3</v>
      </c>
      <c r="K2516" s="10">
        <f t="shared" si="1524"/>
        <v>3</v>
      </c>
      <c r="L2516" s="10">
        <f t="shared" si="1524"/>
        <v>3</v>
      </c>
      <c r="M2516" s="10" t="str">
        <f t="shared" si="1524"/>
        <v>FLAG</v>
      </c>
      <c r="N2516" s="10" t="str">
        <f t="shared" si="2"/>
        <v>79-3606(yyy) - Retailers' Sales Tax; TLC Charities Foundation Inc.; contractor use of or disposal of materials purchased under tax exempt certificate for purpose not authorized by certificate without payment of tax</v>
      </c>
      <c r="O2516" s="10" t="str">
        <f t="shared" si="3"/>
        <v>Retailers' Sales Tax</v>
      </c>
    </row>
    <row r="2517">
      <c r="A2517" s="7" t="s">
        <v>4481</v>
      </c>
      <c r="B2517" s="8" t="s">
        <v>4482</v>
      </c>
      <c r="C2517" s="8" t="s">
        <v>18</v>
      </c>
      <c r="D2517" s="8" t="s">
        <v>18</v>
      </c>
      <c r="E2517" s="8" t="s">
        <v>19</v>
      </c>
      <c r="F2517" s="8" t="s">
        <v>20</v>
      </c>
      <c r="G2517" s="8" t="s">
        <v>21</v>
      </c>
      <c r="H2517" s="9"/>
      <c r="I2517" s="9"/>
      <c r="J2517" s="10">
        <f t="shared" ref="J2517:M2517" si="1525">ifs(OR($H2517="R",$I2517="N"),"N/A",OR(C2517="A",C2517="B",C2517="C",C2517="U"),3,TRUE,"FLAG")</f>
        <v>3</v>
      </c>
      <c r="K2517" s="10">
        <f t="shared" si="1525"/>
        <v>3</v>
      </c>
      <c r="L2517" s="10">
        <f t="shared" si="1525"/>
        <v>3</v>
      </c>
      <c r="M2517" s="10" t="str">
        <f t="shared" si="1525"/>
        <v>FLAG</v>
      </c>
      <c r="N2517" s="10" t="str">
        <f t="shared" si="2"/>
        <v>79-3606(qqq) - Retailers' Sales Tax; TLC for Children and Families Inc.; contractor use of or disposal of materials purchased under tax exempt certificate for purpose not authorized by certificate without payment of tax</v>
      </c>
      <c r="O2517" s="10" t="str">
        <f t="shared" si="3"/>
        <v>Retailers' Sales Tax</v>
      </c>
    </row>
    <row r="2518">
      <c r="A2518" s="7" t="s">
        <v>4483</v>
      </c>
      <c r="B2518" s="8" t="s">
        <v>4484</v>
      </c>
      <c r="C2518" s="8" t="s">
        <v>18</v>
      </c>
      <c r="D2518" s="8" t="s">
        <v>18</v>
      </c>
      <c r="E2518" s="8" t="s">
        <v>19</v>
      </c>
      <c r="F2518" s="8" t="s">
        <v>20</v>
      </c>
      <c r="G2518" s="8" t="s">
        <v>21</v>
      </c>
      <c r="H2518" s="9"/>
      <c r="I2518" s="9"/>
      <c r="J2518" s="10">
        <f t="shared" ref="J2518:M2518" si="1526">ifs(OR($H2518="R",$I2518="N"),"N/A",OR(C2518="A",C2518="B",C2518="C",C2518="U"),3,TRUE,"FLAG")</f>
        <v>3</v>
      </c>
      <c r="K2518" s="10">
        <f t="shared" si="1526"/>
        <v>3</v>
      </c>
      <c r="L2518" s="10">
        <f t="shared" si="1526"/>
        <v>3</v>
      </c>
      <c r="M2518" s="10" t="str">
        <f t="shared" si="1526"/>
        <v>FLAG</v>
      </c>
      <c r="N2518" s="10" t="str">
        <f t="shared" si="2"/>
        <v>79-3606(iiii) - Retailers' Sales Tax; Wichita Children's Home; contractor use or disposal of materials purchased under tax exempt certification for purpose not authorized without payment of tax</v>
      </c>
      <c r="O2518" s="10" t="str">
        <f t="shared" si="3"/>
        <v>Retailers' Sales Tax</v>
      </c>
    </row>
    <row r="2519">
      <c r="A2519" s="7" t="s">
        <v>4485</v>
      </c>
      <c r="B2519" s="8" t="s">
        <v>4486</v>
      </c>
      <c r="C2519" s="8" t="s">
        <v>18</v>
      </c>
      <c r="D2519" s="8" t="s">
        <v>18</v>
      </c>
      <c r="E2519" s="8" t="s">
        <v>19</v>
      </c>
      <c r="F2519" s="8" t="s">
        <v>20</v>
      </c>
      <c r="G2519" s="8" t="s">
        <v>21</v>
      </c>
      <c r="H2519" s="9"/>
      <c r="I2519" s="9"/>
      <c r="J2519" s="10">
        <f t="shared" ref="J2519:M2519" si="1527">ifs(OR($H2519="R",$I2519="N"),"N/A",OR(C2519="A",C2519="B",C2519="C",C2519="U"),3,TRUE,"FLAG")</f>
        <v>3</v>
      </c>
      <c r="K2519" s="10">
        <f t="shared" si="1527"/>
        <v>3</v>
      </c>
      <c r="L2519" s="10">
        <f t="shared" si="1527"/>
        <v>3</v>
      </c>
      <c r="M2519" s="10" t="str">
        <f t="shared" si="1527"/>
        <v>FLAG</v>
      </c>
      <c r="N2519" s="10" t="str">
        <f t="shared" si="2"/>
        <v>79-3651(g) - Retailers' Sales Tax; Willfully and intentionally refuse to pay tax to retailer for purchase of tangible personal property or services</v>
      </c>
      <c r="O2519" s="10" t="str">
        <f t="shared" si="3"/>
        <v>Retailers' Sales Tax</v>
      </c>
    </row>
    <row r="2520">
      <c r="A2520" s="7" t="s">
        <v>4487</v>
      </c>
      <c r="B2520" s="8" t="s">
        <v>4488</v>
      </c>
      <c r="C2520" s="8" t="s">
        <v>27</v>
      </c>
      <c r="D2520" s="8" t="s">
        <v>28</v>
      </c>
      <c r="E2520" s="8" t="s">
        <v>19</v>
      </c>
      <c r="F2520" s="8" t="s">
        <v>20</v>
      </c>
      <c r="G2520" s="8" t="s">
        <v>21</v>
      </c>
      <c r="H2520" s="9"/>
      <c r="I2520" s="9"/>
      <c r="J2520" s="10">
        <f t="shared" ref="J2520:M2520" si="1528">ifs(OR($H2520="R",$I2520="N"),"N/A",OR(C2520="A",C2520="B",C2520="C",C2520="U"),3,TRUE,"FLAG")</f>
        <v>3</v>
      </c>
      <c r="K2520" s="10">
        <f t="shared" si="1528"/>
        <v>3</v>
      </c>
      <c r="L2520" s="10">
        <f t="shared" si="1528"/>
        <v>3</v>
      </c>
      <c r="M2520" s="10" t="str">
        <f t="shared" si="1528"/>
        <v>FLAG</v>
      </c>
      <c r="N2520" s="10" t="str">
        <f t="shared" si="2"/>
        <v>16a-5-301(1) - Revised Uniform Consumer Credit Code; Intentional violation of the act; 2nd or subs.</v>
      </c>
      <c r="O2520" s="10" t="str">
        <f t="shared" si="3"/>
        <v>Revised Uniform Consumer Credit Code</v>
      </c>
    </row>
    <row r="2521">
      <c r="A2521" s="7" t="s">
        <v>4489</v>
      </c>
      <c r="B2521" s="8" t="s">
        <v>4490</v>
      </c>
      <c r="C2521" s="8" t="s">
        <v>27</v>
      </c>
      <c r="D2521" s="8" t="s">
        <v>28</v>
      </c>
      <c r="E2521" s="8" t="s">
        <v>19</v>
      </c>
      <c r="F2521" s="8" t="s">
        <v>20</v>
      </c>
      <c r="G2521" s="8" t="s">
        <v>21</v>
      </c>
      <c r="H2521" s="9"/>
      <c r="I2521" s="9"/>
      <c r="J2521" s="10">
        <f t="shared" ref="J2521:M2521" si="1529">ifs(OR($H2521="R",$I2521="N"),"N/A",OR(C2521="A",C2521="B",C2521="C",C2521="U"),3,TRUE,"FLAG")</f>
        <v>3</v>
      </c>
      <c r="K2521" s="10">
        <f t="shared" si="1529"/>
        <v>3</v>
      </c>
      <c r="L2521" s="10">
        <f t="shared" si="1529"/>
        <v>3</v>
      </c>
      <c r="M2521" s="10" t="str">
        <f t="shared" si="1529"/>
        <v>FLAG</v>
      </c>
      <c r="N2521" s="10" t="str">
        <f t="shared" si="2"/>
        <v>16a-5-301(3) - Revised Uniform Consumer Credit Code; Intentional Violations; engage in consumer credit transactions and undertake collection of payments or enforcement of rights without complying with provisions pertaining to notification or payment of fees</v>
      </c>
      <c r="O2521" s="10" t="str">
        <f t="shared" si="3"/>
        <v>Revised Uniform Consumer Credit Code</v>
      </c>
    </row>
    <row r="2522">
      <c r="A2522" s="7" t="s">
        <v>4491</v>
      </c>
      <c r="B2522" s="8" t="s">
        <v>4488</v>
      </c>
      <c r="C2522" s="8">
        <v>7.0</v>
      </c>
      <c r="D2522" s="8">
        <v>9.0</v>
      </c>
      <c r="E2522" s="8">
        <v>9.0</v>
      </c>
      <c r="F2522" s="8">
        <v>10.0</v>
      </c>
      <c r="G2522" s="8" t="s">
        <v>21</v>
      </c>
      <c r="H2522" s="9"/>
      <c r="I2522" s="9"/>
      <c r="N2522" s="10" t="str">
        <f t="shared" si="2"/>
        <v>16a-5-301(1) - Revised Uniform Consumer Credit Code; Remedies and Penalties; intentional violation of the act; 2nd or subs.</v>
      </c>
      <c r="O2522" s="10" t="str">
        <f t="shared" si="3"/>
        <v>Revised Uniform Consumer Credit Code</v>
      </c>
    </row>
    <row r="2523">
      <c r="A2523" s="7" t="s">
        <v>4492</v>
      </c>
      <c r="B2523" s="8" t="s">
        <v>4493</v>
      </c>
      <c r="C2523" s="8">
        <v>2.0</v>
      </c>
      <c r="D2523" s="8">
        <v>4.0</v>
      </c>
      <c r="E2523" s="8">
        <v>2.0</v>
      </c>
      <c r="F2523" s="8">
        <v>5.0</v>
      </c>
      <c r="G2523" s="8" t="s">
        <v>24</v>
      </c>
      <c r="H2523" s="9"/>
      <c r="I2523" s="9"/>
      <c r="N2523" s="10" t="str">
        <f t="shared" si="2"/>
        <v>21-6329(a)(2) - RICO Act; Acquire or maintain an interest or control of any enterprise or real property through a pattern of racketeering activity or collection of unlawful debt</v>
      </c>
      <c r="O2523" s="10" t="str">
        <f t="shared" si="3"/>
        <v>RICO Act</v>
      </c>
    </row>
    <row r="2524">
      <c r="A2524" s="7" t="s">
        <v>4494</v>
      </c>
      <c r="B2524" s="8" t="s">
        <v>4495</v>
      </c>
      <c r="C2524" s="8">
        <v>2.0</v>
      </c>
      <c r="D2524" s="8">
        <v>4.0</v>
      </c>
      <c r="E2524" s="8">
        <v>2.0</v>
      </c>
      <c r="F2524" s="8">
        <v>5.0</v>
      </c>
      <c r="G2524" s="8" t="s">
        <v>24</v>
      </c>
      <c r="H2524" s="9"/>
      <c r="I2524" s="9"/>
      <c r="N2524" s="10" t="str">
        <f t="shared" si="2"/>
        <v>21-6329(a)(3) - RICO Act; Conduct or participate in any enterprise through a pattern of racketeering activity or collection of unlawful debt</v>
      </c>
      <c r="O2524" s="10" t="str">
        <f t="shared" si="3"/>
        <v>RICO Act</v>
      </c>
    </row>
    <row r="2525">
      <c r="A2525" s="7" t="s">
        <v>4496</v>
      </c>
      <c r="B2525" s="8" t="s">
        <v>4497</v>
      </c>
      <c r="C2525" s="8">
        <v>2.0</v>
      </c>
      <c r="D2525" s="8">
        <v>4.0</v>
      </c>
      <c r="E2525" s="8">
        <v>2.0</v>
      </c>
      <c r="F2525" s="8">
        <v>5.0</v>
      </c>
      <c r="G2525" s="8" t="s">
        <v>24</v>
      </c>
      <c r="H2525" s="9"/>
      <c r="I2525" s="9"/>
      <c r="N2525" s="10" t="str">
        <f t="shared" si="2"/>
        <v>21-6329(a)(1) - RICO Act; Receive, with criminal intent, proceeds of a racketeering activity or collection of unlawful debt, in order to use or invest such proceeds in the acquisition of real property or operation of any enterprise</v>
      </c>
      <c r="O2525" s="10" t="str">
        <f t="shared" si="3"/>
        <v>RICO Act</v>
      </c>
    </row>
    <row r="2526">
      <c r="A2526" s="7" t="s">
        <v>4498</v>
      </c>
      <c r="B2526" s="8" t="s">
        <v>4499</v>
      </c>
      <c r="C2526" s="8" t="s">
        <v>27</v>
      </c>
      <c r="D2526" s="8" t="s">
        <v>28</v>
      </c>
      <c r="E2526" s="8" t="s">
        <v>19</v>
      </c>
      <c r="F2526" s="8" t="s">
        <v>20</v>
      </c>
      <c r="G2526" s="8" t="s">
        <v>24</v>
      </c>
      <c r="H2526" s="9"/>
      <c r="I2526" s="9"/>
      <c r="J2526" s="10">
        <f t="shared" ref="J2526:M2526" si="1530">ifs(OR($H2526="R",$I2526="N"),"N/A",OR(C2526="A",C2526="B",C2526="C",C2526="U"),3,TRUE,"FLAG")</f>
        <v>3</v>
      </c>
      <c r="K2526" s="10">
        <f t="shared" si="1530"/>
        <v>3</v>
      </c>
      <c r="L2526" s="10">
        <f t="shared" si="1530"/>
        <v>3</v>
      </c>
      <c r="M2526" s="10" t="str">
        <f t="shared" si="1530"/>
        <v>FLAG</v>
      </c>
      <c r="N2526" s="10" t="str">
        <f t="shared" si="2"/>
        <v>21-6201(a)(2) - Riot; Five or more persons acting together and without lawful authority engaging in any; Threat to use force or violence against any person or property if accompanied by power or apparent power of immediate execution</v>
      </c>
      <c r="O2526" s="10" t="str">
        <f t="shared" si="3"/>
        <v>Riot</v>
      </c>
    </row>
    <row r="2527">
      <c r="A2527" s="7" t="s">
        <v>4500</v>
      </c>
      <c r="B2527" s="8" t="s">
        <v>4501</v>
      </c>
      <c r="C2527" s="8" t="s">
        <v>27</v>
      </c>
      <c r="D2527" s="8" t="s">
        <v>28</v>
      </c>
      <c r="E2527" s="8" t="s">
        <v>19</v>
      </c>
      <c r="F2527" s="8" t="s">
        <v>20</v>
      </c>
      <c r="G2527" s="8" t="s">
        <v>24</v>
      </c>
      <c r="H2527" s="9"/>
      <c r="I2527" s="9"/>
      <c r="J2527" s="10">
        <f t="shared" ref="J2527:M2527" si="1531">ifs(OR($H2527="R",$I2527="N"),"N/A",OR(C2527="A",C2527="B",C2527="C",C2527="U"),3,TRUE,"FLAG")</f>
        <v>3</v>
      </c>
      <c r="K2527" s="10">
        <f t="shared" si="1531"/>
        <v>3</v>
      </c>
      <c r="L2527" s="10">
        <f t="shared" si="1531"/>
        <v>3</v>
      </c>
      <c r="M2527" s="10" t="str">
        <f t="shared" si="1531"/>
        <v>FLAG</v>
      </c>
      <c r="N2527" s="10" t="str">
        <f t="shared" si="2"/>
        <v>21-6201(a)(1) - Riot; Five or more persons acting together and without lawful authority engaging in any; Use of force of violence which produces a breach of peace</v>
      </c>
      <c r="O2527" s="10" t="str">
        <f t="shared" si="3"/>
        <v>Riot</v>
      </c>
    </row>
    <row r="2528">
      <c r="A2528" s="7" t="s">
        <v>4502</v>
      </c>
      <c r="B2528" s="8" t="s">
        <v>4503</v>
      </c>
      <c r="C2528" s="8" t="s">
        <v>18</v>
      </c>
      <c r="D2528" s="8" t="s">
        <v>18</v>
      </c>
      <c r="E2528" s="8" t="s">
        <v>19</v>
      </c>
      <c r="F2528" s="8" t="s">
        <v>20</v>
      </c>
      <c r="G2528" s="8" t="s">
        <v>21</v>
      </c>
      <c r="H2528" s="9"/>
      <c r="I2528" s="9"/>
      <c r="J2528" s="10">
        <f t="shared" ref="J2528:M2528" si="1532">ifs(OR($H2528="R",$I2528="N"),"N/A",OR(C2528="A",C2528="B",C2528="C",C2528="U"),3,TRUE,"FLAG")</f>
        <v>3</v>
      </c>
      <c r="K2528" s="10">
        <f t="shared" si="1532"/>
        <v>3</v>
      </c>
      <c r="L2528" s="10">
        <f t="shared" si="1532"/>
        <v>3</v>
      </c>
      <c r="M2528" s="10" t="str">
        <f t="shared" si="1532"/>
        <v>FLAG</v>
      </c>
      <c r="N2528" s="10" t="str">
        <f t="shared" si="2"/>
        <v>68-534 - Roads &amp; Bridges; County &amp; Township Roads; make a false return of the number of miles dragged, time spent on other work, or amount of work done for compensation; officer who neglects or refuses to enforce the provisions of this section as related to the dragging of roads or highways</v>
      </c>
      <c r="O2528" s="10" t="str">
        <f t="shared" si="3"/>
        <v>Roads &amp; Bridges</v>
      </c>
    </row>
    <row r="2529">
      <c r="A2529" s="7" t="s">
        <v>4504</v>
      </c>
      <c r="B2529" s="8" t="s">
        <v>4505</v>
      </c>
      <c r="C2529" s="8" t="s">
        <v>18</v>
      </c>
      <c r="D2529" s="8" t="s">
        <v>18</v>
      </c>
      <c r="E2529" s="8" t="s">
        <v>19</v>
      </c>
      <c r="F2529" s="8" t="s">
        <v>20</v>
      </c>
      <c r="G2529" s="8" t="s">
        <v>21</v>
      </c>
      <c r="H2529" s="9"/>
      <c r="I2529" s="9"/>
      <c r="J2529" s="10">
        <f t="shared" ref="J2529:M2529" si="1533">ifs(OR($H2529="R",$I2529="N"),"N/A",OR(C2529="A",C2529="B",C2529="C",C2529="U"),3,TRUE,"FLAG")</f>
        <v>3</v>
      </c>
      <c r="K2529" s="10">
        <f t="shared" si="1533"/>
        <v>3</v>
      </c>
      <c r="L2529" s="10">
        <f t="shared" si="1533"/>
        <v>3</v>
      </c>
      <c r="M2529" s="10" t="str">
        <f t="shared" si="1533"/>
        <v>FLAG</v>
      </c>
      <c r="N2529" s="10" t="str">
        <f t="shared" si="2"/>
        <v>68-557 - Roads &amp; Bridges; County &amp; Township Roads; neglect or refusal of any officer charged with the administration of this act to enforce or comply with the provisions herein</v>
      </c>
      <c r="O2529" s="10" t="str">
        <f t="shared" si="3"/>
        <v>Roads &amp; Bridges</v>
      </c>
    </row>
    <row r="2530">
      <c r="A2530" s="7" t="s">
        <v>4506</v>
      </c>
      <c r="B2530" s="8" t="s">
        <v>4507</v>
      </c>
      <c r="C2530" s="8" t="s">
        <v>18</v>
      </c>
      <c r="D2530" s="8" t="s">
        <v>18</v>
      </c>
      <c r="E2530" s="8" t="s">
        <v>19</v>
      </c>
      <c r="F2530" s="8" t="s">
        <v>20</v>
      </c>
      <c r="G2530" s="8" t="s">
        <v>21</v>
      </c>
      <c r="H2530" s="9"/>
      <c r="I2530" s="9"/>
      <c r="J2530" s="10">
        <f t="shared" ref="J2530:M2530" si="1534">ifs(OR($H2530="R",$I2530="N"),"N/A",OR(C2530="A",C2530="B",C2530="C",C2530="U"),3,TRUE,"FLAG")</f>
        <v>3</v>
      </c>
      <c r="K2530" s="10">
        <f t="shared" si="1534"/>
        <v>3</v>
      </c>
      <c r="L2530" s="10">
        <f t="shared" si="1534"/>
        <v>3</v>
      </c>
      <c r="M2530" s="10" t="str">
        <f t="shared" si="1534"/>
        <v>FLAG</v>
      </c>
      <c r="N2530" s="10" t="str">
        <f t="shared" si="2"/>
        <v>68-548 - Roads &amp; Bridges; County &amp; Township Roads; officer's violation of act or failure to perform duty as required</v>
      </c>
      <c r="O2530" s="10" t="str">
        <f t="shared" si="3"/>
        <v>Roads &amp; Bridges</v>
      </c>
    </row>
    <row r="2531">
      <c r="A2531" s="7" t="s">
        <v>4508</v>
      </c>
      <c r="B2531" s="8" t="s">
        <v>4509</v>
      </c>
      <c r="C2531" s="8" t="s">
        <v>18</v>
      </c>
      <c r="D2531" s="8" t="s">
        <v>18</v>
      </c>
      <c r="E2531" s="8" t="s">
        <v>19</v>
      </c>
      <c r="F2531" s="8" t="s">
        <v>20</v>
      </c>
      <c r="G2531" s="8" t="s">
        <v>21</v>
      </c>
      <c r="H2531" s="9"/>
      <c r="I2531" s="9"/>
      <c r="J2531" s="10">
        <f t="shared" ref="J2531:M2531" si="1535">ifs(OR($H2531="R",$I2531="N"),"N/A",OR(C2531="A",C2531="B",C2531="C",C2531="U"),3,TRUE,"FLAG")</f>
        <v>3</v>
      </c>
      <c r="K2531" s="10">
        <f t="shared" si="1535"/>
        <v>3</v>
      </c>
      <c r="L2531" s="10">
        <f t="shared" si="1535"/>
        <v>3</v>
      </c>
      <c r="M2531" s="10" t="str">
        <f t="shared" si="1535"/>
        <v>FLAG</v>
      </c>
      <c r="N2531" s="10" t="str">
        <f t="shared" si="2"/>
        <v>68-549 - Roads &amp; Bridges; County &amp; Township Roads; penalty for violation of act</v>
      </c>
      <c r="O2531" s="10" t="str">
        <f t="shared" si="3"/>
        <v>Roads &amp; Bridges</v>
      </c>
    </row>
    <row r="2532">
      <c r="A2532" s="7" t="s">
        <v>4510</v>
      </c>
      <c r="B2532" s="8" t="s">
        <v>4511</v>
      </c>
      <c r="C2532" s="8" t="s">
        <v>18</v>
      </c>
      <c r="D2532" s="8" t="s">
        <v>18</v>
      </c>
      <c r="E2532" s="8" t="s">
        <v>19</v>
      </c>
      <c r="F2532" s="8" t="s">
        <v>20</v>
      </c>
      <c r="G2532" s="8" t="s">
        <v>21</v>
      </c>
      <c r="H2532" s="9"/>
      <c r="I2532" s="9"/>
      <c r="J2532" s="10">
        <f t="shared" ref="J2532:M2532" si="1536">ifs(OR($H2532="R",$I2532="N"),"N/A",OR(C2532="A",C2532="B",C2532="C",C2532="U"),3,TRUE,"FLAG")</f>
        <v>3</v>
      </c>
      <c r="K2532" s="10">
        <f t="shared" si="1536"/>
        <v>3</v>
      </c>
      <c r="L2532" s="10">
        <f t="shared" si="1536"/>
        <v>3</v>
      </c>
      <c r="M2532" s="10" t="str">
        <f t="shared" si="1536"/>
        <v>FLAG</v>
      </c>
      <c r="N2532" s="10" t="str">
        <f t="shared" si="2"/>
        <v>68-545 - Roads &amp; Bridges; County &amp; Township Roads; unlawful obstructions, excavations, removal of materials, dumping trash or other materials or plowing of roads</v>
      </c>
      <c r="O2532" s="10" t="str">
        <f t="shared" si="3"/>
        <v>Roads &amp; Bridges</v>
      </c>
    </row>
    <row r="2533">
      <c r="A2533" s="7" t="s">
        <v>4512</v>
      </c>
      <c r="B2533" s="8" t="s">
        <v>4513</v>
      </c>
      <c r="C2533" s="8" t="s">
        <v>18</v>
      </c>
      <c r="D2533" s="8" t="s">
        <v>18</v>
      </c>
      <c r="E2533" s="8" t="s">
        <v>19</v>
      </c>
      <c r="F2533" s="8" t="s">
        <v>20</v>
      </c>
      <c r="G2533" s="8" t="s">
        <v>21</v>
      </c>
      <c r="H2533" s="9"/>
      <c r="I2533" s="9"/>
      <c r="J2533" s="10">
        <f t="shared" ref="J2533:M2533" si="1537">ifs(OR($H2533="R",$I2533="N"),"N/A",OR(C2533="A",C2533="B",C2533="C",C2533="U"),3,TRUE,"FLAG")</f>
        <v>3</v>
      </c>
      <c r="K2533" s="10">
        <f t="shared" si="1537"/>
        <v>3</v>
      </c>
      <c r="L2533" s="10">
        <f t="shared" si="1537"/>
        <v>3</v>
      </c>
      <c r="M2533" s="10" t="str">
        <f t="shared" si="1537"/>
        <v>FLAG</v>
      </c>
      <c r="N2533" s="10" t="str">
        <f t="shared" si="2"/>
        <v>68-2106 - Roads &amp; Bridges; Destroy or remove barricades, warning signs, or drive on closed hard-surfaced highway</v>
      </c>
      <c r="O2533" s="10" t="str">
        <f t="shared" si="3"/>
        <v>Roads &amp; Bridges</v>
      </c>
    </row>
    <row r="2534">
      <c r="A2534" s="7" t="s">
        <v>4514</v>
      </c>
      <c r="B2534" s="8" t="s">
        <v>4515</v>
      </c>
      <c r="C2534" s="8" t="s">
        <v>18</v>
      </c>
      <c r="D2534" s="8" t="s">
        <v>18</v>
      </c>
      <c r="E2534" s="8" t="s">
        <v>19</v>
      </c>
      <c r="F2534" s="8" t="s">
        <v>20</v>
      </c>
      <c r="G2534" s="8" t="s">
        <v>21</v>
      </c>
      <c r="H2534" s="9"/>
      <c r="I2534" s="9"/>
      <c r="J2534" s="10">
        <f t="shared" ref="J2534:M2534" si="1538">ifs(OR($H2534="R",$I2534="N"),"N/A",OR(C2534="A",C2534="B",C2534="C",C2534="U"),3,TRUE,"FLAG")</f>
        <v>3</v>
      </c>
      <c r="K2534" s="10">
        <f t="shared" si="1538"/>
        <v>3</v>
      </c>
      <c r="L2534" s="10">
        <f t="shared" si="1538"/>
        <v>3</v>
      </c>
      <c r="M2534" s="10" t="str">
        <f t="shared" si="1538"/>
        <v>FLAG</v>
      </c>
      <c r="N2534" s="10" t="str">
        <f t="shared" si="2"/>
        <v>68-2107 - Roads &amp; Bridges; Fail, neglect or refuse to comply with the provisions of this act</v>
      </c>
      <c r="O2534" s="10" t="str">
        <f t="shared" si="3"/>
        <v>Roads &amp; Bridges</v>
      </c>
    </row>
    <row r="2535">
      <c r="A2535" s="7" t="s">
        <v>4516</v>
      </c>
      <c r="B2535" s="8" t="s">
        <v>4517</v>
      </c>
      <c r="C2535" s="8" t="s">
        <v>18</v>
      </c>
      <c r="D2535" s="8" t="s">
        <v>18</v>
      </c>
      <c r="E2535" s="8" t="s">
        <v>19</v>
      </c>
      <c r="F2535" s="8" t="s">
        <v>20</v>
      </c>
      <c r="G2535" s="8" t="s">
        <v>21</v>
      </c>
      <c r="H2535" s="9"/>
      <c r="I2535" s="9"/>
      <c r="J2535" s="10">
        <f t="shared" ref="J2535:M2535" si="1539">ifs(OR($H2535="R",$I2535="N"),"N/A",OR(C2535="A",C2535="B",C2535="C",C2535="U"),3,TRUE,"FLAG")</f>
        <v>3</v>
      </c>
      <c r="K2535" s="10">
        <f t="shared" si="1539"/>
        <v>3</v>
      </c>
      <c r="L2535" s="10">
        <f t="shared" si="1539"/>
        <v>3</v>
      </c>
      <c r="M2535" s="10" t="str">
        <f t="shared" si="1539"/>
        <v>FLAG</v>
      </c>
      <c r="N2535" s="10" t="str">
        <f t="shared" si="2"/>
        <v>68-127 - Roads &amp; Bridges; Injure or destroy, or leave open any gate constructed under the provisions of K.S.A. 68-126, at a time when such gate or gates are to remain closed</v>
      </c>
      <c r="O2535" s="10" t="str">
        <f t="shared" si="3"/>
        <v>Roads &amp; Bridges</v>
      </c>
    </row>
    <row r="2536">
      <c r="A2536" s="7" t="s">
        <v>4518</v>
      </c>
      <c r="B2536" s="8" t="s">
        <v>4519</v>
      </c>
      <c r="C2536" s="8" t="s">
        <v>18</v>
      </c>
      <c r="D2536" s="8" t="s">
        <v>18</v>
      </c>
      <c r="E2536" s="8" t="s">
        <v>19</v>
      </c>
      <c r="F2536" s="8" t="s">
        <v>20</v>
      </c>
      <c r="G2536" s="8" t="s">
        <v>21</v>
      </c>
      <c r="H2536" s="9"/>
      <c r="I2536" s="9"/>
      <c r="J2536" s="10">
        <f t="shared" ref="J2536:M2536" si="1540">ifs(OR($H2536="R",$I2536="N"),"N/A",OR(C2536="A",C2536="B",C2536="C",C2536="U"),3,TRUE,"FLAG")</f>
        <v>3</v>
      </c>
      <c r="K2536" s="10">
        <f t="shared" si="1540"/>
        <v>3</v>
      </c>
      <c r="L2536" s="10">
        <f t="shared" si="1540"/>
        <v>3</v>
      </c>
      <c r="M2536" s="10" t="str">
        <f t="shared" si="1540"/>
        <v>FLAG</v>
      </c>
      <c r="N2536" s="10" t="str">
        <f t="shared" si="2"/>
        <v>68-167 - Roads &amp; Bridges; Install, construct, erect, maintain or operate within fifty (50) feet of the right of way of any federal, state or federal and state highway or any turnpike project a flashing or revolving sign, light or reflector which is red or amber in color when lighted or when light rays are focused on it</v>
      </c>
      <c r="O2536" s="10" t="str">
        <f t="shared" si="3"/>
        <v>Roads &amp; Bridges</v>
      </c>
    </row>
    <row r="2537">
      <c r="A2537" s="7" t="s">
        <v>4520</v>
      </c>
      <c r="B2537" s="8" t="s">
        <v>4521</v>
      </c>
      <c r="C2537" s="8" t="s">
        <v>19</v>
      </c>
      <c r="D2537" s="8" t="s">
        <v>19</v>
      </c>
      <c r="E2537" s="8" t="s">
        <v>19</v>
      </c>
      <c r="F2537" s="8" t="s">
        <v>20</v>
      </c>
      <c r="G2537" s="8" t="s">
        <v>21</v>
      </c>
      <c r="H2537" s="9"/>
      <c r="I2537" s="9"/>
      <c r="J2537" s="10">
        <f t="shared" ref="J2537:M2537" si="1541">ifs(OR($H2537="R",$I2537="N"),"N/A",OR(C2537="A",C2537="B",C2537="C",C2537="U"),3,TRUE,"FLAG")</f>
        <v>3</v>
      </c>
      <c r="K2537" s="10">
        <f t="shared" si="1541"/>
        <v>3</v>
      </c>
      <c r="L2537" s="10">
        <f t="shared" si="1541"/>
        <v>3</v>
      </c>
      <c r="M2537" s="10" t="str">
        <f t="shared" si="1541"/>
        <v>FLAG</v>
      </c>
      <c r="N2537" s="10" t="str">
        <f t="shared" si="2"/>
        <v>68-2215 - Roads &amp; Bridges; Junkyard &amp; Salvage Control Act; unlawful junkyard maintenance</v>
      </c>
      <c r="O2537" s="10" t="str">
        <f t="shared" si="3"/>
        <v>Roads &amp; Bridges</v>
      </c>
    </row>
    <row r="2538">
      <c r="A2538" s="7" t="s">
        <v>4522</v>
      </c>
      <c r="B2538" s="8" t="s">
        <v>4523</v>
      </c>
      <c r="C2538" s="8" t="s">
        <v>18</v>
      </c>
      <c r="D2538" s="8" t="s">
        <v>18</v>
      </c>
      <c r="E2538" s="8" t="s">
        <v>19</v>
      </c>
      <c r="F2538" s="8" t="s">
        <v>20</v>
      </c>
      <c r="G2538" s="8" t="s">
        <v>21</v>
      </c>
      <c r="H2538" s="9"/>
      <c r="I2538" s="9"/>
      <c r="J2538" s="10">
        <f t="shared" ref="J2538:M2538" si="1542">ifs(OR($H2538="R",$I2538="N"),"N/A",OR(C2538="A",C2538="B",C2538="C",C2538="U"),3,TRUE,"FLAG")</f>
        <v>3</v>
      </c>
      <c r="K2538" s="10">
        <f t="shared" si="1542"/>
        <v>3</v>
      </c>
      <c r="L2538" s="10">
        <f t="shared" si="1542"/>
        <v>3</v>
      </c>
      <c r="M2538" s="10" t="str">
        <f t="shared" si="1542"/>
        <v>FLAG</v>
      </c>
      <c r="N2538" s="10" t="str">
        <f t="shared" si="2"/>
        <v>68-1129 - Roads &amp; Bridges; Move engines or heavy vehicles on bridge or culvert and fail to lay planks required</v>
      </c>
      <c r="O2538" s="10" t="str">
        <f t="shared" si="3"/>
        <v>Roads &amp; Bridges</v>
      </c>
    </row>
    <row r="2539">
      <c r="A2539" s="7" t="s">
        <v>4524</v>
      </c>
      <c r="B2539" s="8" t="s">
        <v>4525</v>
      </c>
      <c r="C2539" s="8" t="s">
        <v>19</v>
      </c>
      <c r="D2539" s="8" t="s">
        <v>19</v>
      </c>
      <c r="E2539" s="8" t="s">
        <v>19</v>
      </c>
      <c r="F2539" s="8" t="s">
        <v>20</v>
      </c>
      <c r="G2539" s="8" t="s">
        <v>21</v>
      </c>
      <c r="H2539" s="9"/>
      <c r="I2539" s="9"/>
      <c r="J2539" s="10">
        <f t="shared" ref="J2539:M2539" si="1543">ifs(OR($H2539="R",$I2539="N"),"N/A",OR(C2539="A",C2539="B",C2539="C",C2539="U"),3,TRUE,"FLAG")</f>
        <v>3</v>
      </c>
      <c r="K2539" s="10">
        <f t="shared" si="1543"/>
        <v>3</v>
      </c>
      <c r="L2539" s="10">
        <f t="shared" si="1543"/>
        <v>3</v>
      </c>
      <c r="M2539" s="10" t="str">
        <f t="shared" si="1543"/>
        <v>FLAG</v>
      </c>
      <c r="N2539" s="10" t="str">
        <f t="shared" si="2"/>
        <v>68-1115 - Roads &amp; Bridges; Penalty for premature opening of bids</v>
      </c>
      <c r="O2539" s="10" t="str">
        <f t="shared" si="3"/>
        <v>Roads &amp; Bridges</v>
      </c>
    </row>
    <row r="2540">
      <c r="A2540" s="7" t="s">
        <v>4526</v>
      </c>
      <c r="B2540" s="8" t="s">
        <v>4527</v>
      </c>
      <c r="C2540" s="8" t="s">
        <v>18</v>
      </c>
      <c r="D2540" s="8" t="s">
        <v>18</v>
      </c>
      <c r="E2540" s="8" t="s">
        <v>19</v>
      </c>
      <c r="F2540" s="8" t="s">
        <v>20</v>
      </c>
      <c r="G2540" s="8" t="s">
        <v>21</v>
      </c>
      <c r="H2540" s="9"/>
      <c r="I2540" s="9"/>
      <c r="J2540" s="10">
        <f t="shared" ref="J2540:M2540" si="1544">ifs(OR($H2540="R",$I2540="N"),"N/A",OR(C2540="A",C2540="B",C2540="C",C2540="U"),3,TRUE,"FLAG")</f>
        <v>3</v>
      </c>
      <c r="K2540" s="10">
        <f t="shared" si="1544"/>
        <v>3</v>
      </c>
      <c r="L2540" s="10">
        <f t="shared" si="1544"/>
        <v>3</v>
      </c>
      <c r="M2540" s="10" t="str">
        <f t="shared" si="1544"/>
        <v>FLAG</v>
      </c>
      <c r="N2540" s="10" t="str">
        <f t="shared" si="2"/>
        <v>68-134 - Roads &amp; Bridges; Remove, ride or drive upon any portion of sidewalk</v>
      </c>
      <c r="O2540" s="10" t="str">
        <f t="shared" si="3"/>
        <v>Roads &amp; Bridges</v>
      </c>
    </row>
    <row r="2541">
      <c r="A2541" s="7" t="s">
        <v>4528</v>
      </c>
      <c r="B2541" s="8" t="s">
        <v>4529</v>
      </c>
      <c r="C2541" s="8" t="s">
        <v>18</v>
      </c>
      <c r="D2541" s="8" t="s">
        <v>18</v>
      </c>
      <c r="E2541" s="8" t="s">
        <v>19</v>
      </c>
      <c r="F2541" s="8" t="s">
        <v>20</v>
      </c>
      <c r="G2541" s="8" t="s">
        <v>21</v>
      </c>
      <c r="H2541" s="9"/>
      <c r="I2541" s="9"/>
      <c r="J2541" s="10">
        <f t="shared" ref="J2541:M2541" si="1545">ifs(OR($H2541="R",$I2541="N"),"N/A",OR(C2541="A",C2541="B",C2541="C",C2541="U"),3,TRUE,"FLAG")</f>
        <v>3</v>
      </c>
      <c r="K2541" s="10">
        <f t="shared" si="1545"/>
        <v>3</v>
      </c>
      <c r="L2541" s="10">
        <f t="shared" si="1545"/>
        <v>3</v>
      </c>
      <c r="M2541" s="10" t="str">
        <f t="shared" si="1545"/>
        <v>FLAG</v>
      </c>
      <c r="N2541" s="10" t="str">
        <f t="shared" si="2"/>
        <v>68-406(f) - Roads &amp; Bridges; State Highways; fail or neglect to comply with the provisions of this subsection</v>
      </c>
      <c r="O2541" s="10" t="str">
        <f t="shared" si="3"/>
        <v>Roads &amp; Bridges</v>
      </c>
    </row>
    <row r="2542">
      <c r="A2542" s="7" t="s">
        <v>4530</v>
      </c>
      <c r="B2542" s="8" t="s">
        <v>4531</v>
      </c>
      <c r="C2542" s="8" t="s">
        <v>18</v>
      </c>
      <c r="D2542" s="8" t="s">
        <v>18</v>
      </c>
      <c r="E2542" s="8" t="s">
        <v>19</v>
      </c>
      <c r="F2542" s="8" t="s">
        <v>20</v>
      </c>
      <c r="G2542" s="8" t="s">
        <v>21</v>
      </c>
      <c r="H2542" s="9"/>
      <c r="I2542" s="9"/>
      <c r="J2542" s="10">
        <f t="shared" ref="J2542:M2542" si="1546">ifs(OR($H2542="R",$I2542="N"),"N/A",OR(C2542="A",C2542="B",C2542="C",C2542="U"),3,TRUE,"FLAG")</f>
        <v>3</v>
      </c>
      <c r="K2542" s="10">
        <f t="shared" si="1546"/>
        <v>3</v>
      </c>
      <c r="L2542" s="10">
        <f t="shared" si="1546"/>
        <v>3</v>
      </c>
      <c r="M2542" s="10" t="str">
        <f t="shared" si="1546"/>
        <v>FLAG</v>
      </c>
      <c r="N2542" s="10" t="str">
        <f t="shared" si="2"/>
        <v>68-433 - Roads &amp; Bridges; State Highways; penalty for violation of act</v>
      </c>
      <c r="O2542" s="10" t="str">
        <f t="shared" si="3"/>
        <v>Roads &amp; Bridges</v>
      </c>
    </row>
    <row r="2543">
      <c r="A2543" s="7" t="s">
        <v>4532</v>
      </c>
      <c r="B2543" s="8" t="s">
        <v>4533</v>
      </c>
      <c r="C2543" s="8">
        <v>5.0</v>
      </c>
      <c r="D2543" s="8">
        <v>7.0</v>
      </c>
      <c r="E2543" s="8">
        <v>7.0</v>
      </c>
      <c r="F2543" s="8">
        <v>8.0</v>
      </c>
      <c r="G2543" s="8" t="s">
        <v>24</v>
      </c>
      <c r="H2543" s="9"/>
      <c r="I2543" s="9"/>
      <c r="N2543" s="10" t="str">
        <f t="shared" si="2"/>
        <v>21-5420(a) - Robbery; Knowingly take property from person or presence of another by force or by threat of bodily harm</v>
      </c>
      <c r="O2543" s="10" t="str">
        <f t="shared" si="3"/>
        <v>Robbery</v>
      </c>
    </row>
    <row r="2544">
      <c r="A2544" s="7" t="s">
        <v>4534</v>
      </c>
      <c r="B2544" s="8" t="s">
        <v>4535</v>
      </c>
      <c r="C2544" s="8" t="s">
        <v>18</v>
      </c>
      <c r="D2544" s="8" t="s">
        <v>18</v>
      </c>
      <c r="E2544" s="8" t="s">
        <v>19</v>
      </c>
      <c r="F2544" s="8" t="s">
        <v>20</v>
      </c>
      <c r="G2544" s="8" t="s">
        <v>21</v>
      </c>
      <c r="H2544" s="9"/>
      <c r="I2544" s="9"/>
      <c r="J2544" s="10">
        <f t="shared" ref="J2544:M2544" si="1547">ifs(OR($H2544="R",$I2544="N"),"N/A",OR(C2544="A",C2544="B",C2544="C",C2544="U"),3,TRUE,"FLAG")</f>
        <v>3</v>
      </c>
      <c r="K2544" s="10">
        <f t="shared" si="1547"/>
        <v>3</v>
      </c>
      <c r="L2544" s="10">
        <f t="shared" si="1547"/>
        <v>3</v>
      </c>
      <c r="M2544" s="10" t="str">
        <f t="shared" si="1547"/>
        <v>FLAG</v>
      </c>
      <c r="N2544" s="10" t="str">
        <f t="shared" si="2"/>
        <v>69-103 - Sabbath; Penalty for procuring adjournment for trial on Saturday</v>
      </c>
      <c r="O2544" s="10" t="str">
        <f t="shared" si="3"/>
        <v>Sabbath</v>
      </c>
    </row>
    <row r="2545">
      <c r="A2545" s="7" t="s">
        <v>4536</v>
      </c>
      <c r="B2545" s="8" t="s">
        <v>4537</v>
      </c>
      <c r="C2545" s="8" t="s">
        <v>18</v>
      </c>
      <c r="D2545" s="8" t="s">
        <v>18</v>
      </c>
      <c r="E2545" s="8" t="s">
        <v>19</v>
      </c>
      <c r="F2545" s="8" t="s">
        <v>20</v>
      </c>
      <c r="G2545" s="8" t="s">
        <v>21</v>
      </c>
      <c r="H2545" s="9"/>
      <c r="I2545" s="9"/>
      <c r="J2545" s="10">
        <f t="shared" ref="J2545:M2545" si="1548">ifs(OR($H2545="R",$I2545="N"),"N/A",OR(C2545="A",C2545="B",C2545="C",C2545="U"),3,TRUE,"FLAG")</f>
        <v>3</v>
      </c>
      <c r="K2545" s="10">
        <f t="shared" si="1548"/>
        <v>3</v>
      </c>
      <c r="L2545" s="10">
        <f t="shared" si="1548"/>
        <v>3</v>
      </c>
      <c r="M2545" s="10" t="str">
        <f t="shared" si="1548"/>
        <v>FLAG</v>
      </c>
      <c r="N2545" s="10" t="str">
        <f t="shared" si="2"/>
        <v>69-102 - Sabbath; Penalty for serving process made returnable on that day</v>
      </c>
      <c r="O2545" s="10" t="str">
        <f t="shared" si="3"/>
        <v>Sabbath</v>
      </c>
    </row>
    <row r="2546">
      <c r="A2546" s="7" t="s">
        <v>4538</v>
      </c>
      <c r="B2546" s="8" t="s">
        <v>4539</v>
      </c>
      <c r="C2546" s="8" t="s">
        <v>19</v>
      </c>
      <c r="D2546" s="8" t="s">
        <v>19</v>
      </c>
      <c r="E2546" s="8" t="s">
        <v>19</v>
      </c>
      <c r="F2546" s="8" t="s">
        <v>20</v>
      </c>
      <c r="G2546" s="8" t="s">
        <v>21</v>
      </c>
      <c r="H2546" s="9"/>
      <c r="I2546" s="9"/>
      <c r="J2546" s="10">
        <f t="shared" ref="J2546:M2546" si="1549">ifs(OR($H2546="R",$I2546="N"),"N/A",OR(C2546="A",C2546="B",C2546="C",C2546="U"),3,TRUE,"FLAG")</f>
        <v>3</v>
      </c>
      <c r="K2546" s="10">
        <f t="shared" si="1549"/>
        <v>3</v>
      </c>
      <c r="L2546" s="10">
        <f t="shared" si="1549"/>
        <v>3</v>
      </c>
      <c r="M2546" s="10" t="str">
        <f t="shared" si="1549"/>
        <v>FLAG</v>
      </c>
      <c r="N2546" s="10" t="str">
        <f t="shared" si="2"/>
        <v>65-3803 - Safety Materials; Knowingly install, cause installation or consent to installation of glazing materials other than safety glazing materials in any hazardous location</v>
      </c>
      <c r="O2546" s="10" t="str">
        <f t="shared" si="3"/>
        <v>Safety Materials</v>
      </c>
    </row>
    <row r="2547">
      <c r="A2547" s="7" t="s">
        <v>4540</v>
      </c>
      <c r="B2547" s="8" t="s">
        <v>4541</v>
      </c>
      <c r="C2547" s="8" t="s">
        <v>19</v>
      </c>
      <c r="D2547" s="8" t="s">
        <v>19</v>
      </c>
      <c r="E2547" s="8" t="s">
        <v>19</v>
      </c>
      <c r="F2547" s="8" t="s">
        <v>20</v>
      </c>
      <c r="G2547" s="8" t="s">
        <v>21</v>
      </c>
      <c r="H2547" s="9"/>
      <c r="I2547" s="9"/>
      <c r="J2547" s="10">
        <f t="shared" ref="J2547:M2547" si="1550">ifs(OR($H2547="R",$I2547="N"),"N/A",OR(C2547="A",C2547="B",C2547="C",C2547="U"),3,TRUE,"FLAG")</f>
        <v>3</v>
      </c>
      <c r="K2547" s="10">
        <f t="shared" si="1550"/>
        <v>3</v>
      </c>
      <c r="L2547" s="10">
        <f t="shared" si="1550"/>
        <v>3</v>
      </c>
      <c r="M2547" s="10" t="str">
        <f t="shared" si="1550"/>
        <v>FLAG</v>
      </c>
      <c r="N2547" s="10" t="str">
        <f t="shared" si="2"/>
        <v>65-3802(a) - Safety Materials; Safety glazing material labeling required</v>
      </c>
      <c r="O2547" s="10" t="str">
        <f t="shared" si="3"/>
        <v>Safety Materials</v>
      </c>
    </row>
    <row r="2548">
      <c r="A2548" s="7" t="s">
        <v>4542</v>
      </c>
      <c r="B2548" s="8" t="s">
        <v>4543</v>
      </c>
      <c r="C2548" s="8" t="s">
        <v>28</v>
      </c>
      <c r="D2548" s="8" t="s">
        <v>19</v>
      </c>
      <c r="E2548" s="8" t="s">
        <v>19</v>
      </c>
      <c r="F2548" s="8" t="s">
        <v>20</v>
      </c>
      <c r="G2548" s="8" t="s">
        <v>21</v>
      </c>
      <c r="H2548" s="9"/>
      <c r="I2548" s="9"/>
      <c r="J2548" s="10">
        <f t="shared" ref="J2548:M2548" si="1551">ifs(OR($H2548="R",$I2548="N"),"N/A",OR(C2548="A",C2548="B",C2548="C",C2548="U"),3,TRUE,"FLAG")</f>
        <v>3</v>
      </c>
      <c r="K2548" s="10">
        <f t="shared" si="1551"/>
        <v>3</v>
      </c>
      <c r="L2548" s="10">
        <f t="shared" si="1551"/>
        <v>3</v>
      </c>
      <c r="M2548" s="10" t="str">
        <f t="shared" si="1551"/>
        <v>FLAG</v>
      </c>
      <c r="N2548" s="10" t="str">
        <f t="shared" si="2"/>
        <v>21-5834(a) - Sale of Recut or Regrooved Tires</v>
      </c>
      <c r="O2548" s="10" t="str">
        <f t="shared" si="3"/>
        <v>Sale of Recut or Regrooved Tires</v>
      </c>
    </row>
    <row r="2549">
      <c r="A2549" s="7" t="s">
        <v>4544</v>
      </c>
      <c r="B2549" s="8" t="s">
        <v>4545</v>
      </c>
      <c r="C2549" s="8" t="s">
        <v>18</v>
      </c>
      <c r="D2549" s="8" t="s">
        <v>18</v>
      </c>
      <c r="E2549" s="8" t="s">
        <v>19</v>
      </c>
      <c r="F2549" s="8" t="s">
        <v>20</v>
      </c>
      <c r="G2549" s="8" t="s">
        <v>21</v>
      </c>
      <c r="H2549" s="9"/>
      <c r="I2549" s="9"/>
      <c r="J2549" s="10">
        <f t="shared" ref="J2549:M2549" si="1552">ifs(OR($H2549="R",$I2549="N"),"N/A",OR(C2549="A",C2549="B",C2549="C",C2549="U"),3,TRUE,"FLAG")</f>
        <v>3</v>
      </c>
      <c r="K2549" s="10">
        <f t="shared" si="1552"/>
        <v>3</v>
      </c>
      <c r="L2549" s="10">
        <f t="shared" si="1552"/>
        <v>3</v>
      </c>
      <c r="M2549" s="10" t="str">
        <f t="shared" si="1552"/>
        <v>FLAG</v>
      </c>
      <c r="N2549" s="10" t="str">
        <f t="shared" si="2"/>
        <v>70a-101 - Sand &amp; Gravel; Taking materials from rivers and islands belonging to state</v>
      </c>
      <c r="O2549" s="10" t="str">
        <f t="shared" si="3"/>
        <v>Sand &amp; Gravel</v>
      </c>
    </row>
    <row r="2550">
      <c r="A2550" s="7" t="s">
        <v>4546</v>
      </c>
      <c r="B2550" s="8" t="s">
        <v>4547</v>
      </c>
      <c r="C2550" s="8" t="s">
        <v>18</v>
      </c>
      <c r="D2550" s="8" t="s">
        <v>18</v>
      </c>
      <c r="E2550" s="8" t="s">
        <v>19</v>
      </c>
      <c r="F2550" s="8" t="s">
        <v>20</v>
      </c>
      <c r="G2550" s="8" t="s">
        <v>21</v>
      </c>
      <c r="H2550" s="9"/>
      <c r="I2550" s="9"/>
      <c r="J2550" s="10">
        <f t="shared" ref="J2550:M2550" si="1553">ifs(OR($H2550="R",$I2550="N"),"N/A",OR(C2550="A",C2550="B",C2550="C",C2550="U"),3,TRUE,"FLAG")</f>
        <v>3</v>
      </c>
      <c r="K2550" s="10">
        <f t="shared" si="1553"/>
        <v>3</v>
      </c>
      <c r="L2550" s="10">
        <f t="shared" si="1553"/>
        <v>3</v>
      </c>
      <c r="M2550" s="10" t="str">
        <f t="shared" si="1553"/>
        <v>FLAG</v>
      </c>
      <c r="N2550" s="10" t="str">
        <f t="shared" si="2"/>
        <v>19-3707(a) - Sanitation Controls; Penalty for any violation of code</v>
      </c>
      <c r="O2550" s="10" t="str">
        <f t="shared" si="3"/>
        <v>Sanitation Controls</v>
      </c>
    </row>
    <row r="2551">
      <c r="A2551" s="7" t="s">
        <v>4548</v>
      </c>
      <c r="B2551" s="8" t="s">
        <v>4549</v>
      </c>
      <c r="C2551" s="8" t="s">
        <v>19</v>
      </c>
      <c r="D2551" s="8" t="s">
        <v>19</v>
      </c>
      <c r="E2551" s="8" t="s">
        <v>19</v>
      </c>
      <c r="F2551" s="8" t="s">
        <v>20</v>
      </c>
      <c r="G2551" s="8" t="s">
        <v>21</v>
      </c>
      <c r="H2551" s="9"/>
      <c r="I2551" s="9"/>
      <c r="J2551" s="10">
        <f t="shared" ref="J2551:M2551" si="1554">ifs(OR($H2551="R",$I2551="N"),"N/A",OR(C2551="A",C2551="B",C2551="C",C2551="U"),3,TRUE,"FLAG")</f>
        <v>3</v>
      </c>
      <c r="K2551" s="10">
        <f t="shared" si="1554"/>
        <v>3</v>
      </c>
      <c r="L2551" s="10">
        <f t="shared" si="1554"/>
        <v>3</v>
      </c>
      <c r="M2551" s="10" t="str">
        <f t="shared" si="1554"/>
        <v>FLAG</v>
      </c>
      <c r="N2551" s="10" t="str">
        <f t="shared" si="2"/>
        <v>19-3709 - Sanitation Controls; Violation of licensing resolutions pertaining to septic tank cleaning and hauling of sewage</v>
      </c>
      <c r="O2551" s="10" t="str">
        <f t="shared" si="3"/>
        <v>Sanitation Controls</v>
      </c>
    </row>
    <row r="2552">
      <c r="A2552" s="7" t="s">
        <v>4550</v>
      </c>
      <c r="B2552" s="8" t="s">
        <v>4551</v>
      </c>
      <c r="C2552" s="8">
        <v>10.0</v>
      </c>
      <c r="D2552" s="8">
        <v>10.0</v>
      </c>
      <c r="E2552" s="8">
        <v>10.0</v>
      </c>
      <c r="F2552" s="8">
        <v>10.0</v>
      </c>
      <c r="G2552" s="8" t="s">
        <v>21</v>
      </c>
      <c r="H2552" s="9"/>
      <c r="I2552" s="9"/>
      <c r="N2552" s="10" t="str">
        <f t="shared" si="2"/>
        <v>17-5412 - Savings &amp; Loans Code; Capital; declaration of dividends</v>
      </c>
      <c r="O2552" s="10" t="str">
        <f t="shared" si="3"/>
        <v>Savings &amp; Loans Code</v>
      </c>
    </row>
    <row r="2553">
      <c r="A2553" s="7" t="s">
        <v>4552</v>
      </c>
      <c r="B2553" s="8" t="s">
        <v>4553</v>
      </c>
      <c r="C2553" s="8">
        <v>10.0</v>
      </c>
      <c r="D2553" s="8">
        <v>10.0</v>
      </c>
      <c r="E2553" s="8">
        <v>10.0</v>
      </c>
      <c r="F2553" s="8">
        <v>10.0</v>
      </c>
      <c r="G2553" s="8" t="s">
        <v>21</v>
      </c>
      <c r="H2553" s="9"/>
      <c r="I2553" s="9"/>
      <c r="N2553" s="10" t="str">
        <f t="shared" si="2"/>
        <v>17-5811 - Savings &amp; Loans Code; Misc.; accept payment when capital impaired</v>
      </c>
      <c r="O2553" s="10" t="str">
        <f t="shared" si="3"/>
        <v>Savings &amp; Loans Code</v>
      </c>
    </row>
    <row r="2554">
      <c r="A2554" s="7" t="s">
        <v>4554</v>
      </c>
      <c r="B2554" s="8" t="s">
        <v>4555</v>
      </c>
      <c r="C2554" s="8">
        <v>10.0</v>
      </c>
      <c r="D2554" s="8">
        <v>10.0</v>
      </c>
      <c r="E2554" s="8">
        <v>10.0</v>
      </c>
      <c r="F2554" s="8">
        <v>10.0</v>
      </c>
      <c r="G2554" s="8" t="s">
        <v>21</v>
      </c>
      <c r="H2554" s="9"/>
      <c r="I2554" s="9"/>
      <c r="N2554" s="10" t="str">
        <f t="shared" si="2"/>
        <v>17-5812 - Savings &amp; Loans Code; Misc.; Fraudulent Acts</v>
      </c>
      <c r="O2554" s="10" t="str">
        <f t="shared" si="3"/>
        <v>Savings &amp; Loans Code</v>
      </c>
    </row>
    <row r="2555">
      <c r="A2555" s="7" t="s">
        <v>4556</v>
      </c>
      <c r="B2555" s="8" t="s">
        <v>4557</v>
      </c>
      <c r="C2555" s="8" t="s">
        <v>28</v>
      </c>
      <c r="D2555" s="8" t="s">
        <v>19</v>
      </c>
      <c r="E2555" s="8" t="s">
        <v>19</v>
      </c>
      <c r="F2555" s="8" t="s">
        <v>20</v>
      </c>
      <c r="G2555" s="8" t="s">
        <v>21</v>
      </c>
      <c r="H2555" s="9"/>
      <c r="I2555" s="9"/>
      <c r="J2555" s="10">
        <f t="shared" ref="J2555:M2555" si="1555">ifs(OR($H2555="R",$I2555="N"),"N/A",OR(C2555="A",C2555="B",C2555="C",C2555="U"),3,TRUE,"FLAG")</f>
        <v>3</v>
      </c>
      <c r="K2555" s="10">
        <f t="shared" si="1555"/>
        <v>3</v>
      </c>
      <c r="L2555" s="10">
        <f t="shared" si="1555"/>
        <v>3</v>
      </c>
      <c r="M2555" s="10" t="str">
        <f t="shared" si="1555"/>
        <v>FLAG</v>
      </c>
      <c r="N2555" s="10" t="str">
        <f t="shared" si="2"/>
        <v>72-89b04(a) - School Safety &amp; Security Act; Willful and knowing failure to make a report; prevent or interfere with the making of a report as required by subsection (b)(1) of K.S.A. 72-89b03</v>
      </c>
      <c r="O2555" s="10" t="str">
        <f t="shared" si="3"/>
        <v>School Safety &amp; Security Act</v>
      </c>
    </row>
    <row r="2556">
      <c r="A2556" s="7" t="s">
        <v>4558</v>
      </c>
      <c r="B2556" s="8" t="s">
        <v>4559</v>
      </c>
      <c r="C2556" s="8" t="s">
        <v>28</v>
      </c>
      <c r="D2556" s="8" t="s">
        <v>19</v>
      </c>
      <c r="E2556" s="8" t="s">
        <v>19</v>
      </c>
      <c r="F2556" s="8" t="s">
        <v>20</v>
      </c>
      <c r="G2556" s="8" t="s">
        <v>21</v>
      </c>
      <c r="H2556" s="9"/>
      <c r="I2556" s="9"/>
      <c r="J2556" s="10">
        <f t="shared" ref="J2556:M2556" si="1556">ifs(OR($H2556="R",$I2556="N"),"N/A",OR(C2556="A",C2556="B",C2556="C",C2556="U"),3,TRUE,"FLAG")</f>
        <v>3</v>
      </c>
      <c r="K2556" s="10">
        <f t="shared" si="1556"/>
        <v>3</v>
      </c>
      <c r="L2556" s="10">
        <f t="shared" si="1556"/>
        <v>3</v>
      </c>
      <c r="M2556" s="10" t="str">
        <f t="shared" si="1556"/>
        <v>FLAG</v>
      </c>
      <c r="N2556" s="10" t="str">
        <f t="shared" si="2"/>
        <v>72-89b04(b) - School Safety &amp; Security Act; Willful and knowing failure to transmit reports made by school employees to the appropriate state or local law enforcement agency; prevent or interfere with the transmission of reports as required by subsection (b)(1) of K.S.A. 72-89b03</v>
      </c>
      <c r="O2556" s="10" t="str">
        <f t="shared" si="3"/>
        <v>School Safety &amp; Security Act</v>
      </c>
    </row>
    <row r="2557">
      <c r="A2557" s="7" t="s">
        <v>4560</v>
      </c>
      <c r="B2557" s="8" t="s">
        <v>4561</v>
      </c>
      <c r="C2557" s="8" t="s">
        <v>18</v>
      </c>
      <c r="D2557" s="8" t="s">
        <v>18</v>
      </c>
      <c r="E2557" s="8" t="s">
        <v>19</v>
      </c>
      <c r="F2557" s="8" t="s">
        <v>20</v>
      </c>
      <c r="G2557" s="8" t="s">
        <v>21</v>
      </c>
      <c r="H2557" s="9"/>
      <c r="I2557" s="9"/>
      <c r="J2557" s="10">
        <f t="shared" ref="J2557:M2557" si="1557">ifs(OR($H2557="R",$I2557="N"),"N/A",OR(C2557="A",C2557="B",C2557="C",C2557="U"),3,TRUE,"FLAG")</f>
        <v>3</v>
      </c>
      <c r="K2557" s="10">
        <f t="shared" si="1557"/>
        <v>3</v>
      </c>
      <c r="L2557" s="10">
        <f t="shared" si="1557"/>
        <v>3</v>
      </c>
      <c r="M2557" s="10" t="str">
        <f t="shared" si="1557"/>
        <v>FLAG</v>
      </c>
      <c r="N2557" s="10" t="str">
        <f t="shared" si="2"/>
        <v>72-5019 - Schools; Driver Training; use a driver training motor vehicle for purposes other than instruction</v>
      </c>
      <c r="O2557" s="10" t="str">
        <f t="shared" si="3"/>
        <v>Schools</v>
      </c>
    </row>
    <row r="2558">
      <c r="A2558" s="7" t="s">
        <v>4562</v>
      </c>
      <c r="B2558" s="8" t="s">
        <v>4563</v>
      </c>
      <c r="C2558" s="8" t="s">
        <v>18</v>
      </c>
      <c r="D2558" s="8" t="s">
        <v>18</v>
      </c>
      <c r="E2558" s="8" t="s">
        <v>19</v>
      </c>
      <c r="F2558" s="8" t="s">
        <v>20</v>
      </c>
      <c r="G2558" s="8" t="s">
        <v>21</v>
      </c>
      <c r="H2558" s="9"/>
      <c r="I2558" s="9"/>
      <c r="J2558" s="10">
        <f t="shared" ref="J2558:M2558" si="1558">ifs(OR($H2558="R",$I2558="N"),"N/A",OR(C2558="A",C2558="B",C2558="C",C2558="U"),3,TRUE,"FLAG")</f>
        <v>3</v>
      </c>
      <c r="K2558" s="10">
        <f t="shared" si="1558"/>
        <v>3</v>
      </c>
      <c r="L2558" s="10">
        <f t="shared" si="1558"/>
        <v>3</v>
      </c>
      <c r="M2558" s="10" t="str">
        <f t="shared" si="1558"/>
        <v>FLAG</v>
      </c>
      <c r="N2558" s="10" t="str">
        <f t="shared" si="2"/>
        <v>72-8314 - Schools; Transportation of Students; operate motor vehicle used to transport students in violation of act</v>
      </c>
      <c r="O2558" s="10" t="str">
        <f t="shared" si="3"/>
        <v>Schools</v>
      </c>
    </row>
    <row r="2559">
      <c r="A2559" s="7" t="s">
        <v>4564</v>
      </c>
      <c r="B2559" s="8" t="s">
        <v>4565</v>
      </c>
      <c r="C2559" s="8" t="s">
        <v>19</v>
      </c>
      <c r="D2559" s="8" t="s">
        <v>19</v>
      </c>
      <c r="E2559" s="8" t="s">
        <v>19</v>
      </c>
      <c r="F2559" s="8" t="s">
        <v>20</v>
      </c>
      <c r="G2559" s="8" t="s">
        <v>21</v>
      </c>
      <c r="H2559" s="9"/>
      <c r="I2559" s="9"/>
      <c r="J2559" s="10">
        <f t="shared" ref="J2559:M2559" si="1559">ifs(OR($H2559="R",$I2559="N"),"N/A",OR(C2559="A",C2559="B",C2559="C",C2559="U"),3,TRUE,"FLAG")</f>
        <v>3</v>
      </c>
      <c r="K2559" s="10">
        <f t="shared" si="1559"/>
        <v>3</v>
      </c>
      <c r="L2559" s="10">
        <f t="shared" si="1559"/>
        <v>3</v>
      </c>
      <c r="M2559" s="10" t="str">
        <f t="shared" si="1559"/>
        <v>FLAG</v>
      </c>
      <c r="N2559" s="10" t="str">
        <f t="shared" si="2"/>
        <v>50-6,111 - Scrap Metal Dealers; Intentional purchase without receipt of required information; records maintained</v>
      </c>
      <c r="O2559" s="10" t="str">
        <f t="shared" si="3"/>
        <v>Scrap Metal Dealers</v>
      </c>
    </row>
    <row r="2560">
      <c r="A2560" s="7" t="s">
        <v>4566</v>
      </c>
      <c r="B2560" s="8" t="s">
        <v>4565</v>
      </c>
      <c r="C2560" s="8" t="s">
        <v>28</v>
      </c>
      <c r="D2560" s="8" t="s">
        <v>19</v>
      </c>
      <c r="E2560" s="8" t="s">
        <v>19</v>
      </c>
      <c r="F2560" s="8" t="s">
        <v>20</v>
      </c>
      <c r="G2560" s="8" t="s">
        <v>21</v>
      </c>
      <c r="H2560" s="9"/>
      <c r="I2560" s="9"/>
      <c r="J2560" s="10">
        <f t="shared" ref="J2560:M2560" si="1560">ifs(OR($H2560="R",$I2560="N"),"N/A",OR(C2560="A",C2560="B",C2560="C",C2560="U"),3,TRUE,"FLAG")</f>
        <v>3</v>
      </c>
      <c r="K2560" s="10">
        <f t="shared" si="1560"/>
        <v>3</v>
      </c>
      <c r="L2560" s="10">
        <f t="shared" si="1560"/>
        <v>3</v>
      </c>
      <c r="M2560" s="10" t="str">
        <f t="shared" si="1560"/>
        <v>FLAG</v>
      </c>
      <c r="N2560" s="10" t="str">
        <f t="shared" si="2"/>
        <v>50-6,111 - Scrap Metal Dealers; Intentional purchase without receipt of required information; records maintained; 2nd violation within 2-yr period</v>
      </c>
      <c r="O2560" s="10" t="str">
        <f t="shared" si="3"/>
        <v>Scrap Metal Dealers</v>
      </c>
    </row>
    <row r="2561">
      <c r="A2561" s="7" t="s">
        <v>4567</v>
      </c>
      <c r="B2561" s="8" t="s">
        <v>4565</v>
      </c>
      <c r="C2561" s="8" t="s">
        <v>27</v>
      </c>
      <c r="D2561" s="8" t="s">
        <v>28</v>
      </c>
      <c r="E2561" s="8" t="s">
        <v>19</v>
      </c>
      <c r="F2561" s="8" t="s">
        <v>20</v>
      </c>
      <c r="G2561" s="8" t="s">
        <v>21</v>
      </c>
      <c r="H2561" s="9"/>
      <c r="I2561" s="9"/>
      <c r="J2561" s="10">
        <f t="shared" ref="J2561:M2561" si="1561">ifs(OR($H2561="R",$I2561="N"),"N/A",OR(C2561="A",C2561="B",C2561="C",C2561="U"),3,TRUE,"FLAG")</f>
        <v>3</v>
      </c>
      <c r="K2561" s="10">
        <f t="shared" si="1561"/>
        <v>3</v>
      </c>
      <c r="L2561" s="10">
        <f t="shared" si="1561"/>
        <v>3</v>
      </c>
      <c r="M2561" s="10" t="str">
        <f t="shared" si="1561"/>
        <v>FLAG</v>
      </c>
      <c r="N2561" s="10" t="str">
        <f t="shared" si="2"/>
        <v>50-6,111 - Scrap Metal Dealers; Intentional purchase without receipt of required information; records maintained; 3rd or subs. violation within 2-yr period</v>
      </c>
      <c r="O2561" s="10" t="str">
        <f t="shared" si="3"/>
        <v>Scrap Metal Dealers</v>
      </c>
    </row>
    <row r="2562">
      <c r="A2562" s="7" t="s">
        <v>4568</v>
      </c>
      <c r="B2562" s="8" t="s">
        <v>4569</v>
      </c>
      <c r="C2562" s="8" t="s">
        <v>19</v>
      </c>
      <c r="D2562" s="8" t="s">
        <v>19</v>
      </c>
      <c r="E2562" s="8" t="s">
        <v>19</v>
      </c>
      <c r="F2562" s="8" t="s">
        <v>20</v>
      </c>
      <c r="G2562" s="8" t="s">
        <v>21</v>
      </c>
      <c r="H2562" s="9"/>
      <c r="I2562" s="9"/>
      <c r="J2562" s="10">
        <f t="shared" ref="J2562:M2562" si="1562">ifs(OR($H2562="R",$I2562="N"),"N/A",OR(C2562="A",C2562="B",C2562="C",C2562="U"),3,TRUE,"FLAG")</f>
        <v>3</v>
      </c>
      <c r="K2562" s="10">
        <f t="shared" si="1562"/>
        <v>3</v>
      </c>
      <c r="L2562" s="10">
        <f t="shared" si="1562"/>
        <v>3</v>
      </c>
      <c r="M2562" s="10" t="str">
        <f t="shared" si="1562"/>
        <v>FLAG</v>
      </c>
      <c r="N2562" s="10" t="str">
        <f t="shared" si="2"/>
        <v>50-6,110 - Scrap Metal Dealers; Intentional sale without receipt of required information</v>
      </c>
      <c r="O2562" s="10" t="str">
        <f t="shared" si="3"/>
        <v>Scrap Metal Dealers</v>
      </c>
    </row>
    <row r="2563">
      <c r="A2563" s="7" t="s">
        <v>4570</v>
      </c>
      <c r="B2563" s="8" t="s">
        <v>4569</v>
      </c>
      <c r="C2563" s="8" t="s">
        <v>28</v>
      </c>
      <c r="D2563" s="8" t="s">
        <v>19</v>
      </c>
      <c r="E2563" s="8" t="s">
        <v>19</v>
      </c>
      <c r="F2563" s="8" t="s">
        <v>20</v>
      </c>
      <c r="G2563" s="8" t="s">
        <v>21</v>
      </c>
      <c r="H2563" s="9"/>
      <c r="I2563" s="9"/>
      <c r="J2563" s="10">
        <f t="shared" ref="J2563:M2563" si="1563">ifs(OR($H2563="R",$I2563="N"),"N/A",OR(C2563="A",C2563="B",C2563="C",C2563="U"),3,TRUE,"FLAG")</f>
        <v>3</v>
      </c>
      <c r="K2563" s="10">
        <f t="shared" si="1563"/>
        <v>3</v>
      </c>
      <c r="L2563" s="10">
        <f t="shared" si="1563"/>
        <v>3</v>
      </c>
      <c r="M2563" s="10" t="str">
        <f t="shared" si="1563"/>
        <v>FLAG</v>
      </c>
      <c r="N2563" s="10" t="str">
        <f t="shared" si="2"/>
        <v>50-6,110 - Scrap Metal Dealers; Intentional sale without receipt of required information; 2nd violation within 2-yr period</v>
      </c>
      <c r="O2563" s="10" t="str">
        <f t="shared" si="3"/>
        <v>Scrap Metal Dealers</v>
      </c>
    </row>
    <row r="2564">
      <c r="A2564" s="7" t="s">
        <v>4571</v>
      </c>
      <c r="B2564" s="8" t="s">
        <v>4569</v>
      </c>
      <c r="C2564" s="8" t="s">
        <v>27</v>
      </c>
      <c r="D2564" s="8" t="s">
        <v>28</v>
      </c>
      <c r="E2564" s="8" t="s">
        <v>19</v>
      </c>
      <c r="F2564" s="8" t="s">
        <v>20</v>
      </c>
      <c r="G2564" s="8" t="s">
        <v>21</v>
      </c>
      <c r="H2564" s="9"/>
      <c r="I2564" s="9"/>
      <c r="J2564" s="10">
        <f t="shared" ref="J2564:M2564" si="1564">ifs(OR($H2564="R",$I2564="N"),"N/A",OR(C2564="A",C2564="B",C2564="C",C2564="U"),3,TRUE,"FLAG")</f>
        <v>3</v>
      </c>
      <c r="K2564" s="10">
        <f t="shared" si="1564"/>
        <v>3</v>
      </c>
      <c r="L2564" s="10">
        <f t="shared" si="1564"/>
        <v>3</v>
      </c>
      <c r="M2564" s="10" t="str">
        <f t="shared" si="1564"/>
        <v>FLAG</v>
      </c>
      <c r="N2564" s="10" t="str">
        <f t="shared" si="2"/>
        <v>50-6,110 - Scrap Metal Dealers; Intentional sale without receipt of required information; 3rd or subs. violation within 2-yr period</v>
      </c>
      <c r="O2564" s="10" t="str">
        <f t="shared" si="3"/>
        <v>Scrap Metal Dealers</v>
      </c>
    </row>
    <row r="2565">
      <c r="A2565" s="7" t="s">
        <v>4572</v>
      </c>
      <c r="B2565" s="8" t="s">
        <v>4573</v>
      </c>
      <c r="C2565" s="8" t="s">
        <v>19</v>
      </c>
      <c r="D2565" s="8" t="s">
        <v>19</v>
      </c>
      <c r="E2565" s="8" t="s">
        <v>19</v>
      </c>
      <c r="F2565" s="8" t="s">
        <v>20</v>
      </c>
      <c r="G2565" s="8" t="s">
        <v>21</v>
      </c>
      <c r="H2565" s="9"/>
      <c r="I2565" s="9"/>
      <c r="J2565" s="10">
        <f t="shared" ref="J2565:M2565" si="1565">ifs(OR($H2565="R",$I2565="N"),"N/A",OR(C2565="A",C2565="B",C2565="C",C2565="U"),3,TRUE,"FLAG")</f>
        <v>3</v>
      </c>
      <c r="K2565" s="10">
        <f t="shared" si="1565"/>
        <v>3</v>
      </c>
      <c r="L2565" s="10">
        <f t="shared" si="1565"/>
        <v>3</v>
      </c>
      <c r="M2565" s="10" t="str">
        <f t="shared" si="1565"/>
        <v>FLAG</v>
      </c>
      <c r="N2565" s="10" t="str">
        <f t="shared" si="2"/>
        <v>65-1,106 - Sec. of Health &amp; Environment, Activities; Breach in confidentiality of Statewide program for sickle cell anemia testing</v>
      </c>
      <c r="O2565" s="10" t="str">
        <f t="shared" si="3"/>
        <v>Sec. of Health &amp; Environment, Activities</v>
      </c>
    </row>
    <row r="2566">
      <c r="A2566" s="7" t="s">
        <v>4574</v>
      </c>
      <c r="B2566" s="8" t="s">
        <v>4575</v>
      </c>
      <c r="C2566" s="8" t="s">
        <v>28</v>
      </c>
      <c r="D2566" s="8" t="s">
        <v>19</v>
      </c>
      <c r="E2566" s="8" t="s">
        <v>19</v>
      </c>
      <c r="F2566" s="8" t="s">
        <v>20</v>
      </c>
      <c r="G2566" s="8" t="s">
        <v>21</v>
      </c>
      <c r="H2566" s="9"/>
      <c r="I2566" s="9"/>
      <c r="J2566" s="10">
        <f t="shared" ref="J2566:M2566" si="1566">ifs(OR($H2566="R",$I2566="N"),"N/A",OR(C2566="A",C2566="B",C2566="C",C2566="U"),3,TRUE,"FLAG")</f>
        <v>3</v>
      </c>
      <c r="K2566" s="10">
        <f t="shared" si="1566"/>
        <v>3</v>
      </c>
      <c r="L2566" s="10">
        <f t="shared" si="1566"/>
        <v>3</v>
      </c>
      <c r="M2566" s="10" t="str">
        <f t="shared" si="1566"/>
        <v>FLAG</v>
      </c>
      <c r="N2566" s="10" t="str">
        <f t="shared" si="2"/>
        <v>65-171j(b) - Sec. of Health &amp; Environment, Activities; Discharge of substances containing mercury into waters of state</v>
      </c>
      <c r="O2566" s="10" t="str">
        <f t="shared" si="3"/>
        <v>Sec. of Health &amp; Environment, Activities</v>
      </c>
    </row>
    <row r="2567">
      <c r="A2567" s="7" t="s">
        <v>4576</v>
      </c>
      <c r="B2567" s="8" t="s">
        <v>4577</v>
      </c>
      <c r="C2567" s="8" t="s">
        <v>18</v>
      </c>
      <c r="D2567" s="8" t="s">
        <v>18</v>
      </c>
      <c r="E2567" s="8" t="s">
        <v>19</v>
      </c>
      <c r="F2567" s="8" t="s">
        <v>20</v>
      </c>
      <c r="G2567" s="8" t="s">
        <v>21</v>
      </c>
      <c r="H2567" s="9"/>
      <c r="I2567" s="9"/>
      <c r="J2567" s="10">
        <f t="shared" ref="J2567:M2567" si="1567">ifs(OR($H2567="R",$I2567="N"),"N/A",OR(C2567="A",C2567="B",C2567="C",C2567="U"),3,TRUE,"FLAG")</f>
        <v>3</v>
      </c>
      <c r="K2567" s="10">
        <f t="shared" si="1567"/>
        <v>3</v>
      </c>
      <c r="L2567" s="10">
        <f t="shared" si="1567"/>
        <v>3</v>
      </c>
      <c r="M2567" s="10" t="str">
        <f t="shared" si="1567"/>
        <v>FLAG</v>
      </c>
      <c r="N2567" s="10" t="str">
        <f t="shared" si="2"/>
        <v>65-153c - Sec. of Health &amp; Environment, Activities; Duty of physician and others</v>
      </c>
      <c r="O2567" s="10" t="str">
        <f t="shared" si="3"/>
        <v>Sec. of Health &amp; Environment, Activities</v>
      </c>
    </row>
    <row r="2568">
      <c r="A2568" s="7" t="s">
        <v>4578</v>
      </c>
      <c r="B2568" s="8" t="s">
        <v>4579</v>
      </c>
      <c r="C2568" s="8" t="s">
        <v>19</v>
      </c>
      <c r="D2568" s="8" t="s">
        <v>19</v>
      </c>
      <c r="E2568" s="8" t="s">
        <v>19</v>
      </c>
      <c r="F2568" s="8" t="s">
        <v>20</v>
      </c>
      <c r="G2568" s="8" t="s">
        <v>21</v>
      </c>
      <c r="H2568" s="9"/>
      <c r="I2568" s="9"/>
      <c r="J2568" s="10">
        <f t="shared" ref="J2568:M2568" si="1568">ifs(OR($H2568="R",$I2568="N"),"N/A",OR(C2568="A",C2568="B",C2568="C",C2568="U"),3,TRUE,"FLAG")</f>
        <v>3</v>
      </c>
      <c r="K2568" s="10">
        <f t="shared" si="1568"/>
        <v>3</v>
      </c>
      <c r="L2568" s="10">
        <f t="shared" si="1568"/>
        <v>3</v>
      </c>
      <c r="M2568" s="10" t="str">
        <f t="shared" si="1568"/>
        <v>FLAG</v>
      </c>
      <c r="N2568" s="10" t="str">
        <f t="shared" si="2"/>
        <v>65-1,109(a) - Sec. of Health &amp; Environment, Activities; Failure of person testing human breath for law enforcement purposes to comply with procedures and use appropriate equipment</v>
      </c>
      <c r="O2568" s="10" t="str">
        <f t="shared" si="3"/>
        <v>Sec. of Health &amp; Environment, Activities</v>
      </c>
    </row>
    <row r="2569">
      <c r="A2569" s="7" t="s">
        <v>4580</v>
      </c>
      <c r="B2569" s="8" t="s">
        <v>4581</v>
      </c>
      <c r="C2569" s="8" t="s">
        <v>18</v>
      </c>
      <c r="D2569" s="8" t="s">
        <v>18</v>
      </c>
      <c r="E2569" s="8" t="s">
        <v>19</v>
      </c>
      <c r="F2569" s="8" t="s">
        <v>20</v>
      </c>
      <c r="G2569" s="8" t="s">
        <v>21</v>
      </c>
      <c r="H2569" s="9"/>
      <c r="I2569" s="9"/>
      <c r="J2569" s="10">
        <f t="shared" ref="J2569:M2569" si="1569">ifs(OR($H2569="R",$I2569="N"),"N/A",OR(C2569="A",C2569="B",C2569="C",C2569="U"),3,TRUE,"FLAG")</f>
        <v>3</v>
      </c>
      <c r="K2569" s="10">
        <f t="shared" si="1569"/>
        <v>3</v>
      </c>
      <c r="L2569" s="10">
        <f t="shared" si="1569"/>
        <v>3</v>
      </c>
      <c r="M2569" s="10" t="str">
        <f t="shared" si="1569"/>
        <v>FLAG</v>
      </c>
      <c r="N2569" s="10" t="str">
        <f t="shared" si="2"/>
        <v>65-169 - Sec. of Health &amp; Environment, Activities; Failure to comply with requirements of secretary</v>
      </c>
      <c r="O2569" s="10" t="str">
        <f t="shared" si="3"/>
        <v>Sec. of Health &amp; Environment, Activities</v>
      </c>
    </row>
    <row r="2570">
      <c r="A2570" s="7" t="s">
        <v>4582</v>
      </c>
      <c r="B2570" s="8" t="s">
        <v>4583</v>
      </c>
      <c r="C2570" s="8" t="s">
        <v>18</v>
      </c>
      <c r="D2570" s="8" t="s">
        <v>18</v>
      </c>
      <c r="E2570" s="8" t="s">
        <v>19</v>
      </c>
      <c r="F2570" s="8" t="s">
        <v>20</v>
      </c>
      <c r="G2570" s="8" t="s">
        <v>21</v>
      </c>
      <c r="H2570" s="9"/>
      <c r="I2570" s="9"/>
      <c r="J2570" s="10">
        <f t="shared" ref="J2570:M2570" si="1570">ifs(OR($H2570="R",$I2570="N"),"N/A",OR(C2570="A",C2570="B",C2570="C",C2570="U"),3,TRUE,"FLAG")</f>
        <v>3</v>
      </c>
      <c r="K2570" s="10">
        <f t="shared" si="1570"/>
        <v>3</v>
      </c>
      <c r="L2570" s="10">
        <f t="shared" si="1570"/>
        <v>3</v>
      </c>
      <c r="M2570" s="10" t="str">
        <f t="shared" si="1570"/>
        <v>FLAG</v>
      </c>
      <c r="N2570" s="10" t="str">
        <f t="shared" si="2"/>
        <v>65-173 - Sec. of Health &amp; Environment, Activities; Inspections; violation of any rules or regulations made to safeguard the public health and to prevent the spread of contagious or infectious diseases</v>
      </c>
      <c r="O2570" s="10" t="str">
        <f t="shared" si="3"/>
        <v>Sec. of Health &amp; Environment, Activities</v>
      </c>
    </row>
    <row r="2571">
      <c r="A2571" s="7" t="s">
        <v>4584</v>
      </c>
      <c r="B2571" s="8" t="s">
        <v>4585</v>
      </c>
      <c r="C2571" s="8" t="s">
        <v>18</v>
      </c>
      <c r="D2571" s="8" t="s">
        <v>18</v>
      </c>
      <c r="E2571" s="8" t="s">
        <v>19</v>
      </c>
      <c r="F2571" s="8" t="s">
        <v>20</v>
      </c>
      <c r="G2571" s="8" t="s">
        <v>21</v>
      </c>
      <c r="H2571" s="9"/>
      <c r="I2571" s="9"/>
      <c r="J2571" s="10">
        <f t="shared" ref="J2571:M2571" si="1571">ifs(OR($H2571="R",$I2571="N"),"N/A",OR(C2571="A",C2571="B",C2571="C",C2571="U"),3,TRUE,"FLAG")</f>
        <v>3</v>
      </c>
      <c r="K2571" s="10">
        <f t="shared" si="1571"/>
        <v>3</v>
      </c>
      <c r="L2571" s="10">
        <f t="shared" si="1571"/>
        <v>3</v>
      </c>
      <c r="M2571" s="10" t="str">
        <f t="shared" si="1571"/>
        <v>FLAG</v>
      </c>
      <c r="N2571" s="10" t="str">
        <f t="shared" si="2"/>
        <v>65-153b - Sec. of Health &amp; Environment, Activities; Newly born infant; treatment of eyes</v>
      </c>
      <c r="O2571" s="10" t="str">
        <f t="shared" si="3"/>
        <v>Sec. of Health &amp; Environment, Activities</v>
      </c>
    </row>
    <row r="2572">
      <c r="A2572" s="7" t="s">
        <v>4586</v>
      </c>
      <c r="B2572" s="8" t="s">
        <v>4587</v>
      </c>
      <c r="C2572" s="8" t="s">
        <v>18</v>
      </c>
      <c r="D2572" s="8" t="s">
        <v>18</v>
      </c>
      <c r="E2572" s="8" t="s">
        <v>19</v>
      </c>
      <c r="F2572" s="8" t="s">
        <v>20</v>
      </c>
      <c r="G2572" s="8" t="s">
        <v>21</v>
      </c>
      <c r="H2572" s="9"/>
      <c r="I2572" s="9"/>
      <c r="J2572" s="10">
        <f t="shared" ref="J2572:M2572" si="1572">ifs(OR($H2572="R",$I2572="N"),"N/A",OR(C2572="A",C2572="B",C2572="C",C2572="U"),3,TRUE,"FLAG")</f>
        <v>3</v>
      </c>
      <c r="K2572" s="10">
        <f t="shared" si="1572"/>
        <v>3</v>
      </c>
      <c r="L2572" s="10">
        <f t="shared" si="1572"/>
        <v>3</v>
      </c>
      <c r="M2572" s="10" t="str">
        <f t="shared" si="1572"/>
        <v>FLAG</v>
      </c>
      <c r="N2572" s="10" t="str">
        <f t="shared" si="2"/>
        <v>65-179 - Sec. of Health &amp; Environment, Activities; Penalty for unauthorized disclosure of data in violation of the provisions of this act</v>
      </c>
      <c r="O2572" s="10" t="str">
        <f t="shared" si="3"/>
        <v>Sec. of Health &amp; Environment, Activities</v>
      </c>
    </row>
    <row r="2573">
      <c r="A2573" s="7" t="s">
        <v>4588</v>
      </c>
      <c r="B2573" s="8" t="s">
        <v>4589</v>
      </c>
      <c r="C2573" s="8" t="s">
        <v>18</v>
      </c>
      <c r="D2573" s="8" t="s">
        <v>18</v>
      </c>
      <c r="E2573" s="8" t="s">
        <v>19</v>
      </c>
      <c r="F2573" s="8" t="s">
        <v>20</v>
      </c>
      <c r="G2573" s="8" t="s">
        <v>21</v>
      </c>
      <c r="H2573" s="9"/>
      <c r="I2573" s="9"/>
      <c r="J2573" s="10">
        <f t="shared" ref="J2573:M2573" si="1573">ifs(OR($H2573="R",$I2573="N"),"N/A",OR(C2573="A",C2573="B",C2573="C",C2573="U"),3,TRUE,"FLAG")</f>
        <v>3</v>
      </c>
      <c r="K2573" s="10">
        <f t="shared" si="1573"/>
        <v>3</v>
      </c>
      <c r="L2573" s="10">
        <f t="shared" si="1573"/>
        <v>3</v>
      </c>
      <c r="M2573" s="10" t="str">
        <f t="shared" si="1573"/>
        <v>FLAG</v>
      </c>
      <c r="N2573" s="10" t="str">
        <f t="shared" si="2"/>
        <v>65-153e - Sec. of Health &amp; Environment, Activities; Penalty for violating 65-153b to 65-153e</v>
      </c>
      <c r="O2573" s="10" t="str">
        <f t="shared" si="3"/>
        <v>Sec. of Health &amp; Environment, Activities</v>
      </c>
    </row>
    <row r="2574">
      <c r="A2574" s="7" t="s">
        <v>4590</v>
      </c>
      <c r="B2574" s="8" t="s">
        <v>4591</v>
      </c>
      <c r="C2574" s="8" t="s">
        <v>18</v>
      </c>
      <c r="D2574" s="8" t="s">
        <v>18</v>
      </c>
      <c r="E2574" s="8" t="s">
        <v>19</v>
      </c>
      <c r="F2574" s="8" t="s">
        <v>20</v>
      </c>
      <c r="G2574" s="8" t="s">
        <v>21</v>
      </c>
      <c r="H2574" s="9"/>
      <c r="I2574" s="9"/>
      <c r="J2574" s="10">
        <f t="shared" ref="J2574:M2574" si="1574">ifs(OR($H2574="R",$I2574="N"),"N/A",OR(C2574="A",C2574="B",C2574="C",C2574="U"),3,TRUE,"FLAG")</f>
        <v>3</v>
      </c>
      <c r="K2574" s="10">
        <f t="shared" si="1574"/>
        <v>3</v>
      </c>
      <c r="L2574" s="10">
        <f t="shared" si="1574"/>
        <v>3</v>
      </c>
      <c r="M2574" s="10" t="str">
        <f t="shared" si="1574"/>
        <v>FLAG</v>
      </c>
      <c r="N2574" s="10" t="str">
        <f t="shared" si="2"/>
        <v>65-116g - Sec. of Health &amp; Environment, Activities; Penalty for violations of act or regulations</v>
      </c>
      <c r="O2574" s="10" t="str">
        <f t="shared" si="3"/>
        <v>Sec. of Health &amp; Environment, Activities</v>
      </c>
    </row>
    <row r="2575">
      <c r="A2575" s="7" t="s">
        <v>4592</v>
      </c>
      <c r="B2575" s="8" t="s">
        <v>4593</v>
      </c>
      <c r="C2575" s="8" t="s">
        <v>18</v>
      </c>
      <c r="D2575" s="8" t="s">
        <v>18</v>
      </c>
      <c r="E2575" s="8" t="s">
        <v>19</v>
      </c>
      <c r="F2575" s="8" t="s">
        <v>20</v>
      </c>
      <c r="G2575" s="8" t="s">
        <v>21</v>
      </c>
      <c r="H2575" s="9"/>
      <c r="I2575" s="9"/>
      <c r="J2575" s="10">
        <f t="shared" ref="J2575:M2575" si="1575">ifs(OR($H2575="R",$I2575="N"),"N/A",OR(C2575="A",C2575="B",C2575="C",C2575="U"),3,TRUE,"FLAG")</f>
        <v>3</v>
      </c>
      <c r="K2575" s="10">
        <f t="shared" si="1575"/>
        <v>3</v>
      </c>
      <c r="L2575" s="10">
        <f t="shared" si="1575"/>
        <v>3</v>
      </c>
      <c r="M2575" s="10" t="str">
        <f t="shared" si="1575"/>
        <v>FLAG</v>
      </c>
      <c r="N2575" s="10" t="str">
        <f t="shared" si="2"/>
        <v>65-153h - Sec. of Health &amp; Environment, Activities; Penalty for willful violation of this act</v>
      </c>
      <c r="O2575" s="10" t="str">
        <f t="shared" si="3"/>
        <v>Sec. of Health &amp; Environment, Activities</v>
      </c>
    </row>
    <row r="2576">
      <c r="A2576" s="7" t="s">
        <v>4594</v>
      </c>
      <c r="B2576" s="8" t="s">
        <v>4595</v>
      </c>
      <c r="C2576" s="8" t="s">
        <v>28</v>
      </c>
      <c r="D2576" s="8" t="s">
        <v>19</v>
      </c>
      <c r="E2576" s="8" t="s">
        <v>19</v>
      </c>
      <c r="F2576" s="8" t="s">
        <v>20</v>
      </c>
      <c r="G2576" s="8" t="s">
        <v>21</v>
      </c>
      <c r="H2576" s="9"/>
      <c r="I2576" s="9"/>
      <c r="J2576" s="10">
        <f t="shared" ref="J2576:M2576" si="1576">ifs(OR($H2576="R",$I2576="N"),"N/A",OR(C2576="A",C2576="B",C2576="C",C2576="U"),3,TRUE,"FLAG")</f>
        <v>3</v>
      </c>
      <c r="K2576" s="10">
        <f t="shared" si="1576"/>
        <v>3</v>
      </c>
      <c r="L2576" s="10">
        <f t="shared" si="1576"/>
        <v>3</v>
      </c>
      <c r="M2576" s="10" t="str">
        <f t="shared" si="1576"/>
        <v>FLAG</v>
      </c>
      <c r="N2576" s="10" t="str">
        <f t="shared" si="2"/>
        <v>65-1,108(a) - Sec. of Health &amp; Environment, Activities; Perform certain tests outside an approved laboratory</v>
      </c>
      <c r="O2576" s="10" t="str">
        <f t="shared" si="3"/>
        <v>Sec. of Health &amp; Environment, Activities</v>
      </c>
    </row>
    <row r="2577">
      <c r="A2577" s="7" t="s">
        <v>4596</v>
      </c>
      <c r="B2577" s="8" t="s">
        <v>4597</v>
      </c>
      <c r="C2577" s="8" t="s">
        <v>19</v>
      </c>
      <c r="D2577" s="8" t="s">
        <v>19</v>
      </c>
      <c r="E2577" s="8" t="s">
        <v>19</v>
      </c>
      <c r="F2577" s="8" t="s">
        <v>20</v>
      </c>
      <c r="G2577" s="8" t="s">
        <v>21</v>
      </c>
      <c r="H2577" s="9"/>
      <c r="I2577" s="9"/>
      <c r="J2577" s="10">
        <f t="shared" ref="J2577:M2577" si="1577">ifs(OR($H2577="R",$I2577="N"),"N/A",OR(C2577="A",C2577="B",C2577="C",C2577="U"),3,TRUE,"FLAG")</f>
        <v>3</v>
      </c>
      <c r="K2577" s="10">
        <f t="shared" si="1577"/>
        <v>3</v>
      </c>
      <c r="L2577" s="10">
        <f t="shared" si="1577"/>
        <v>3</v>
      </c>
      <c r="M2577" s="10" t="str">
        <f t="shared" si="1577"/>
        <v>FLAG</v>
      </c>
      <c r="N2577" s="10" t="str">
        <f t="shared" si="2"/>
        <v>65-1,117 - Sec. of Health &amp; Environment, Activities; Unauthorized disclosure of confidential information obtained pursuant to K.S.A. 65-1,115</v>
      </c>
      <c r="O2577" s="10" t="str">
        <f t="shared" si="3"/>
        <v>Sec. of Health &amp; Environment, Activities</v>
      </c>
    </row>
    <row r="2578">
      <c r="A2578" s="7" t="s">
        <v>4598</v>
      </c>
      <c r="B2578" s="8" t="s">
        <v>4599</v>
      </c>
      <c r="C2578" s="8" t="s">
        <v>19</v>
      </c>
      <c r="D2578" s="8" t="s">
        <v>19</v>
      </c>
      <c r="E2578" s="8" t="s">
        <v>19</v>
      </c>
      <c r="F2578" s="8" t="s">
        <v>20</v>
      </c>
      <c r="G2578" s="8" t="s">
        <v>21</v>
      </c>
      <c r="H2578" s="9"/>
      <c r="I2578" s="9"/>
      <c r="J2578" s="10">
        <f t="shared" ref="J2578:M2578" si="1578">ifs(OR($H2578="R",$I2578="N"),"N/A",OR(C2578="A",C2578="B",C2578="C",C2578="U"),3,TRUE,"FLAG")</f>
        <v>3</v>
      </c>
      <c r="K2578" s="10">
        <f t="shared" si="1578"/>
        <v>3</v>
      </c>
      <c r="L2578" s="10">
        <f t="shared" si="1578"/>
        <v>3</v>
      </c>
      <c r="M2578" s="10" t="str">
        <f t="shared" si="1578"/>
        <v>FLAG</v>
      </c>
      <c r="N2578" s="10" t="str">
        <f t="shared" si="2"/>
        <v>65-1,108a(a) - Sec. of Health &amp; Environment, Activities; Unauthorized disclosure of confidential information obtained through certain tests conducted by approved laboratories</v>
      </c>
      <c r="O2578" s="10" t="str">
        <f t="shared" si="3"/>
        <v>Sec. of Health &amp; Environment, Activities</v>
      </c>
    </row>
    <row r="2579">
      <c r="A2579" s="7" t="s">
        <v>4600</v>
      </c>
      <c r="B2579" s="8" t="s">
        <v>4601</v>
      </c>
      <c r="C2579" s="8" t="s">
        <v>19</v>
      </c>
      <c r="D2579" s="8" t="s">
        <v>19</v>
      </c>
      <c r="E2579" s="8" t="s">
        <v>19</v>
      </c>
      <c r="F2579" s="8" t="s">
        <v>20</v>
      </c>
      <c r="G2579" s="8" t="s">
        <v>21</v>
      </c>
      <c r="H2579" s="9"/>
      <c r="I2579" s="9"/>
      <c r="J2579" s="10">
        <f t="shared" ref="J2579:M2579" si="1579">ifs(OR($H2579="R",$I2579="N"),"N/A",OR(C2579="A",C2579="B",C2579="C",C2579="U"),3,TRUE,"FLAG")</f>
        <v>3</v>
      </c>
      <c r="K2579" s="10">
        <f t="shared" si="1579"/>
        <v>3</v>
      </c>
      <c r="L2579" s="10">
        <f t="shared" si="1579"/>
        <v>3</v>
      </c>
      <c r="M2579" s="10" t="str">
        <f t="shared" si="1579"/>
        <v>FLAG</v>
      </c>
      <c r="N2579" s="10" t="str">
        <f t="shared" si="2"/>
        <v>65-129d - Sec. of Health &amp; Environment, Activities; Unlawful discharge from employment</v>
      </c>
      <c r="O2579" s="10" t="str">
        <f t="shared" si="3"/>
        <v>Sec. of Health &amp; Environment, Activities</v>
      </c>
    </row>
    <row r="2580">
      <c r="A2580" s="7" t="s">
        <v>4602</v>
      </c>
      <c r="B2580" s="8" t="s">
        <v>4603</v>
      </c>
      <c r="C2580" s="8" t="s">
        <v>19</v>
      </c>
      <c r="D2580" s="8" t="s">
        <v>19</v>
      </c>
      <c r="E2580" s="8" t="s">
        <v>19</v>
      </c>
      <c r="F2580" s="8" t="s">
        <v>20</v>
      </c>
      <c r="G2580" s="8" t="s">
        <v>21</v>
      </c>
      <c r="H2580" s="9"/>
      <c r="I2580" s="9"/>
      <c r="J2580" s="10">
        <f t="shared" ref="J2580:M2580" si="1580">ifs(OR($H2580="R",$I2580="N"),"N/A",OR(C2580="A",C2580="B",C2580="C",C2580="U"),3,TRUE,"FLAG")</f>
        <v>3</v>
      </c>
      <c r="K2580" s="10">
        <f t="shared" si="1580"/>
        <v>3</v>
      </c>
      <c r="L2580" s="10">
        <f t="shared" si="1580"/>
        <v>3</v>
      </c>
      <c r="M2580" s="10" t="str">
        <f t="shared" si="1580"/>
        <v>FLAG</v>
      </c>
      <c r="N2580" s="10" t="str">
        <f t="shared" si="2"/>
        <v>65-129 - Sec. of Health &amp; Environment, Activities; Violate, refuse or neglect to obey rules and regulations pertaining to the prevention, suppression and control of infectious or contagious diseases; leave any isolation area of a hospital or other quarantined area without consent; evade/break quarantine; knowingly conceal a case of infectious or contagious disease</v>
      </c>
      <c r="O2580" s="10" t="str">
        <f t="shared" si="3"/>
        <v>Sec. of Health &amp; Environment, Activities</v>
      </c>
    </row>
    <row r="2581">
      <c r="A2581" s="7" t="s">
        <v>4604</v>
      </c>
      <c r="B2581" s="8" t="s">
        <v>4605</v>
      </c>
      <c r="C2581" s="8">
        <v>10.0</v>
      </c>
      <c r="D2581" s="8">
        <v>10.0</v>
      </c>
      <c r="E2581" s="8">
        <v>10.0</v>
      </c>
      <c r="F2581" s="8">
        <v>10.0</v>
      </c>
      <c r="G2581" s="8" t="s">
        <v>21</v>
      </c>
      <c r="H2581" s="9"/>
      <c r="I2581" s="9"/>
      <c r="N2581" s="10" t="str">
        <f t="shared" si="2"/>
        <v>50-1207 - Second Amendment Protection Act; U.S. Government agent enforce or attempt to enforce any U.S. laws regarding firearms, accessories or ammunition manufactured and owned in Kansas</v>
      </c>
      <c r="O2581" s="10" t="str">
        <f t="shared" si="3"/>
        <v>Second Amendment Protection Act</v>
      </c>
    </row>
    <row r="2582">
      <c r="A2582" s="7" t="s">
        <v>4606</v>
      </c>
      <c r="B2582" s="8" t="s">
        <v>4607</v>
      </c>
      <c r="C2582" s="8">
        <v>7.0</v>
      </c>
      <c r="D2582" s="8">
        <v>9.0</v>
      </c>
      <c r="E2582" s="8">
        <v>9.0</v>
      </c>
      <c r="F2582" s="8">
        <v>10.0</v>
      </c>
      <c r="G2582" s="8" t="s">
        <v>21</v>
      </c>
      <c r="H2582" s="9"/>
      <c r="I2582" s="9"/>
      <c r="N2582" s="10" t="str">
        <f t="shared" si="2"/>
        <v>21-5902(a) - Sedition; Advocating the overthrow or reformation of the existing form of government of this state by violence or unlawful means</v>
      </c>
      <c r="O2582" s="10" t="str">
        <f t="shared" si="3"/>
        <v>Sedition</v>
      </c>
    </row>
    <row r="2583">
      <c r="A2583" s="7" t="s">
        <v>4608</v>
      </c>
      <c r="B2583" s="8" t="s">
        <v>4609</v>
      </c>
      <c r="C2583" s="8" t="s">
        <v>19</v>
      </c>
      <c r="D2583" s="8" t="s">
        <v>19</v>
      </c>
      <c r="E2583" s="8" t="s">
        <v>19</v>
      </c>
      <c r="F2583" s="8" t="s">
        <v>20</v>
      </c>
      <c r="G2583" s="8" t="s">
        <v>21</v>
      </c>
      <c r="H2583" s="9"/>
      <c r="I2583" s="9"/>
      <c r="J2583" s="10">
        <f t="shared" ref="J2583:M2583" si="1581">ifs(OR($H2583="R",$I2583="N"),"N/A",OR(C2583="A",C2583="B",C2583="C",C2583="U"),3,TRUE,"FLAG")</f>
        <v>3</v>
      </c>
      <c r="K2583" s="10">
        <f t="shared" si="1581"/>
        <v>3</v>
      </c>
      <c r="L2583" s="10">
        <f t="shared" si="1581"/>
        <v>3</v>
      </c>
      <c r="M2583" s="10" t="str">
        <f t="shared" si="1581"/>
        <v>FLAG</v>
      </c>
      <c r="N2583" s="10" t="str">
        <f t="shared" si="2"/>
        <v>21-6320(a) - Sell Beverage Containers with Detachable Tabs; Knowingly sell or offer for sale such containers; Pertaining to sealed cans containing beer, cereal malt beverages, mineral waters, soda water and similar soft drinks</v>
      </c>
      <c r="O2583" s="10" t="str">
        <f t="shared" si="3"/>
        <v>Sell Beverage Containers with Detachable Tabs</v>
      </c>
    </row>
    <row r="2584">
      <c r="A2584" s="7" t="s">
        <v>4610</v>
      </c>
      <c r="B2584" s="8" t="s">
        <v>4611</v>
      </c>
      <c r="C2584" s="8" t="s">
        <v>28</v>
      </c>
      <c r="D2584" s="8" t="s">
        <v>19</v>
      </c>
      <c r="E2584" s="8" t="s">
        <v>19</v>
      </c>
      <c r="F2584" s="8" t="s">
        <v>20</v>
      </c>
      <c r="G2584" s="8" t="s">
        <v>21</v>
      </c>
      <c r="H2584" s="9"/>
      <c r="I2584" s="9"/>
      <c r="J2584" s="10">
        <f t="shared" ref="J2584:M2584" si="1582">ifs(OR($H2584="R",$I2584="N"),"N/A",OR(C2584="A",C2584="B",C2584="C",C2584="U"),3,TRUE,"FLAG")</f>
        <v>3</v>
      </c>
      <c r="K2584" s="10">
        <f t="shared" si="1582"/>
        <v>3</v>
      </c>
      <c r="L2584" s="10">
        <f t="shared" si="1582"/>
        <v>3</v>
      </c>
      <c r="M2584" s="10" t="str">
        <f t="shared" si="1582"/>
        <v>FLAG</v>
      </c>
      <c r="N2584" s="10" t="str">
        <f t="shared" si="2"/>
        <v>21-6419(a)(3) - Selling Sexual Relations; Manual or other bodily stimulation of the genitals for hire</v>
      </c>
      <c r="O2584" s="10" t="str">
        <f t="shared" si="3"/>
        <v>Selling Sexual Relations</v>
      </c>
    </row>
    <row r="2585">
      <c r="A2585" s="7" t="s">
        <v>4612</v>
      </c>
      <c r="B2585" s="8" t="s">
        <v>4613</v>
      </c>
      <c r="C2585" s="8" t="s">
        <v>28</v>
      </c>
      <c r="D2585" s="8" t="s">
        <v>19</v>
      </c>
      <c r="E2585" s="8" t="s">
        <v>19</v>
      </c>
      <c r="F2585" s="8" t="s">
        <v>20</v>
      </c>
      <c r="G2585" s="8" t="s">
        <v>21</v>
      </c>
      <c r="H2585" s="9"/>
      <c r="I2585" s="9"/>
      <c r="J2585" s="10">
        <f t="shared" ref="J2585:M2585" si="1583">ifs(OR($H2585="R",$I2585="N"),"N/A",OR(C2585="A",C2585="B",C2585="C",C2585="U"),3,TRUE,"FLAG")</f>
        <v>3</v>
      </c>
      <c r="K2585" s="10">
        <f t="shared" si="1583"/>
        <v>3</v>
      </c>
      <c r="L2585" s="10">
        <f t="shared" si="1583"/>
        <v>3</v>
      </c>
      <c r="M2585" s="10" t="str">
        <f t="shared" si="1583"/>
        <v>FLAG</v>
      </c>
      <c r="N2585" s="10" t="str">
        <f t="shared" si="2"/>
        <v>21-6419(a)(1) - Selling Sexual Relations; Sexual intercourse for hire</v>
      </c>
      <c r="O2585" s="10" t="str">
        <f t="shared" si="3"/>
        <v>Selling Sexual Relations</v>
      </c>
    </row>
    <row r="2586">
      <c r="A2586" s="7" t="s">
        <v>4614</v>
      </c>
      <c r="B2586" s="8" t="s">
        <v>4615</v>
      </c>
      <c r="C2586" s="8" t="s">
        <v>28</v>
      </c>
      <c r="D2586" s="8" t="s">
        <v>19</v>
      </c>
      <c r="E2586" s="8" t="s">
        <v>19</v>
      </c>
      <c r="F2586" s="8" t="s">
        <v>20</v>
      </c>
      <c r="G2586" s="8" t="s">
        <v>21</v>
      </c>
      <c r="H2586" s="9"/>
      <c r="I2586" s="9"/>
      <c r="J2586" s="10">
        <f t="shared" ref="J2586:M2586" si="1584">ifs(OR($H2586="R",$I2586="N"),"N/A",OR(C2586="A",C2586="B",C2586="C",C2586="U"),3,TRUE,"FLAG")</f>
        <v>3</v>
      </c>
      <c r="K2586" s="10">
        <f t="shared" si="1584"/>
        <v>3</v>
      </c>
      <c r="L2586" s="10">
        <f t="shared" si="1584"/>
        <v>3</v>
      </c>
      <c r="M2586" s="10" t="str">
        <f t="shared" si="1584"/>
        <v>FLAG</v>
      </c>
      <c r="N2586" s="10" t="str">
        <f t="shared" si="2"/>
        <v>21-6419(a)(2) - Selling Sexual Relations; Sodomy for hire</v>
      </c>
      <c r="O2586" s="10" t="str">
        <f t="shared" si="3"/>
        <v>Selling Sexual Relations</v>
      </c>
    </row>
    <row r="2587">
      <c r="A2587" s="7" t="s">
        <v>4616</v>
      </c>
      <c r="B2587" s="8" t="s">
        <v>4617</v>
      </c>
      <c r="C2587" s="8" t="s">
        <v>18</v>
      </c>
      <c r="D2587" s="8" t="s">
        <v>18</v>
      </c>
      <c r="E2587" s="8" t="s">
        <v>19</v>
      </c>
      <c r="F2587" s="8" t="s">
        <v>20</v>
      </c>
      <c r="G2587" s="8" t="s">
        <v>21</v>
      </c>
      <c r="H2587" s="9"/>
      <c r="I2587" s="9"/>
      <c r="J2587" s="10">
        <f t="shared" ref="J2587:M2587" si="1585">ifs(OR($H2587="R",$I2587="N"),"N/A",OR(C2587="A",C2587="B",C2587="C",C2587="U"),3,TRUE,"FLAG")</f>
        <v>3</v>
      </c>
      <c r="K2587" s="10">
        <f t="shared" si="1585"/>
        <v>3</v>
      </c>
      <c r="L2587" s="10">
        <f t="shared" si="1585"/>
        <v>3</v>
      </c>
      <c r="M2587" s="10" t="str">
        <f t="shared" si="1585"/>
        <v>FLAG</v>
      </c>
      <c r="N2587" s="10" t="str">
        <f t="shared" si="2"/>
        <v>19-27a02(n)(1) - Sewer Districts; Penalty for violation of any rule, regulation, standard, limitation or requirement adopted by the Board of county Commissioners</v>
      </c>
      <c r="O2587" s="10" t="str">
        <f t="shared" si="3"/>
        <v>Sewer Districts</v>
      </c>
    </row>
    <row r="2588">
      <c r="A2588" s="7" t="s">
        <v>4618</v>
      </c>
      <c r="B2588" s="8" t="s">
        <v>4619</v>
      </c>
      <c r="C2588" s="8" t="s">
        <v>27</v>
      </c>
      <c r="D2588" s="8" t="s">
        <v>28</v>
      </c>
      <c r="E2588" s="8" t="s">
        <v>19</v>
      </c>
      <c r="F2588" s="8" t="s">
        <v>20</v>
      </c>
      <c r="G2588" s="8" t="s">
        <v>24</v>
      </c>
      <c r="H2588" s="8" t="s">
        <v>109</v>
      </c>
      <c r="I2588" s="8" t="s">
        <v>54</v>
      </c>
      <c r="J2588" s="10" t="str">
        <f t="shared" ref="J2588:M2588" si="1586">ifs(OR($H2588="R",$I2588="N"),"N/A",OR(C2588="A",C2588="B",C2588="C",C2588="U"),3,TRUE,"FLAG")</f>
        <v>N/A</v>
      </c>
      <c r="K2588" s="10" t="str">
        <f t="shared" si="1586"/>
        <v>N/A</v>
      </c>
      <c r="L2588" s="10" t="str">
        <f t="shared" si="1586"/>
        <v>N/A</v>
      </c>
      <c r="M2588" s="10" t="str">
        <f t="shared" si="1586"/>
        <v>N/A</v>
      </c>
      <c r="N2588" s="10" t="str">
        <f t="shared" si="2"/>
        <v>21-5505(a) - Sexual Battery; Touching victim who is not a spouse of offender, who is 16 or more, without consent and with intent to arouse or satisfy desires</v>
      </c>
      <c r="O2588" s="10" t="str">
        <f t="shared" si="3"/>
        <v>Sexual Battery</v>
      </c>
    </row>
    <row r="2589">
      <c r="A2589" s="7" t="s">
        <v>4620</v>
      </c>
      <c r="B2589" s="8" t="s">
        <v>4621</v>
      </c>
      <c r="C2589" s="8" t="s">
        <v>178</v>
      </c>
      <c r="D2589" s="8" t="s">
        <v>179</v>
      </c>
      <c r="E2589" s="8" t="s">
        <v>179</v>
      </c>
      <c r="F2589" s="8" t="s">
        <v>179</v>
      </c>
      <c r="G2589" s="8" t="s">
        <v>24</v>
      </c>
      <c r="H2589" s="8" t="s">
        <v>109</v>
      </c>
      <c r="I2589" s="8" t="s">
        <v>54</v>
      </c>
      <c r="N2589" s="10" t="str">
        <f t="shared" si="2"/>
        <v>21-5510(a)(1) - Sexual Exploitation of Child; Commit, attempt, conspire or solicit to commit; Employ child less than 14 to engage in sexually explicit conduct; offender 18 or older</v>
      </c>
      <c r="O2589" s="10" t="str">
        <f t="shared" si="3"/>
        <v>Sexual Exploitation of Child</v>
      </c>
    </row>
    <row r="2590">
      <c r="A2590" s="7" t="s">
        <v>4622</v>
      </c>
      <c r="B2590" s="8" t="s">
        <v>4623</v>
      </c>
      <c r="C2590" s="8" t="s">
        <v>178</v>
      </c>
      <c r="D2590" s="8" t="s">
        <v>179</v>
      </c>
      <c r="E2590" s="8" t="s">
        <v>179</v>
      </c>
      <c r="F2590" s="8" t="s">
        <v>179</v>
      </c>
      <c r="G2590" s="8" t="s">
        <v>24</v>
      </c>
      <c r="H2590" s="8" t="s">
        <v>109</v>
      </c>
      <c r="I2590" s="8" t="s">
        <v>54</v>
      </c>
      <c r="N2590" s="10" t="str">
        <f t="shared" si="2"/>
        <v>21-5510(a)(4) - Sexual Exploitation of Child; Commit, attempt, conspire or solicit to commit; promote performance of child less than 14; offender 18 or older</v>
      </c>
      <c r="O2590" s="10" t="str">
        <f t="shared" si="3"/>
        <v>Sexual Exploitation of Child</v>
      </c>
    </row>
    <row r="2591">
      <c r="A2591" s="7" t="s">
        <v>4624</v>
      </c>
      <c r="B2591" s="8" t="s">
        <v>4621</v>
      </c>
      <c r="C2591" s="8">
        <v>5.0</v>
      </c>
      <c r="D2591" s="8">
        <v>7.0</v>
      </c>
      <c r="E2591" s="8">
        <v>7.0</v>
      </c>
      <c r="F2591" s="8">
        <v>8.0</v>
      </c>
      <c r="G2591" s="8" t="s">
        <v>24</v>
      </c>
      <c r="H2591" s="8" t="s">
        <v>109</v>
      </c>
      <c r="I2591" s="8" t="s">
        <v>54</v>
      </c>
      <c r="N2591" s="10" t="str">
        <f t="shared" si="2"/>
        <v>21-5510(a)(1) - Sexual Exploitation of Child; Employ child less than 18, or child offender believes to be less than 18, to engage in sexually explicit conduct</v>
      </c>
      <c r="O2591" s="10" t="str">
        <f t="shared" si="3"/>
        <v>Sexual Exploitation of Child</v>
      </c>
    </row>
    <row r="2592">
      <c r="A2592" s="7" t="s">
        <v>4625</v>
      </c>
      <c r="B2592" s="8" t="s">
        <v>4626</v>
      </c>
      <c r="C2592" s="8">
        <v>5.0</v>
      </c>
      <c r="D2592" s="8">
        <v>7.0</v>
      </c>
      <c r="E2592" s="8">
        <v>7.0</v>
      </c>
      <c r="F2592" s="8">
        <v>8.0</v>
      </c>
      <c r="G2592" s="8" t="s">
        <v>24</v>
      </c>
      <c r="H2592" s="8" t="s">
        <v>109</v>
      </c>
      <c r="I2592" s="8" t="s">
        <v>54</v>
      </c>
      <c r="N2592" s="10" t="str">
        <f t="shared" si="2"/>
        <v>21-5510(a)(3) - Sexual Exploitation of Child; Parent, guardian or one with custody, knowingly permit child less than 18 to engage in sexually explicit conduct</v>
      </c>
      <c r="O2592" s="10" t="str">
        <f t="shared" si="3"/>
        <v>Sexual Exploitation of Child</v>
      </c>
    </row>
    <row r="2593">
      <c r="A2593" s="7" t="s">
        <v>4627</v>
      </c>
      <c r="B2593" s="8" t="s">
        <v>4628</v>
      </c>
      <c r="C2593" s="8">
        <v>5.0</v>
      </c>
      <c r="D2593" s="8">
        <v>7.0</v>
      </c>
      <c r="E2593" s="8">
        <v>7.0</v>
      </c>
      <c r="F2593" s="8">
        <v>8.0</v>
      </c>
      <c r="G2593" s="8" t="s">
        <v>24</v>
      </c>
      <c r="H2593" s="8" t="s">
        <v>109</v>
      </c>
      <c r="I2593" s="8" t="s">
        <v>54</v>
      </c>
      <c r="N2593" s="10" t="str">
        <f t="shared" si="2"/>
        <v>21-5510(a)(2) - Sexual Exploitation of Child; Possess visual medium of child less than 18 engaging in sexually explicit conduct</v>
      </c>
      <c r="O2593" s="10" t="str">
        <f t="shared" si="3"/>
        <v>Sexual Exploitation of Child</v>
      </c>
    </row>
    <row r="2594">
      <c r="A2594" s="7" t="s">
        <v>4629</v>
      </c>
      <c r="B2594" s="8" t="s">
        <v>4623</v>
      </c>
      <c r="C2594" s="8">
        <v>5.0</v>
      </c>
      <c r="D2594" s="8">
        <v>7.0</v>
      </c>
      <c r="E2594" s="8">
        <v>7.0</v>
      </c>
      <c r="F2594" s="8">
        <v>8.0</v>
      </c>
      <c r="G2594" s="8" t="s">
        <v>24</v>
      </c>
      <c r="H2594" s="8" t="s">
        <v>109</v>
      </c>
      <c r="I2594" s="8" t="s">
        <v>54</v>
      </c>
      <c r="N2594" s="10" t="str">
        <f t="shared" si="2"/>
        <v>21-5510(a)(4) - Sexual Exploitation of Child; Promote performance of child less than 18, or child offender believes to be less than 18</v>
      </c>
      <c r="O2594" s="10" t="str">
        <f t="shared" si="3"/>
        <v>Sexual Exploitation of Child</v>
      </c>
    </row>
    <row r="2595">
      <c r="A2595" s="7" t="s">
        <v>4630</v>
      </c>
      <c r="B2595" s="8" t="s">
        <v>4631</v>
      </c>
      <c r="C2595" s="8" t="s">
        <v>19</v>
      </c>
      <c r="D2595" s="8" t="s">
        <v>19</v>
      </c>
      <c r="E2595" s="8" t="s">
        <v>19</v>
      </c>
      <c r="F2595" s="8" t="s">
        <v>20</v>
      </c>
      <c r="G2595" s="8" t="s">
        <v>21</v>
      </c>
      <c r="H2595" s="9"/>
      <c r="I2595" s="9"/>
      <c r="J2595" s="10">
        <f t="shared" ref="J2595:M2595" si="1587">ifs(OR($H2595="R",$I2595="N"),"N/A",OR(C2595="A",C2595="B",C2595="C",C2595="U"),3,TRUE,"FLAG")</f>
        <v>3</v>
      </c>
      <c r="K2595" s="10">
        <f t="shared" si="1587"/>
        <v>3</v>
      </c>
      <c r="L2595" s="10">
        <f t="shared" si="1587"/>
        <v>3</v>
      </c>
      <c r="M2595" s="10" t="str">
        <f t="shared" si="1587"/>
        <v>FLAG</v>
      </c>
      <c r="N2595" s="10" t="str">
        <f t="shared" si="2"/>
        <v>68-2255(b) - Sexually-Oriented Signs - violation of provisions</v>
      </c>
      <c r="O2595" s="10" t="str">
        <f t="shared" si="3"/>
        <v>Sexually-Oriented Signs - violation of provisions</v>
      </c>
    </row>
    <row r="2596">
      <c r="A2596" s="7" t="s">
        <v>4632</v>
      </c>
      <c r="B2596" s="8" t="s">
        <v>4633</v>
      </c>
      <c r="C2596" s="8" t="s">
        <v>27</v>
      </c>
      <c r="D2596" s="8" t="s">
        <v>28</v>
      </c>
      <c r="E2596" s="8" t="s">
        <v>19</v>
      </c>
      <c r="F2596" s="8" t="s">
        <v>20</v>
      </c>
      <c r="G2596" s="8" t="s">
        <v>21</v>
      </c>
      <c r="H2596" s="9"/>
      <c r="I2596" s="9"/>
      <c r="J2596" s="10">
        <f t="shared" ref="J2596:M2596" si="1588">ifs(OR($H2596="R",$I2596="N"),"N/A",OR(C2596="A",C2596="B",C2596="C",C2596="U"),3,TRUE,"FLAG")</f>
        <v>3</v>
      </c>
      <c r="K2596" s="10">
        <f t="shared" si="1588"/>
        <v>3</v>
      </c>
      <c r="L2596" s="10">
        <f t="shared" si="1588"/>
        <v>3</v>
      </c>
      <c r="M2596" s="10" t="str">
        <f t="shared" si="1588"/>
        <v>FLAG</v>
      </c>
      <c r="N2596" s="10" t="str">
        <f t="shared" si="2"/>
        <v>21-5907(a)(1) - Simulating the Legal Process; Distributing any document which simulates, purports to be, or is designed to cause others to believe it to be, a summons, petition, complaint, or other legal process, with the intent to mislead the recipient and cause the recipient to take action in reliance thereon</v>
      </c>
      <c r="O2596" s="10" t="str">
        <f t="shared" si="3"/>
        <v>Simulating the Legal Process</v>
      </c>
    </row>
    <row r="2597">
      <c r="A2597" s="7" t="s">
        <v>4634</v>
      </c>
      <c r="B2597" s="8" t="s">
        <v>4635</v>
      </c>
      <c r="C2597" s="8" t="s">
        <v>27</v>
      </c>
      <c r="D2597" s="8" t="s">
        <v>28</v>
      </c>
      <c r="E2597" s="8" t="s">
        <v>19</v>
      </c>
      <c r="F2597" s="8" t="s">
        <v>20</v>
      </c>
      <c r="G2597" s="8" t="s">
        <v>21</v>
      </c>
      <c r="H2597" s="9"/>
      <c r="I2597" s="9"/>
      <c r="J2597" s="10">
        <f t="shared" ref="J2597:M2597" si="1589">ifs(OR($H2597="R",$I2597="N"),"N/A",OR(C2597="A",C2597="B",C2597="C",C2597="U"),3,TRUE,"FLAG")</f>
        <v>3</v>
      </c>
      <c r="K2597" s="10">
        <f t="shared" si="1589"/>
        <v>3</v>
      </c>
      <c r="L2597" s="10">
        <f t="shared" si="1589"/>
        <v>3</v>
      </c>
      <c r="M2597" s="10" t="str">
        <f t="shared" si="1589"/>
        <v>FLAG</v>
      </c>
      <c r="N2597" s="10" t="str">
        <f t="shared" si="2"/>
        <v>21-5907(a)(2) - Simulating the Legal Process; Print or distribute any such document in K.S.A. 2011 Supp. 21-5907(a)(1), knowing that it shall be so used</v>
      </c>
      <c r="O2597" s="10" t="str">
        <f t="shared" si="3"/>
        <v>Simulating the Legal Process</v>
      </c>
    </row>
    <row r="2598">
      <c r="A2598" s="7" t="s">
        <v>4636</v>
      </c>
      <c r="B2598" s="8" t="s">
        <v>4637</v>
      </c>
      <c r="C2598" s="8" t="s">
        <v>18</v>
      </c>
      <c r="D2598" s="8" t="s">
        <v>18</v>
      </c>
      <c r="E2598" s="8" t="s">
        <v>19</v>
      </c>
      <c r="F2598" s="8" t="s">
        <v>20</v>
      </c>
      <c r="G2598" s="8" t="s">
        <v>21</v>
      </c>
      <c r="H2598" s="9"/>
      <c r="I2598" s="9"/>
      <c r="J2598" s="10">
        <f t="shared" ref="J2598:M2598" si="1590">ifs(OR($H2598="R",$I2598="N"),"N/A",OR(C2598="A",C2598="B",C2598="C",C2598="U"),3,TRUE,"FLAG")</f>
        <v>3</v>
      </c>
      <c r="K2598" s="10">
        <f t="shared" si="1590"/>
        <v>3</v>
      </c>
      <c r="L2598" s="10">
        <f t="shared" si="1590"/>
        <v>3</v>
      </c>
      <c r="M2598" s="10" t="str">
        <f t="shared" si="1590"/>
        <v>FLAG</v>
      </c>
      <c r="N2598" s="10" t="str">
        <f t="shared" si="2"/>
        <v>31-163 - Smoke Detector Act; Failure to place or maintain a smoke detector as provided in Act</v>
      </c>
      <c r="O2598" s="10" t="str">
        <f t="shared" si="3"/>
        <v>Smoke Detector Act</v>
      </c>
    </row>
    <row r="2599">
      <c r="A2599" s="7" t="s">
        <v>4638</v>
      </c>
      <c r="B2599" s="8" t="s">
        <v>4639</v>
      </c>
      <c r="C2599" s="8" t="s">
        <v>28</v>
      </c>
      <c r="D2599" s="8" t="s">
        <v>19</v>
      </c>
      <c r="E2599" s="8" t="s">
        <v>19</v>
      </c>
      <c r="F2599" s="8" t="s">
        <v>20</v>
      </c>
      <c r="G2599" s="8" t="s">
        <v>21</v>
      </c>
      <c r="H2599" s="9"/>
      <c r="I2599" s="9"/>
      <c r="J2599" s="10">
        <f t="shared" ref="J2599:M2599" si="1591">ifs(OR($H2599="R",$I2599="N"),"N/A",OR(C2599="A",C2599="B",C2599="C",C2599="U"),3,TRUE,"FLAG")</f>
        <v>3</v>
      </c>
      <c r="K2599" s="10">
        <f t="shared" si="1591"/>
        <v>3</v>
      </c>
      <c r="L2599" s="10">
        <f t="shared" si="1591"/>
        <v>3</v>
      </c>
      <c r="M2599" s="10" t="str">
        <f t="shared" si="1591"/>
        <v>FLAG</v>
      </c>
      <c r="N2599" s="10" t="str">
        <f t="shared" si="2"/>
        <v>65-6303(a) - Social Workers; Engage in the practice of social work for compensation or hold forth as performing the services of a social worker without such license; Participate in the delivery of social work service without supervision of a person licensed under this act</v>
      </c>
      <c r="O2599" s="10" t="str">
        <f t="shared" si="3"/>
        <v>Social Workers</v>
      </c>
    </row>
    <row r="2600">
      <c r="A2600" s="7" t="s">
        <v>4640</v>
      </c>
      <c r="B2600" s="8" t="s">
        <v>4641</v>
      </c>
      <c r="C2600" s="8" t="s">
        <v>28</v>
      </c>
      <c r="D2600" s="8" t="s">
        <v>19</v>
      </c>
      <c r="E2600" s="8" t="s">
        <v>19</v>
      </c>
      <c r="F2600" s="8" t="s">
        <v>20</v>
      </c>
      <c r="G2600" s="8" t="s">
        <v>21</v>
      </c>
      <c r="H2600" s="9"/>
      <c r="I2600" s="9"/>
      <c r="J2600" s="10">
        <f t="shared" ref="J2600:M2600" si="1592">ifs(OR($H2600="R",$I2600="N"),"N/A",OR(C2600="A",C2600="B",C2600="C",C2600="U"),3,TRUE,"FLAG")</f>
        <v>3</v>
      </c>
      <c r="K2600" s="10">
        <f t="shared" si="1592"/>
        <v>3</v>
      </c>
      <c r="L2600" s="10">
        <f t="shared" si="1592"/>
        <v>3</v>
      </c>
      <c r="M2600" s="10" t="str">
        <f t="shared" si="1592"/>
        <v>FLAG</v>
      </c>
      <c r="N2600" s="10" t="str">
        <f t="shared" si="2"/>
        <v>65-6310(b) - Social Workers; Knowingly make a false statement in connection with an application under this act</v>
      </c>
      <c r="O2600" s="10" t="str">
        <f t="shared" si="3"/>
        <v>Social Workers</v>
      </c>
    </row>
    <row r="2601">
      <c r="A2601" s="7" t="s">
        <v>4642</v>
      </c>
      <c r="B2601" s="8" t="s">
        <v>4643</v>
      </c>
      <c r="C2601" s="8" t="s">
        <v>28</v>
      </c>
      <c r="D2601" s="8" t="s">
        <v>19</v>
      </c>
      <c r="E2601" s="8" t="s">
        <v>19</v>
      </c>
      <c r="F2601" s="8" t="s">
        <v>20</v>
      </c>
      <c r="G2601" s="8" t="s">
        <v>21</v>
      </c>
      <c r="H2601" s="9"/>
      <c r="I2601" s="9"/>
      <c r="J2601" s="10">
        <f t="shared" ref="J2601:M2601" si="1593">ifs(OR($H2601="R",$I2601="N"),"N/A",OR(C2601="A",C2601="B",C2601="C",C2601="U"),3,TRUE,"FLAG")</f>
        <v>3</v>
      </c>
      <c r="K2601" s="10">
        <f t="shared" si="1593"/>
        <v>3</v>
      </c>
      <c r="L2601" s="10">
        <f t="shared" si="1593"/>
        <v>3</v>
      </c>
      <c r="M2601" s="10" t="str">
        <f t="shared" si="1593"/>
        <v>FLAG</v>
      </c>
      <c r="N2601" s="10" t="str">
        <f t="shared" si="2"/>
        <v>65-6310(c) - Social Workers; Knowingly making a false statement on any form promulgated by the board</v>
      </c>
      <c r="O2601" s="10" t="str">
        <f t="shared" si="3"/>
        <v>Social Workers</v>
      </c>
    </row>
    <row r="2602">
      <c r="A2602" s="7" t="s">
        <v>4644</v>
      </c>
      <c r="B2602" s="8" t="s">
        <v>4645</v>
      </c>
      <c r="C2602" s="8" t="s">
        <v>28</v>
      </c>
      <c r="D2602" s="8" t="s">
        <v>19</v>
      </c>
      <c r="E2602" s="8" t="s">
        <v>19</v>
      </c>
      <c r="F2602" s="8" t="s">
        <v>20</v>
      </c>
      <c r="G2602" s="8" t="s">
        <v>21</v>
      </c>
      <c r="H2602" s="9"/>
      <c r="I2602" s="9"/>
      <c r="J2602" s="10">
        <f t="shared" ref="J2602:M2602" si="1594">ifs(OR($H2602="R",$I2602="N"),"N/A",OR(C2602="A",C2602="B",C2602="C",C2602="U"),3,TRUE,"FLAG")</f>
        <v>3</v>
      </c>
      <c r="K2602" s="10">
        <f t="shared" si="1594"/>
        <v>3</v>
      </c>
      <c r="L2602" s="10">
        <f t="shared" si="1594"/>
        <v>3</v>
      </c>
      <c r="M2602" s="10" t="str">
        <f t="shared" si="1594"/>
        <v>FLAG</v>
      </c>
      <c r="N2602" s="10" t="str">
        <f t="shared" si="2"/>
        <v>65-6310(a) - Social Workers; Obtain or attempt to obtain a license or certificate or renewal thereof by bribery or fraudulent representation</v>
      </c>
      <c r="O2602" s="10" t="str">
        <f t="shared" si="3"/>
        <v>Social Workers</v>
      </c>
    </row>
    <row r="2603">
      <c r="A2603" s="7" t="s">
        <v>4646</v>
      </c>
      <c r="B2603" s="8" t="s">
        <v>4647</v>
      </c>
      <c r="C2603" s="8" t="s">
        <v>19</v>
      </c>
      <c r="D2603" s="8" t="s">
        <v>19</v>
      </c>
      <c r="E2603" s="8" t="s">
        <v>19</v>
      </c>
      <c r="F2603" s="8" t="s">
        <v>20</v>
      </c>
      <c r="G2603" s="8" t="s">
        <v>21</v>
      </c>
      <c r="H2603" s="9"/>
      <c r="I2603" s="9"/>
      <c r="J2603" s="10">
        <f t="shared" ref="J2603:M2603" si="1595">ifs(OR($H2603="R",$I2603="N"),"N/A",OR(C2603="A",C2603="B",C2603="C",C2603="U"),3,TRUE,"FLAG")</f>
        <v>3</v>
      </c>
      <c r="K2603" s="10">
        <f t="shared" si="1595"/>
        <v>3</v>
      </c>
      <c r="L2603" s="10">
        <f t="shared" si="1595"/>
        <v>3</v>
      </c>
      <c r="M2603" s="10" t="str">
        <f t="shared" si="1595"/>
        <v>FLAG</v>
      </c>
      <c r="N2603" s="10" t="str">
        <f t="shared" si="2"/>
        <v>65-6307(a) - Social Workers; Use of title by person not licensed under this act</v>
      </c>
      <c r="O2603" s="10" t="str">
        <f t="shared" si="3"/>
        <v>Social Workers</v>
      </c>
    </row>
    <row r="2604">
      <c r="A2604" s="7" t="s">
        <v>4648</v>
      </c>
      <c r="B2604" s="8" t="s">
        <v>4649</v>
      </c>
      <c r="C2604" s="8" t="s">
        <v>28</v>
      </c>
      <c r="D2604" s="8" t="s">
        <v>19</v>
      </c>
      <c r="E2604" s="8" t="s">
        <v>19</v>
      </c>
      <c r="F2604" s="8" t="s">
        <v>20</v>
      </c>
      <c r="G2604" s="8" t="s">
        <v>21</v>
      </c>
      <c r="H2604" s="9"/>
      <c r="I2604" s="9"/>
      <c r="J2604" s="10">
        <f t="shared" ref="J2604:M2604" si="1596">ifs(OR($H2604="R",$I2604="N"),"N/A",OR(C2604="A",C2604="B",C2604="C",C2604="U"),3,TRUE,"FLAG")</f>
        <v>3</v>
      </c>
      <c r="K2604" s="10">
        <f t="shared" si="1596"/>
        <v>3</v>
      </c>
      <c r="L2604" s="10">
        <f t="shared" si="1596"/>
        <v>3</v>
      </c>
      <c r="M2604" s="10" t="str">
        <f t="shared" si="1596"/>
        <v>FLAG</v>
      </c>
      <c r="N2604" s="10" t="str">
        <f t="shared" si="2"/>
        <v>65-6308(a) - Social Workers; Violation of limitations on private practice of social work</v>
      </c>
      <c r="O2604" s="10" t="str">
        <f t="shared" si="3"/>
        <v>Social Workers</v>
      </c>
    </row>
    <row r="2605">
      <c r="A2605" s="7" t="s">
        <v>4650</v>
      </c>
      <c r="B2605" s="8" t="s">
        <v>4651</v>
      </c>
      <c r="C2605" s="8" t="s">
        <v>19</v>
      </c>
      <c r="D2605" s="8" t="s">
        <v>19</v>
      </c>
      <c r="E2605" s="8" t="s">
        <v>19</v>
      </c>
      <c r="F2605" s="8" t="s">
        <v>20</v>
      </c>
      <c r="G2605" s="8" t="s">
        <v>21</v>
      </c>
      <c r="H2605" s="9"/>
      <c r="I2605" s="9"/>
      <c r="J2605" s="10">
        <f t="shared" ref="J2605:M2605" si="1597">ifs(OR($H2605="R",$I2605="N"),"N/A",OR(C2605="A",C2605="B",C2605="C",C2605="U"),3,TRUE,"FLAG")</f>
        <v>3</v>
      </c>
      <c r="K2605" s="10">
        <f t="shared" si="1597"/>
        <v>3</v>
      </c>
      <c r="L2605" s="10">
        <f t="shared" si="1597"/>
        <v>3</v>
      </c>
      <c r="M2605" s="10" t="str">
        <f t="shared" si="1597"/>
        <v>FLAG</v>
      </c>
      <c r="N2605" s="10" t="str">
        <f t="shared" si="2"/>
        <v>2-2808(d) - Soil Amendment Act; Distribute a soil amendment that is adulterated</v>
      </c>
      <c r="O2605" s="10" t="str">
        <f t="shared" si="3"/>
        <v>Soil Amendment Act</v>
      </c>
    </row>
    <row r="2606">
      <c r="A2606" s="7" t="s">
        <v>4652</v>
      </c>
      <c r="B2606" s="8" t="s">
        <v>4653</v>
      </c>
      <c r="C2606" s="8" t="s">
        <v>19</v>
      </c>
      <c r="D2606" s="8" t="s">
        <v>19</v>
      </c>
      <c r="E2606" s="8" t="s">
        <v>19</v>
      </c>
      <c r="F2606" s="8" t="s">
        <v>20</v>
      </c>
      <c r="G2606" s="8" t="s">
        <v>21</v>
      </c>
      <c r="H2606" s="9"/>
      <c r="I2606" s="9"/>
      <c r="J2606" s="10">
        <f t="shared" ref="J2606:M2606" si="1598">ifs(OR($H2606="R",$I2606="N"),"N/A",OR(C2606="A",C2606="B",C2606="C",C2606="U"),3,TRUE,"FLAG")</f>
        <v>3</v>
      </c>
      <c r="K2606" s="10">
        <f t="shared" si="1598"/>
        <v>3</v>
      </c>
      <c r="L2606" s="10">
        <f t="shared" si="1598"/>
        <v>3</v>
      </c>
      <c r="M2606" s="10" t="str">
        <f t="shared" si="1598"/>
        <v>FLAG</v>
      </c>
      <c r="N2606" s="10" t="str">
        <f t="shared" si="2"/>
        <v>2-2808(c) - Soil Amendment Act; Distribute a soil amendment that is misbranded</v>
      </c>
      <c r="O2606" s="10" t="str">
        <f t="shared" si="3"/>
        <v>Soil Amendment Act</v>
      </c>
    </row>
    <row r="2607">
      <c r="A2607" s="7" t="s">
        <v>4654</v>
      </c>
      <c r="B2607" s="8" t="s">
        <v>4655</v>
      </c>
      <c r="C2607" s="8" t="s">
        <v>19</v>
      </c>
      <c r="D2607" s="8" t="s">
        <v>19</v>
      </c>
      <c r="E2607" s="8" t="s">
        <v>19</v>
      </c>
      <c r="F2607" s="8" t="s">
        <v>20</v>
      </c>
      <c r="G2607" s="8" t="s">
        <v>21</v>
      </c>
      <c r="H2607" s="9"/>
      <c r="I2607" s="9"/>
      <c r="J2607" s="10">
        <f t="shared" ref="J2607:M2607" si="1599">ifs(OR($H2607="R",$I2607="N"),"N/A",OR(C2607="A",C2607="B",C2607="C",C2607="U"),3,TRUE,"FLAG")</f>
        <v>3</v>
      </c>
      <c r="K2607" s="10">
        <f t="shared" si="1599"/>
        <v>3</v>
      </c>
      <c r="L2607" s="10">
        <f t="shared" si="1599"/>
        <v>3</v>
      </c>
      <c r="M2607" s="10" t="str">
        <f t="shared" si="1599"/>
        <v>FLAG</v>
      </c>
      <c r="N2607" s="10" t="str">
        <f t="shared" si="2"/>
        <v>2-2808(b) - Soil Amendment Act; Distribute a soil amendment that is not labeled</v>
      </c>
      <c r="O2607" s="10" t="str">
        <f t="shared" si="3"/>
        <v>Soil Amendment Act</v>
      </c>
    </row>
    <row r="2608">
      <c r="A2608" s="7" t="s">
        <v>4656</v>
      </c>
      <c r="B2608" s="8" t="s">
        <v>4657</v>
      </c>
      <c r="C2608" s="8" t="s">
        <v>19</v>
      </c>
      <c r="D2608" s="8" t="s">
        <v>19</v>
      </c>
      <c r="E2608" s="8" t="s">
        <v>19</v>
      </c>
      <c r="F2608" s="8" t="s">
        <v>20</v>
      </c>
      <c r="G2608" s="8" t="s">
        <v>21</v>
      </c>
      <c r="H2608" s="9"/>
      <c r="I2608" s="9"/>
      <c r="J2608" s="10">
        <f t="shared" ref="J2608:M2608" si="1600">ifs(OR($H2608="R",$I2608="N"),"N/A",OR(C2608="A",C2608="B",C2608="C",C2608="U"),3,TRUE,"FLAG")</f>
        <v>3</v>
      </c>
      <c r="K2608" s="10">
        <f t="shared" si="1600"/>
        <v>3</v>
      </c>
      <c r="L2608" s="10">
        <f t="shared" si="1600"/>
        <v>3</v>
      </c>
      <c r="M2608" s="10" t="str">
        <f t="shared" si="1600"/>
        <v>FLAG</v>
      </c>
      <c r="N2608" s="10" t="str">
        <f t="shared" si="2"/>
        <v>2-2808(a) - Soil Amendment Act; Distribute a soil amendment that is not registered with the secretary</v>
      </c>
      <c r="O2608" s="10" t="str">
        <f t="shared" si="3"/>
        <v>Soil Amendment Act</v>
      </c>
    </row>
    <row r="2609">
      <c r="A2609" s="7" t="s">
        <v>4658</v>
      </c>
      <c r="B2609" s="8" t="s">
        <v>4659</v>
      </c>
      <c r="C2609" s="8" t="s">
        <v>19</v>
      </c>
      <c r="D2609" s="8" t="s">
        <v>19</v>
      </c>
      <c r="E2609" s="8" t="s">
        <v>19</v>
      </c>
      <c r="F2609" s="8" t="s">
        <v>20</v>
      </c>
      <c r="G2609" s="8" t="s">
        <v>21</v>
      </c>
      <c r="H2609" s="9"/>
      <c r="I2609" s="9"/>
      <c r="J2609" s="10">
        <f t="shared" ref="J2609:M2609" si="1601">ifs(OR($H2609="R",$I2609="N"),"N/A",OR(C2609="A",C2609="B",C2609="C",C2609="U"),3,TRUE,"FLAG")</f>
        <v>3</v>
      </c>
      <c r="K2609" s="10">
        <f t="shared" si="1601"/>
        <v>3</v>
      </c>
      <c r="L2609" s="10">
        <f t="shared" si="1601"/>
        <v>3</v>
      </c>
      <c r="M2609" s="10" t="str">
        <f t="shared" si="1601"/>
        <v>FLAG</v>
      </c>
      <c r="N2609" s="10" t="str">
        <f t="shared" si="2"/>
        <v>2-2808(e) - Soil Amendment Act; Fail to comply with a stop sale, use or removal order</v>
      </c>
      <c r="O2609" s="10" t="str">
        <f t="shared" si="3"/>
        <v>Soil Amendment Act</v>
      </c>
    </row>
    <row r="2610">
      <c r="A2610" s="7" t="s">
        <v>4660</v>
      </c>
      <c r="B2610" s="8" t="s">
        <v>4661</v>
      </c>
      <c r="C2610" s="8" t="s">
        <v>18</v>
      </c>
      <c r="D2610" s="8" t="s">
        <v>18</v>
      </c>
      <c r="E2610" s="8" t="s">
        <v>19</v>
      </c>
      <c r="F2610" s="8" t="s">
        <v>20</v>
      </c>
      <c r="G2610" s="8" t="s">
        <v>21</v>
      </c>
      <c r="H2610" s="9"/>
      <c r="I2610" s="9"/>
      <c r="J2610" s="10">
        <f t="shared" ref="J2610:M2610" si="1602">ifs(OR($H2610="R",$I2610="N"),"N/A",OR(C2610="A",C2610="B",C2610="C",C2610="U"),3,TRUE,"FLAG")</f>
        <v>3</v>
      </c>
      <c r="K2610" s="10">
        <f t="shared" si="1602"/>
        <v>3</v>
      </c>
      <c r="L2610" s="10">
        <f t="shared" si="1602"/>
        <v>3</v>
      </c>
      <c r="M2610" s="10" t="str">
        <f t="shared" si="1602"/>
        <v>FLAG</v>
      </c>
      <c r="N2610" s="10" t="str">
        <f t="shared" si="2"/>
        <v>73-202 - Soldiers, Sailors &amp; Patriotic Emblems; Officers; knowing and willful failure to obey provisions of this act</v>
      </c>
      <c r="O2610" s="10" t="str">
        <f t="shared" si="3"/>
        <v>Soldiers, Sailors &amp; Patriotic Emblems</v>
      </c>
    </row>
    <row r="2611">
      <c r="A2611" s="7" t="s">
        <v>4662</v>
      </c>
      <c r="B2611" s="8" t="s">
        <v>4663</v>
      </c>
      <c r="C2611" s="8" t="s">
        <v>18</v>
      </c>
      <c r="D2611" s="8" t="s">
        <v>18</v>
      </c>
      <c r="E2611" s="8" t="s">
        <v>19</v>
      </c>
      <c r="F2611" s="8" t="s">
        <v>20</v>
      </c>
      <c r="G2611" s="8" t="s">
        <v>21</v>
      </c>
      <c r="H2611" s="9"/>
      <c r="I2611" s="9"/>
      <c r="J2611" s="10">
        <f t="shared" ref="J2611:M2611" si="1603">ifs(OR($H2611="R",$I2611="N"),"N/A",OR(C2611="A",C2611="B",C2611="C",C2611="U"),3,TRUE,"FLAG")</f>
        <v>3</v>
      </c>
      <c r="K2611" s="10">
        <f t="shared" si="1603"/>
        <v>3</v>
      </c>
      <c r="L2611" s="10">
        <f t="shared" si="1603"/>
        <v>3</v>
      </c>
      <c r="M2611" s="10" t="str">
        <f t="shared" si="1603"/>
        <v>FLAG</v>
      </c>
      <c r="N2611" s="10" t="str">
        <f t="shared" si="2"/>
        <v>73-204 - Soldiers, Sailors &amp; Patriotic Emblems; Veterans' Preference; knowing and willful violation of act</v>
      </c>
      <c r="O2611" s="10" t="str">
        <f t="shared" si="3"/>
        <v>Soldiers, Sailors &amp; Patriotic Emblems</v>
      </c>
    </row>
    <row r="2612">
      <c r="A2612" s="7" t="s">
        <v>4664</v>
      </c>
      <c r="B2612" s="8" t="s">
        <v>4665</v>
      </c>
      <c r="C2612" s="8" t="s">
        <v>18</v>
      </c>
      <c r="D2612" s="8" t="s">
        <v>18</v>
      </c>
      <c r="E2612" s="8" t="s">
        <v>19</v>
      </c>
      <c r="F2612" s="8" t="s">
        <v>20</v>
      </c>
      <c r="G2612" s="8" t="s">
        <v>21</v>
      </c>
      <c r="H2612" s="9"/>
      <c r="I2612" s="9"/>
      <c r="J2612" s="10">
        <f t="shared" ref="J2612:M2612" si="1604">ifs(OR($H2612="R",$I2612="N"),"N/A",OR(C2612="A",C2612="B",C2612="C",C2612="U"),3,TRUE,"FLAG")</f>
        <v>3</v>
      </c>
      <c r="K2612" s="10">
        <f t="shared" si="1604"/>
        <v>3</v>
      </c>
      <c r="L2612" s="10">
        <f t="shared" si="1604"/>
        <v>3</v>
      </c>
      <c r="M2612" s="10" t="str">
        <f t="shared" si="1604"/>
        <v>FLAG</v>
      </c>
      <c r="N2612" s="10" t="str">
        <f t="shared" si="2"/>
        <v>73-710 - Soldiers, Sailors &amp; Patriotic Emblems; Violation of K.S.A. 73-705 through 73-710</v>
      </c>
      <c r="O2612" s="10" t="str">
        <f t="shared" si="3"/>
        <v>Soldiers, Sailors &amp; Patriotic Emblems</v>
      </c>
    </row>
    <row r="2613">
      <c r="A2613" s="7" t="s">
        <v>4666</v>
      </c>
      <c r="B2613" s="8" t="s">
        <v>4667</v>
      </c>
      <c r="C2613" s="8" t="s">
        <v>27</v>
      </c>
      <c r="D2613" s="8" t="s">
        <v>28</v>
      </c>
      <c r="E2613" s="8" t="s">
        <v>19</v>
      </c>
      <c r="F2613" s="8" t="s">
        <v>20</v>
      </c>
      <c r="G2613" s="8" t="s">
        <v>21</v>
      </c>
      <c r="H2613" s="9"/>
      <c r="I2613" s="9"/>
      <c r="J2613" s="10">
        <f t="shared" ref="J2613:M2613" si="1605">ifs(OR($H2613="R",$I2613="N"),"N/A",OR(C2613="A",C2613="B",C2613="C",C2613="U"),3,TRUE,"FLAG")</f>
        <v>3</v>
      </c>
      <c r="K2613" s="10">
        <f t="shared" si="1605"/>
        <v>3</v>
      </c>
      <c r="L2613" s="10">
        <f t="shared" si="1605"/>
        <v>3</v>
      </c>
      <c r="M2613" s="10" t="str">
        <f t="shared" si="1605"/>
        <v>FLAG</v>
      </c>
      <c r="N2613" s="10" t="str">
        <f t="shared" si="2"/>
        <v>65-3441(a)(10) - Solid &amp; Hazardous Wastes; Add, mix or blend any hazardous waste with fuel oil or any other fuel intended for use by residential consumers or sell such blended fuel to a residential consumer</v>
      </c>
      <c r="O2613" s="10" t="str">
        <f t="shared" si="3"/>
        <v>Solid &amp; Hazardous Wastes</v>
      </c>
    </row>
    <row r="2614">
      <c r="A2614" s="7" t="s">
        <v>4668</v>
      </c>
      <c r="B2614" s="8" t="s">
        <v>4669</v>
      </c>
      <c r="C2614" s="8" t="s">
        <v>27</v>
      </c>
      <c r="D2614" s="8" t="s">
        <v>28</v>
      </c>
      <c r="E2614" s="8" t="s">
        <v>19</v>
      </c>
      <c r="F2614" s="8" t="s">
        <v>20</v>
      </c>
      <c r="G2614" s="8" t="s">
        <v>21</v>
      </c>
      <c r="H2614" s="9"/>
      <c r="I2614" s="9"/>
      <c r="J2614" s="10">
        <f t="shared" ref="J2614:M2614" si="1606">ifs(OR($H2614="R",$I2614="N"),"N/A",OR(C2614="A",C2614="B",C2614="C",C2614="U"),3,TRUE,"FLAG")</f>
        <v>3</v>
      </c>
      <c r="K2614" s="10">
        <f t="shared" si="1606"/>
        <v>3</v>
      </c>
      <c r="L2614" s="10">
        <f t="shared" si="1606"/>
        <v>3</v>
      </c>
      <c r="M2614" s="10" t="str">
        <f t="shared" si="1606"/>
        <v>FLAG</v>
      </c>
      <c r="N2614" s="10" t="str">
        <f t="shared" si="2"/>
        <v>65-3409(a)(4) - Solid &amp; Hazardous Wastes; Conduct any solid waste burning operations in violation of the provisions of the Kansas air quality act</v>
      </c>
      <c r="O2614" s="10" t="str">
        <f t="shared" si="3"/>
        <v>Solid &amp; Hazardous Wastes</v>
      </c>
    </row>
    <row r="2615">
      <c r="A2615" s="7" t="s">
        <v>4670</v>
      </c>
      <c r="B2615" s="8" t="s">
        <v>4671</v>
      </c>
      <c r="C2615" s="8" t="s">
        <v>27</v>
      </c>
      <c r="D2615" s="8" t="s">
        <v>28</v>
      </c>
      <c r="E2615" s="8" t="s">
        <v>19</v>
      </c>
      <c r="F2615" s="8" t="s">
        <v>20</v>
      </c>
      <c r="G2615" s="8" t="s">
        <v>21</v>
      </c>
      <c r="H2615" s="9"/>
      <c r="I2615" s="9"/>
      <c r="J2615" s="10">
        <f t="shared" ref="J2615:M2615" si="1607">ifs(OR($H2615="R",$I2615="N"),"N/A",OR(C2615="A",C2615="B",C2615="C",C2615="U"),3,TRUE,"FLAG")</f>
        <v>3</v>
      </c>
      <c r="K2615" s="10">
        <f t="shared" si="1607"/>
        <v>3</v>
      </c>
      <c r="L2615" s="10">
        <f t="shared" si="1607"/>
        <v>3</v>
      </c>
      <c r="M2615" s="10" t="str">
        <f t="shared" si="1607"/>
        <v>FLAG</v>
      </c>
      <c r="N2615" s="10" t="str">
        <f t="shared" si="2"/>
        <v>65-3441(a)(2) - Solid &amp; Hazardous Wastes; Construct, modify or operate a hazardous waste facility without a permit or other required written approval</v>
      </c>
      <c r="O2615" s="10" t="str">
        <f t="shared" si="3"/>
        <v>Solid &amp; Hazardous Wastes</v>
      </c>
    </row>
    <row r="2616">
      <c r="A2616" s="7" t="s">
        <v>4672</v>
      </c>
      <c r="B2616" s="8" t="s">
        <v>4673</v>
      </c>
      <c r="C2616" s="8" t="s">
        <v>27</v>
      </c>
      <c r="D2616" s="8" t="s">
        <v>28</v>
      </c>
      <c r="E2616" s="8" t="s">
        <v>19</v>
      </c>
      <c r="F2616" s="8" t="s">
        <v>20</v>
      </c>
      <c r="G2616" s="8" t="s">
        <v>21</v>
      </c>
      <c r="H2616" s="9"/>
      <c r="I2616" s="9"/>
      <c r="J2616" s="10">
        <f t="shared" ref="J2616:M2616" si="1608">ifs(OR($H2616="R",$I2616="N"),"N/A",OR(C2616="A",C2616="B",C2616="C",C2616="U"),3,TRUE,"FLAG")</f>
        <v>3</v>
      </c>
      <c r="K2616" s="10">
        <f t="shared" si="1608"/>
        <v>3</v>
      </c>
      <c r="L2616" s="10">
        <f t="shared" si="1608"/>
        <v>3</v>
      </c>
      <c r="M2616" s="10" t="str">
        <f t="shared" si="1608"/>
        <v>FLAG</v>
      </c>
      <c r="N2616" s="10" t="str">
        <f t="shared" si="2"/>
        <v>65-3441(a)(7) - Solid &amp; Hazardous Wastes; Destroy, alter or conceal any record required to be maintained under this act</v>
      </c>
      <c r="O2616" s="10" t="str">
        <f t="shared" si="3"/>
        <v>Solid &amp; Hazardous Wastes</v>
      </c>
    </row>
    <row r="2617">
      <c r="A2617" s="7" t="s">
        <v>4674</v>
      </c>
      <c r="B2617" s="8" t="s">
        <v>4675</v>
      </c>
      <c r="C2617" s="8" t="s">
        <v>27</v>
      </c>
      <c r="D2617" s="8" t="s">
        <v>28</v>
      </c>
      <c r="E2617" s="8" t="s">
        <v>19</v>
      </c>
      <c r="F2617" s="8" t="s">
        <v>20</v>
      </c>
      <c r="G2617" s="8" t="s">
        <v>21</v>
      </c>
      <c r="H2617" s="9"/>
      <c r="I2617" s="9"/>
      <c r="J2617" s="10">
        <f t="shared" ref="J2617:M2617" si="1609">ifs(OR($H2617="R",$I2617="N"),"N/A",OR(C2617="A",C2617="B",C2617="C",C2617="U"),3,TRUE,"FLAG")</f>
        <v>3</v>
      </c>
      <c r="K2617" s="10">
        <f t="shared" si="1609"/>
        <v>3</v>
      </c>
      <c r="L2617" s="10">
        <f t="shared" si="1609"/>
        <v>3</v>
      </c>
      <c r="M2617" s="10" t="str">
        <f t="shared" si="1609"/>
        <v>FLAG</v>
      </c>
      <c r="N2617" s="10" t="str">
        <f t="shared" si="2"/>
        <v>65-3441(a)(1) - Solid &amp; Hazardous Wastes; Dump or deposit, or permit such, any hazardous waste regulated by this act into any unauthorized facility</v>
      </c>
      <c r="O2617" s="10" t="str">
        <f t="shared" si="3"/>
        <v>Solid &amp; Hazardous Wastes</v>
      </c>
    </row>
    <row r="2618">
      <c r="A2618" s="7" t="s">
        <v>4676</v>
      </c>
      <c r="B2618" s="8" t="s">
        <v>4677</v>
      </c>
      <c r="C2618" s="8" t="s">
        <v>27</v>
      </c>
      <c r="D2618" s="8" t="s">
        <v>28</v>
      </c>
      <c r="E2618" s="8" t="s">
        <v>19</v>
      </c>
      <c r="F2618" s="8" t="s">
        <v>20</v>
      </c>
      <c r="G2618" s="8" t="s">
        <v>21</v>
      </c>
      <c r="H2618" s="9"/>
      <c r="I2618" s="9"/>
      <c r="J2618" s="10">
        <f t="shared" ref="J2618:M2618" si="1610">ifs(OR($H2618="R",$I2618="N"),"N/A",OR(C2618="A",C2618="B",C2618="C",C2618="U"),3,TRUE,"FLAG")</f>
        <v>3</v>
      </c>
      <c r="K2618" s="10">
        <f t="shared" si="1610"/>
        <v>3</v>
      </c>
      <c r="L2618" s="10">
        <f t="shared" si="1610"/>
        <v>3</v>
      </c>
      <c r="M2618" s="10" t="str">
        <f t="shared" si="1610"/>
        <v>FLAG</v>
      </c>
      <c r="N2618" s="10" t="str">
        <f t="shared" si="2"/>
        <v>65-3441(a)(8) - Solid &amp; Hazardous Wastes; Failure to designate on a manifest a facility authorized to operate under the federal hazardous waste program or under an approved state hazardous waste program</v>
      </c>
      <c r="O2618" s="10" t="str">
        <f t="shared" si="3"/>
        <v>Solid &amp; Hazardous Wastes</v>
      </c>
    </row>
    <row r="2619">
      <c r="A2619" s="7" t="s">
        <v>4678</v>
      </c>
      <c r="B2619" s="8" t="s">
        <v>4667</v>
      </c>
      <c r="C2619" s="8">
        <v>6.0</v>
      </c>
      <c r="D2619" s="8">
        <v>8.0</v>
      </c>
      <c r="E2619" s="8">
        <v>8.0</v>
      </c>
      <c r="F2619" s="8">
        <v>9.0</v>
      </c>
      <c r="G2619" s="8" t="s">
        <v>21</v>
      </c>
      <c r="H2619" s="9"/>
      <c r="I2619" s="9"/>
      <c r="N2619" s="10" t="str">
        <f t="shared" si="2"/>
        <v>65-3441(a)(10) - Solid &amp; Hazardous Wastes; Knowingly add, mix or blend any hazardous waste with fuel oil or any other fuel intended for use by residential consumers or sell such blended fuel to a residential consumer</v>
      </c>
      <c r="O2619" s="10" t="str">
        <f t="shared" si="3"/>
        <v>Solid &amp; Hazardous Wastes</v>
      </c>
    </row>
    <row r="2620">
      <c r="A2620" s="7" t="s">
        <v>4679</v>
      </c>
      <c r="B2620" s="8" t="s">
        <v>4671</v>
      </c>
      <c r="C2620" s="8">
        <v>6.0</v>
      </c>
      <c r="D2620" s="8">
        <v>8.0</v>
      </c>
      <c r="E2620" s="8">
        <v>8.0</v>
      </c>
      <c r="F2620" s="8">
        <v>9.0</v>
      </c>
      <c r="G2620" s="8" t="s">
        <v>21</v>
      </c>
      <c r="H2620" s="9"/>
      <c r="I2620" s="9"/>
      <c r="N2620" s="10" t="str">
        <f t="shared" si="2"/>
        <v>65-3441(a)(2) - Solid &amp; Hazardous Wastes; Knowingly construct, modify or operate a hazardous waste facility without a permit or other required written approval</v>
      </c>
      <c r="O2620" s="10" t="str">
        <f t="shared" si="3"/>
        <v>Solid &amp; Hazardous Wastes</v>
      </c>
    </row>
    <row r="2621">
      <c r="A2621" s="7" t="s">
        <v>4680</v>
      </c>
      <c r="B2621" s="8" t="s">
        <v>4673</v>
      </c>
      <c r="C2621" s="8">
        <v>6.0</v>
      </c>
      <c r="D2621" s="8">
        <v>8.0</v>
      </c>
      <c r="E2621" s="8">
        <v>8.0</v>
      </c>
      <c r="F2621" s="8">
        <v>9.0</v>
      </c>
      <c r="G2621" s="8" t="s">
        <v>21</v>
      </c>
      <c r="H2621" s="9"/>
      <c r="I2621" s="9"/>
      <c r="N2621" s="10" t="str">
        <f t="shared" si="2"/>
        <v>65-3441(a)(7) - Solid &amp; Hazardous Wastes; Knowingly destroy, alter or conceal any record required to be maintained under this act</v>
      </c>
      <c r="O2621" s="10" t="str">
        <f t="shared" si="3"/>
        <v>Solid &amp; Hazardous Wastes</v>
      </c>
    </row>
    <row r="2622">
      <c r="A2622" s="7" t="s">
        <v>4681</v>
      </c>
      <c r="B2622" s="8" t="s">
        <v>4675</v>
      </c>
      <c r="C2622" s="8">
        <v>6.0</v>
      </c>
      <c r="D2622" s="8">
        <v>8.0</v>
      </c>
      <c r="E2622" s="8">
        <v>8.0</v>
      </c>
      <c r="F2622" s="8">
        <v>9.0</v>
      </c>
      <c r="G2622" s="8" t="s">
        <v>21</v>
      </c>
      <c r="H2622" s="9"/>
      <c r="I2622" s="9"/>
      <c r="N2622" s="10" t="str">
        <f t="shared" si="2"/>
        <v>65-3441(a)(1) - Solid &amp; Hazardous Wastes; Knowingly dump or deposit, or permit such, any hazardous waste regulated by this act into any unauthorized facility</v>
      </c>
      <c r="O2622" s="10" t="str">
        <f t="shared" si="3"/>
        <v>Solid &amp; Hazardous Wastes</v>
      </c>
    </row>
    <row r="2623">
      <c r="A2623" s="7" t="s">
        <v>4682</v>
      </c>
      <c r="B2623" s="8" t="s">
        <v>4677</v>
      </c>
      <c r="C2623" s="8">
        <v>6.0</v>
      </c>
      <c r="D2623" s="8">
        <v>8.0</v>
      </c>
      <c r="E2623" s="8">
        <v>8.0</v>
      </c>
      <c r="F2623" s="8">
        <v>9.0</v>
      </c>
      <c r="G2623" s="8" t="s">
        <v>21</v>
      </c>
      <c r="H2623" s="9"/>
      <c r="I2623" s="9"/>
      <c r="N2623" s="10" t="str">
        <f t="shared" si="2"/>
        <v>65-3441(a)(8) - Solid &amp; Hazardous Wastes; Knowingly fail to designate on a manifest, a facility authorized to operate under the federal hazardous waste program or under an approved state hazardous waste program</v>
      </c>
      <c r="O2623" s="10" t="str">
        <f t="shared" si="3"/>
        <v>Solid &amp; Hazardous Wastes</v>
      </c>
    </row>
    <row r="2624">
      <c r="A2624" s="7" t="s">
        <v>4683</v>
      </c>
      <c r="B2624" s="8" t="s">
        <v>4684</v>
      </c>
      <c r="C2624" s="8">
        <v>6.0</v>
      </c>
      <c r="D2624" s="8">
        <v>8.0</v>
      </c>
      <c r="E2624" s="8">
        <v>8.0</v>
      </c>
      <c r="F2624" s="8">
        <v>9.0</v>
      </c>
      <c r="G2624" s="8" t="s">
        <v>21</v>
      </c>
      <c r="H2624" s="9"/>
      <c r="I2624" s="9"/>
      <c r="N2624" s="10" t="str">
        <f t="shared" si="2"/>
        <v>65-3441(a)(6) - Solid &amp; Hazardous Wastes; Knowingly make false material statement or representation in any application, label, manifest, record, report, permit or other document filed, maintained or used in compliance with this act</v>
      </c>
      <c r="O2624" s="10" t="str">
        <f t="shared" si="3"/>
        <v>Solid &amp; Hazardous Wastes</v>
      </c>
    </row>
    <row r="2625">
      <c r="A2625" s="7" t="s">
        <v>4685</v>
      </c>
      <c r="B2625" s="8" t="s">
        <v>4686</v>
      </c>
      <c r="C2625" s="8">
        <v>6.0</v>
      </c>
      <c r="D2625" s="8">
        <v>8.0</v>
      </c>
      <c r="E2625" s="8">
        <v>8.0</v>
      </c>
      <c r="F2625" s="8">
        <v>9.0</v>
      </c>
      <c r="G2625" s="8" t="s">
        <v>21</v>
      </c>
      <c r="H2625" s="9"/>
      <c r="I2625" s="9"/>
      <c r="N2625" s="10" t="str">
        <f t="shared" si="2"/>
        <v>65-3441(a)(12) - Solid &amp; Hazardous Wastes; Knowingly operate a hazardous waste transfer facility at which hazardous waste is transferred from one or more containers to one or more different containers</v>
      </c>
      <c r="O2625" s="10" t="str">
        <f t="shared" si="3"/>
        <v>Solid &amp; Hazardous Wastes</v>
      </c>
    </row>
    <row r="2626">
      <c r="A2626" s="7" t="s">
        <v>4687</v>
      </c>
      <c r="B2626" s="8" t="s">
        <v>4688</v>
      </c>
      <c r="C2626" s="8">
        <v>6.0</v>
      </c>
      <c r="D2626" s="8">
        <v>8.0</v>
      </c>
      <c r="E2626" s="8">
        <v>8.0</v>
      </c>
      <c r="F2626" s="8">
        <v>9.0</v>
      </c>
      <c r="G2626" s="8" t="s">
        <v>21</v>
      </c>
      <c r="H2626" s="9"/>
      <c r="I2626" s="9"/>
      <c r="N2626" s="10" t="str">
        <f t="shared" si="2"/>
        <v>65-3441(a)(5) - Solid &amp; Hazardous Wastes; Knowingly refuse or hinder entry, inspection, sampling and the examination or copying of records related to this act by an agent/employee of the secretary after identification of such agent/employee and gives notice of their purpose</v>
      </c>
      <c r="O2626" s="10" t="str">
        <f t="shared" si="3"/>
        <v>Solid &amp; Hazardous Wastes</v>
      </c>
    </row>
    <row r="2627">
      <c r="A2627" s="7" t="s">
        <v>4689</v>
      </c>
      <c r="B2627" s="8" t="s">
        <v>4690</v>
      </c>
      <c r="C2627" s="8">
        <v>6.0</v>
      </c>
      <c r="D2627" s="8">
        <v>8.0</v>
      </c>
      <c r="E2627" s="8">
        <v>8.0</v>
      </c>
      <c r="F2627" s="8">
        <v>9.0</v>
      </c>
      <c r="G2627" s="8" t="s">
        <v>21</v>
      </c>
      <c r="H2627" s="9"/>
      <c r="I2627" s="9"/>
      <c r="N2627" s="10" t="str">
        <f t="shared" si="2"/>
        <v>65-3441(a)(4) - Solid &amp; Hazardous Wastes; Knowingly store, collect, treat or dispose of hazardous waste contrary to the rules and regulations, standards or orders of the secretary</v>
      </c>
      <c r="O2627" s="10" t="str">
        <f t="shared" si="3"/>
        <v>Solid &amp; Hazardous Wastes</v>
      </c>
    </row>
    <row r="2628">
      <c r="A2628" s="7" t="s">
        <v>4691</v>
      </c>
      <c r="B2628" s="8" t="s">
        <v>4692</v>
      </c>
      <c r="C2628" s="8">
        <v>6.0</v>
      </c>
      <c r="D2628" s="8">
        <v>8.0</v>
      </c>
      <c r="E2628" s="8">
        <v>8.0</v>
      </c>
      <c r="F2628" s="8">
        <v>9.0</v>
      </c>
      <c r="G2628" s="8" t="s">
        <v>21</v>
      </c>
      <c r="H2628" s="9"/>
      <c r="I2628" s="9"/>
      <c r="N2628" s="10" t="str">
        <f t="shared" si="2"/>
        <v>65-3441(a)(11) - Solid &amp; Hazardous Wastes; Knowingly transport and dispose of, or cause the transportation and disposition of, hazardous waste in a manner contrary to the rules and regulations, standards or orders of the secretary</v>
      </c>
      <c r="O2628" s="10" t="str">
        <f t="shared" si="3"/>
        <v>Solid &amp; Hazardous Wastes</v>
      </c>
    </row>
    <row r="2629">
      <c r="A2629" s="7" t="s">
        <v>4693</v>
      </c>
      <c r="B2629" s="8" t="s">
        <v>4694</v>
      </c>
      <c r="C2629" s="8">
        <v>6.0</v>
      </c>
      <c r="D2629" s="8">
        <v>8.0</v>
      </c>
      <c r="E2629" s="8">
        <v>8.0</v>
      </c>
      <c r="F2629" s="8">
        <v>9.0</v>
      </c>
      <c r="G2629" s="8" t="s">
        <v>21</v>
      </c>
      <c r="H2629" s="9"/>
      <c r="I2629" s="9"/>
      <c r="N2629" s="10" t="str">
        <f t="shared" si="2"/>
        <v>65-3441(a)(9) - Solid &amp; Hazardous Wastes; Knowingly transport hazardous waste to a facility not authorized to operate under the federal hazardous waste program or under an approved state hazardous waste program</v>
      </c>
      <c r="O2629" s="10" t="str">
        <f t="shared" si="3"/>
        <v>Solid &amp; Hazardous Wastes</v>
      </c>
    </row>
    <row r="2630">
      <c r="A2630" s="7" t="s">
        <v>4695</v>
      </c>
      <c r="B2630" s="8" t="s">
        <v>4696</v>
      </c>
      <c r="C2630" s="8">
        <v>6.0</v>
      </c>
      <c r="D2630" s="8">
        <v>8.0</v>
      </c>
      <c r="E2630" s="8">
        <v>8.0</v>
      </c>
      <c r="F2630" s="8">
        <v>9.0</v>
      </c>
      <c r="G2630" s="8" t="s">
        <v>21</v>
      </c>
      <c r="H2630" s="9"/>
      <c r="I2630" s="9"/>
      <c r="N2630" s="10" t="str">
        <f t="shared" si="2"/>
        <v>65-3441(a)(3) - Solid &amp; Hazardous Wastes; Knowingly violate any condition of any permit issued by the secretary</v>
      </c>
      <c r="O2630" s="10" t="str">
        <f t="shared" si="3"/>
        <v>Solid &amp; Hazardous Wastes</v>
      </c>
    </row>
    <row r="2631">
      <c r="A2631" s="7" t="s">
        <v>4697</v>
      </c>
      <c r="B2631" s="8" t="s">
        <v>4684</v>
      </c>
      <c r="C2631" s="8" t="s">
        <v>27</v>
      </c>
      <c r="D2631" s="8" t="s">
        <v>28</v>
      </c>
      <c r="E2631" s="8" t="s">
        <v>19</v>
      </c>
      <c r="F2631" s="8" t="s">
        <v>20</v>
      </c>
      <c r="G2631" s="8" t="s">
        <v>21</v>
      </c>
      <c r="H2631" s="9"/>
      <c r="I2631" s="9"/>
      <c r="J2631" s="10">
        <f t="shared" ref="J2631:M2631" si="1611">ifs(OR($H2631="R",$I2631="N"),"N/A",OR(C2631="A",C2631="B",C2631="C",C2631="U"),3,TRUE,"FLAG")</f>
        <v>3</v>
      </c>
      <c r="K2631" s="10">
        <f t="shared" si="1611"/>
        <v>3</v>
      </c>
      <c r="L2631" s="10">
        <f t="shared" si="1611"/>
        <v>3</v>
      </c>
      <c r="M2631" s="10" t="str">
        <f t="shared" si="1611"/>
        <v>FLAG</v>
      </c>
      <c r="N2631" s="10" t="str">
        <f t="shared" si="2"/>
        <v>65-3441(a)(6) - Solid &amp; Hazardous Wastes; Making false material statement or representation in any application, label, manifest, record, report, permit or other document filed, maintained or used in compliance with this act</v>
      </c>
      <c r="O2631" s="10" t="str">
        <f t="shared" si="3"/>
        <v>Solid &amp; Hazardous Wastes</v>
      </c>
    </row>
    <row r="2632">
      <c r="A2632" s="7" t="s">
        <v>4698</v>
      </c>
      <c r="B2632" s="8" t="s">
        <v>4686</v>
      </c>
      <c r="C2632" s="8">
        <v>10.0</v>
      </c>
      <c r="D2632" s="8">
        <v>10.0</v>
      </c>
      <c r="E2632" s="8">
        <v>10.0</v>
      </c>
      <c r="F2632" s="8">
        <v>10.0</v>
      </c>
      <c r="G2632" s="8" t="s">
        <v>21</v>
      </c>
      <c r="H2632" s="9"/>
      <c r="I2632" s="9"/>
      <c r="N2632" s="10" t="str">
        <f t="shared" si="2"/>
        <v>65-3441(a)(12) - Solid &amp; Hazardous Wastes; Operate a hazardous waste transfer facility at which hazardous waste is transferred from one or more containers to one or more different containers</v>
      </c>
      <c r="O2632" s="10" t="str">
        <f t="shared" si="3"/>
        <v>Solid &amp; Hazardous Wastes</v>
      </c>
    </row>
    <row r="2633">
      <c r="A2633" s="7" t="s">
        <v>4699</v>
      </c>
      <c r="B2633" s="8" t="s">
        <v>4700</v>
      </c>
      <c r="C2633" s="8" t="s">
        <v>27</v>
      </c>
      <c r="D2633" s="8" t="s">
        <v>28</v>
      </c>
      <c r="E2633" s="8" t="s">
        <v>19</v>
      </c>
      <c r="F2633" s="8" t="s">
        <v>20</v>
      </c>
      <c r="G2633" s="8" t="s">
        <v>21</v>
      </c>
      <c r="H2633" s="9"/>
      <c r="I2633" s="9"/>
      <c r="J2633" s="10">
        <f t="shared" ref="J2633:M2633" si="1612">ifs(OR($H2633="R",$I2633="N"),"N/A",OR(C2633="A",C2633="B",C2633="C",C2633="U"),3,TRUE,"FLAG")</f>
        <v>3</v>
      </c>
      <c r="K2633" s="10">
        <f t="shared" si="1612"/>
        <v>3</v>
      </c>
      <c r="L2633" s="10">
        <f t="shared" si="1612"/>
        <v>3</v>
      </c>
      <c r="M2633" s="10" t="str">
        <f t="shared" si="1612"/>
        <v>FLAG</v>
      </c>
      <c r="N2633" s="10" t="str">
        <f t="shared" si="2"/>
        <v>65-3409(a)(6) - Solid &amp; Hazardous Wastes; Refuse or hinder entry, inspection, sampling and the examination or copying of records related to the purposes of this act by an identified agent or employee of the secretary after receiving notice of their purpose</v>
      </c>
      <c r="O2633" s="10" t="str">
        <f t="shared" si="3"/>
        <v>Solid &amp; Hazardous Wastes</v>
      </c>
    </row>
    <row r="2634">
      <c r="A2634" s="7" t="s">
        <v>4701</v>
      </c>
      <c r="B2634" s="8" t="s">
        <v>4688</v>
      </c>
      <c r="C2634" s="8" t="s">
        <v>27</v>
      </c>
      <c r="D2634" s="8" t="s">
        <v>28</v>
      </c>
      <c r="E2634" s="8" t="s">
        <v>19</v>
      </c>
      <c r="F2634" s="8" t="s">
        <v>20</v>
      </c>
      <c r="G2634" s="8" t="s">
        <v>21</v>
      </c>
      <c r="H2634" s="9"/>
      <c r="I2634" s="9"/>
      <c r="J2634" s="10">
        <f t="shared" ref="J2634:M2634" si="1613">ifs(OR($H2634="R",$I2634="N"),"N/A",OR(C2634="A",C2634="B",C2634="C",C2634="U"),3,TRUE,"FLAG")</f>
        <v>3</v>
      </c>
      <c r="K2634" s="10">
        <f t="shared" si="1613"/>
        <v>3</v>
      </c>
      <c r="L2634" s="10">
        <f t="shared" si="1613"/>
        <v>3</v>
      </c>
      <c r="M2634" s="10" t="str">
        <f t="shared" si="1613"/>
        <v>FLAG</v>
      </c>
      <c r="N2634" s="10" t="str">
        <f t="shared" si="2"/>
        <v>65-3441(a)(5) - Solid &amp; Hazardous Wastes; Refuse or hinder entry, inspection, sampling and the examination or copying of records related to this act by an identified agent/employee of the secretary after receiving notice of their purpose</v>
      </c>
      <c r="O2634" s="10" t="str">
        <f t="shared" si="3"/>
        <v>Solid &amp; Hazardous Wastes</v>
      </c>
    </row>
    <row r="2635">
      <c r="A2635" s="7" t="s">
        <v>4702</v>
      </c>
      <c r="B2635" s="8" t="s">
        <v>4703</v>
      </c>
      <c r="C2635" s="8" t="s">
        <v>27</v>
      </c>
      <c r="D2635" s="8" t="s">
        <v>28</v>
      </c>
      <c r="E2635" s="8" t="s">
        <v>19</v>
      </c>
      <c r="F2635" s="8" t="s">
        <v>20</v>
      </c>
      <c r="G2635" s="8" t="s">
        <v>21</v>
      </c>
      <c r="H2635" s="9"/>
      <c r="I2635" s="9"/>
      <c r="J2635" s="10">
        <f t="shared" ref="J2635:M2635" si="1614">ifs(OR($H2635="R",$I2635="N"),"N/A",OR(C2635="A",C2635="B",C2635="C",C2635="U"),3,TRUE,"FLAG")</f>
        <v>3</v>
      </c>
      <c r="K2635" s="10">
        <f t="shared" si="1614"/>
        <v>3</v>
      </c>
      <c r="L2635" s="10">
        <f t="shared" si="1614"/>
        <v>3</v>
      </c>
      <c r="M2635" s="10" t="str">
        <f t="shared" si="1614"/>
        <v>FLAG</v>
      </c>
      <c r="N2635" s="10" t="str">
        <f t="shared" si="2"/>
        <v>65-3409(a)(5) - Solid &amp; Hazardous Wastes; Store, collect, transport, process, treat or dispose of solid waste contrary to the rules and regulations, standards or orders of the secretary or in such a manner as to create a public nuisance</v>
      </c>
      <c r="O2635" s="10" t="str">
        <f t="shared" si="3"/>
        <v>Solid &amp; Hazardous Wastes</v>
      </c>
    </row>
    <row r="2636">
      <c r="A2636" s="7" t="s">
        <v>4704</v>
      </c>
      <c r="B2636" s="8" t="s">
        <v>4690</v>
      </c>
      <c r="C2636" s="8" t="s">
        <v>27</v>
      </c>
      <c r="D2636" s="8" t="s">
        <v>28</v>
      </c>
      <c r="E2636" s="8" t="s">
        <v>19</v>
      </c>
      <c r="F2636" s="8" t="s">
        <v>20</v>
      </c>
      <c r="G2636" s="8" t="s">
        <v>21</v>
      </c>
      <c r="H2636" s="9"/>
      <c r="I2636" s="9"/>
      <c r="J2636" s="10">
        <f t="shared" ref="J2636:M2636" si="1615">ifs(OR($H2636="R",$I2636="N"),"N/A",OR(C2636="A",C2636="B",C2636="C",C2636="U"),3,TRUE,"FLAG")</f>
        <v>3</v>
      </c>
      <c r="K2636" s="10">
        <f t="shared" si="1615"/>
        <v>3</v>
      </c>
      <c r="L2636" s="10">
        <f t="shared" si="1615"/>
        <v>3</v>
      </c>
      <c r="M2636" s="10" t="str">
        <f t="shared" si="1615"/>
        <v>FLAG</v>
      </c>
      <c r="N2636" s="10" t="str">
        <f t="shared" si="2"/>
        <v>65-3441(a)(4) - Solid &amp; Hazardous Wastes; Store, collect, treat or dispose of hazardous waste contrary to the rules and regulations, standards or orders of the secretary</v>
      </c>
      <c r="O2636" s="10" t="str">
        <f t="shared" si="3"/>
        <v>Solid &amp; Hazardous Wastes</v>
      </c>
    </row>
    <row r="2637">
      <c r="A2637" s="7" t="s">
        <v>4705</v>
      </c>
      <c r="B2637" s="8" t="s">
        <v>4692</v>
      </c>
      <c r="C2637" s="8">
        <v>10.0</v>
      </c>
      <c r="D2637" s="8">
        <v>10.0</v>
      </c>
      <c r="E2637" s="8">
        <v>10.0</v>
      </c>
      <c r="F2637" s="8">
        <v>10.0</v>
      </c>
      <c r="G2637" s="8" t="s">
        <v>21</v>
      </c>
      <c r="H2637" s="9"/>
      <c r="I2637" s="9"/>
      <c r="N2637" s="10" t="str">
        <f t="shared" si="2"/>
        <v>65-3441(a)(11) - Solid &amp; Hazardous Wastes; Transport and dispose of, or cause the transportation and disposition of, hazardous waste in a manner contrary to the rules and regulations, standards or orders of the secretary</v>
      </c>
      <c r="O2637" s="10" t="str">
        <f t="shared" si="3"/>
        <v>Solid &amp; Hazardous Wastes</v>
      </c>
    </row>
    <row r="2638">
      <c r="A2638" s="7" t="s">
        <v>4706</v>
      </c>
      <c r="B2638" s="8" t="s">
        <v>4694</v>
      </c>
      <c r="C2638" s="8" t="s">
        <v>27</v>
      </c>
      <c r="D2638" s="8" t="s">
        <v>28</v>
      </c>
      <c r="E2638" s="8" t="s">
        <v>19</v>
      </c>
      <c r="F2638" s="8" t="s">
        <v>20</v>
      </c>
      <c r="G2638" s="8" t="s">
        <v>21</v>
      </c>
      <c r="H2638" s="9"/>
      <c r="I2638" s="9"/>
      <c r="J2638" s="10">
        <f t="shared" ref="J2638:M2638" si="1616">ifs(OR($H2638="R",$I2638="N"),"N/A",OR(C2638="A",C2638="B",C2638="C",C2638="U"),3,TRUE,"FLAG")</f>
        <v>3</v>
      </c>
      <c r="K2638" s="10">
        <f t="shared" si="1616"/>
        <v>3</v>
      </c>
      <c r="L2638" s="10">
        <f t="shared" si="1616"/>
        <v>3</v>
      </c>
      <c r="M2638" s="10" t="str">
        <f t="shared" si="1616"/>
        <v>FLAG</v>
      </c>
      <c r="N2638" s="10" t="str">
        <f t="shared" si="2"/>
        <v>65-3441(a)(9) - Solid &amp; Hazardous Wastes; Transport hazardous waste to a facility not authorized to operate under the federal hazardous waste program or under an approved state hazardous waste program</v>
      </c>
      <c r="O2638" s="10" t="str">
        <f t="shared" si="3"/>
        <v>Solid &amp; Hazardous Wastes</v>
      </c>
    </row>
    <row r="2639">
      <c r="A2639" s="7" t="s">
        <v>4707</v>
      </c>
      <c r="B2639" s="8" t="s">
        <v>4708</v>
      </c>
      <c r="C2639" s="8" t="s">
        <v>27</v>
      </c>
      <c r="D2639" s="8" t="s">
        <v>28</v>
      </c>
      <c r="E2639" s="8" t="s">
        <v>19</v>
      </c>
      <c r="F2639" s="8" t="s">
        <v>20</v>
      </c>
      <c r="G2639" s="8" t="s">
        <v>21</v>
      </c>
      <c r="H2639" s="9"/>
      <c r="I2639" s="9"/>
      <c r="J2639" s="10">
        <f t="shared" ref="J2639:M2639" si="1617">ifs(OR($H2639="R",$I2639="N"),"N/A",OR(C2639="A",C2639="B",C2639="C",C2639="U"),3,TRUE,"FLAG")</f>
        <v>3</v>
      </c>
      <c r="K2639" s="10">
        <f t="shared" si="1617"/>
        <v>3</v>
      </c>
      <c r="L2639" s="10">
        <f t="shared" si="1617"/>
        <v>3</v>
      </c>
      <c r="M2639" s="10" t="str">
        <f t="shared" si="1617"/>
        <v>FLAG</v>
      </c>
      <c r="N2639" s="10" t="str">
        <f t="shared" si="2"/>
        <v>65-3409(a)(2) - Solid &amp; Hazardous Wastes; Unauthorized constructing, altering or operating a solid waste processing or disposal facility, or acting as a waste tire transporter or mobile waste tire processor without a permit; violation of the rules and regulations, standards or orders of the secretary</v>
      </c>
      <c r="O2639" s="10" t="str">
        <f t="shared" si="3"/>
        <v>Solid &amp; Hazardous Wastes</v>
      </c>
    </row>
    <row r="2640">
      <c r="A2640" s="7" t="s">
        <v>4709</v>
      </c>
      <c r="B2640" s="8" t="s">
        <v>4710</v>
      </c>
      <c r="C2640" s="8" t="s">
        <v>27</v>
      </c>
      <c r="D2640" s="8" t="s">
        <v>28</v>
      </c>
      <c r="E2640" s="8" t="s">
        <v>19</v>
      </c>
      <c r="F2640" s="8" t="s">
        <v>20</v>
      </c>
      <c r="G2640" s="8" t="s">
        <v>21</v>
      </c>
      <c r="H2640" s="9"/>
      <c r="I2640" s="9"/>
      <c r="J2640" s="10">
        <f t="shared" ref="J2640:M2640" si="1618">ifs(OR($H2640="R",$I2640="N"),"N/A",OR(C2640="A",C2640="B",C2640="C",C2640="U"),3,TRUE,"FLAG")</f>
        <v>3</v>
      </c>
      <c r="K2640" s="10">
        <f t="shared" si="1618"/>
        <v>3</v>
      </c>
      <c r="L2640" s="10">
        <f t="shared" si="1618"/>
        <v>3</v>
      </c>
      <c r="M2640" s="10" t="str">
        <f t="shared" si="1618"/>
        <v>FLAG</v>
      </c>
      <c r="N2640" s="10" t="str">
        <f t="shared" si="2"/>
        <v>65-3409(a)(1) - Solid &amp; Hazardous Wastes; Unauthorized disposal of any solid waste by open dumping</v>
      </c>
      <c r="O2640" s="10" t="str">
        <f t="shared" si="3"/>
        <v>Solid &amp; Hazardous Wastes</v>
      </c>
    </row>
    <row r="2641">
      <c r="A2641" s="7" t="s">
        <v>4711</v>
      </c>
      <c r="B2641" s="8" t="s">
        <v>4712</v>
      </c>
      <c r="C2641" s="8" t="s">
        <v>27</v>
      </c>
      <c r="D2641" s="8" t="s">
        <v>28</v>
      </c>
      <c r="E2641" s="8" t="s">
        <v>19</v>
      </c>
      <c r="F2641" s="8" t="s">
        <v>20</v>
      </c>
      <c r="G2641" s="8" t="s">
        <v>21</v>
      </c>
      <c r="H2641" s="9"/>
      <c r="I2641" s="9"/>
      <c r="J2641" s="10">
        <f t="shared" ref="J2641:M2641" si="1619">ifs(OR($H2641="R",$I2641="N"),"N/A",OR(C2641="A",C2641="B",C2641="C",C2641="U"),3,TRUE,"FLAG")</f>
        <v>3</v>
      </c>
      <c r="K2641" s="10">
        <f t="shared" si="1619"/>
        <v>3</v>
      </c>
      <c r="L2641" s="10">
        <f t="shared" si="1619"/>
        <v>3</v>
      </c>
      <c r="M2641" s="10" t="str">
        <f t="shared" si="1619"/>
        <v>FLAG</v>
      </c>
      <c r="N2641" s="10" t="str">
        <f t="shared" si="2"/>
        <v>65-3409(a)(8) - Solid &amp; Hazardous Wastes; Unauthorized division of a solid waste disposal area, which has been issued a permit pursuant to K.S.A. 65-3407, into 2 or more parcels of real property for the purpose of selling or transferring a portion of the permitted area to a new owner</v>
      </c>
      <c r="O2641" s="10" t="str">
        <f t="shared" si="3"/>
        <v>Solid &amp; Hazardous Wastes</v>
      </c>
    </row>
    <row r="2642">
      <c r="A2642" s="7" t="s">
        <v>4713</v>
      </c>
      <c r="B2642" s="8" t="s">
        <v>4714</v>
      </c>
      <c r="C2642" s="8" t="s">
        <v>27</v>
      </c>
      <c r="D2642" s="8" t="s">
        <v>28</v>
      </c>
      <c r="E2642" s="8" t="s">
        <v>19</v>
      </c>
      <c r="F2642" s="8" t="s">
        <v>20</v>
      </c>
      <c r="G2642" s="8" t="s">
        <v>21</v>
      </c>
      <c r="H2642" s="9"/>
      <c r="I2642" s="9"/>
      <c r="J2642" s="10">
        <f t="shared" ref="J2642:M2642" si="1620">ifs(OR($H2642="R",$I2642="N"),"N/A",OR(C2642="A",C2642="B",C2642="C",C2642="U"),3,TRUE,"FLAG")</f>
        <v>3</v>
      </c>
      <c r="K2642" s="10">
        <f t="shared" si="1620"/>
        <v>3</v>
      </c>
      <c r="L2642" s="10">
        <f t="shared" si="1620"/>
        <v>3</v>
      </c>
      <c r="M2642" s="10" t="str">
        <f t="shared" si="1620"/>
        <v>FLAG</v>
      </c>
      <c r="N2642" s="10" t="str">
        <f t="shared" si="2"/>
        <v>65-3415f(e) - Solid &amp; Hazardous Wastes; Unauthorized transfer or expenditure of moneys in a special fund provided for by this section</v>
      </c>
      <c r="O2642" s="10" t="str">
        <f t="shared" si="3"/>
        <v>Solid &amp; Hazardous Wastes</v>
      </c>
    </row>
    <row r="2643">
      <c r="A2643" s="7" t="s">
        <v>4715</v>
      </c>
      <c r="B2643" s="8" t="s">
        <v>4696</v>
      </c>
      <c r="C2643" s="8" t="s">
        <v>27</v>
      </c>
      <c r="D2643" s="8" t="s">
        <v>28</v>
      </c>
      <c r="E2643" s="8" t="s">
        <v>19</v>
      </c>
      <c r="F2643" s="8" t="s">
        <v>20</v>
      </c>
      <c r="G2643" s="8" t="s">
        <v>21</v>
      </c>
      <c r="H2643" s="9"/>
      <c r="I2643" s="9"/>
      <c r="J2643" s="10">
        <f t="shared" ref="J2643:M2643" si="1621">ifs(OR($H2643="R",$I2643="N"),"N/A",OR(C2643="A",C2643="B",C2643="C",C2643="U"),3,TRUE,"FLAG")</f>
        <v>3</v>
      </c>
      <c r="K2643" s="10">
        <f t="shared" si="1621"/>
        <v>3</v>
      </c>
      <c r="L2643" s="10">
        <f t="shared" si="1621"/>
        <v>3</v>
      </c>
      <c r="M2643" s="10" t="str">
        <f t="shared" si="1621"/>
        <v>FLAG</v>
      </c>
      <c r="N2643" s="10" t="str">
        <f t="shared" si="2"/>
        <v>65-3441(a)(3) - Solid &amp; Hazardous Wastes; Violate any condition of any permit issued by the secretary</v>
      </c>
      <c r="O2643" s="10" t="str">
        <f t="shared" si="3"/>
        <v>Solid &amp; Hazardous Wastes</v>
      </c>
    </row>
    <row r="2644">
      <c r="A2644" s="7" t="s">
        <v>4716</v>
      </c>
      <c r="B2644" s="8" t="s">
        <v>4717</v>
      </c>
      <c r="C2644" s="8" t="s">
        <v>27</v>
      </c>
      <c r="D2644" s="8" t="s">
        <v>28</v>
      </c>
      <c r="E2644" s="8" t="s">
        <v>19</v>
      </c>
      <c r="F2644" s="8" t="s">
        <v>20</v>
      </c>
      <c r="G2644" s="8" t="s">
        <v>21</v>
      </c>
      <c r="H2644" s="9"/>
      <c r="I2644" s="9"/>
      <c r="J2644" s="10">
        <f t="shared" ref="J2644:M2644" si="1622">ifs(OR($H2644="R",$I2644="N"),"N/A",OR(C2644="A",C2644="B",C2644="C",C2644="U"),3,TRUE,"FLAG")</f>
        <v>3</v>
      </c>
      <c r="K2644" s="10">
        <f t="shared" si="1622"/>
        <v>3</v>
      </c>
      <c r="L2644" s="10">
        <f t="shared" si="1622"/>
        <v>3</v>
      </c>
      <c r="M2644" s="10" t="str">
        <f t="shared" si="1622"/>
        <v>FLAG</v>
      </c>
      <c r="N2644" s="10" t="str">
        <f t="shared" si="2"/>
        <v>65-3409(a)(3) - Solid &amp; Hazardous Wastes; Violate any condition of any permit issued under K.S.A. 65-3407 or 65-3424b</v>
      </c>
      <c r="O2644" s="10" t="str">
        <f t="shared" si="3"/>
        <v>Solid &amp; Hazardous Wastes</v>
      </c>
    </row>
    <row r="2645">
      <c r="A2645" s="7" t="s">
        <v>4718</v>
      </c>
      <c r="B2645" s="8" t="s">
        <v>4719</v>
      </c>
      <c r="C2645" s="8" t="s">
        <v>27</v>
      </c>
      <c r="D2645" s="8" t="s">
        <v>28</v>
      </c>
      <c r="E2645" s="8" t="s">
        <v>19</v>
      </c>
      <c r="F2645" s="8" t="s">
        <v>20</v>
      </c>
      <c r="G2645" s="8" t="s">
        <v>21</v>
      </c>
      <c r="H2645" s="9"/>
      <c r="I2645" s="9"/>
      <c r="J2645" s="10">
        <f t="shared" ref="J2645:M2645" si="1623">ifs(OR($H2645="R",$I2645="N"),"N/A",OR(C2645="A",C2645="B",C2645="C",C2645="U"),3,TRUE,"FLAG")</f>
        <v>3</v>
      </c>
      <c r="K2645" s="10">
        <f t="shared" si="1623"/>
        <v>3</v>
      </c>
      <c r="L2645" s="10">
        <f t="shared" si="1623"/>
        <v>3</v>
      </c>
      <c r="M2645" s="10" t="str">
        <f t="shared" si="1623"/>
        <v>FLAG</v>
      </c>
      <c r="N2645" s="10" t="str">
        <f t="shared" si="2"/>
        <v>65-3409(a)(7) - Solid &amp; Hazardous Wastes; Violation of subsection (b) of K.S.A. 65-3424a, subsection (c) of K.S.A. 65-3424b or K.S.A. 65-3424i</v>
      </c>
      <c r="O2645" s="10" t="str">
        <f t="shared" si="3"/>
        <v>Solid &amp; Hazardous Wastes</v>
      </c>
    </row>
    <row r="2646">
      <c r="A2646" s="7" t="s">
        <v>4720</v>
      </c>
      <c r="B2646" s="8" t="s">
        <v>4721</v>
      </c>
      <c r="C2646" s="8" t="s">
        <v>19</v>
      </c>
      <c r="D2646" s="8" t="s">
        <v>19</v>
      </c>
      <c r="E2646" s="8" t="s">
        <v>19</v>
      </c>
      <c r="F2646" s="8" t="s">
        <v>20</v>
      </c>
      <c r="G2646" s="8" t="s">
        <v>21</v>
      </c>
      <c r="H2646" s="9"/>
      <c r="I2646" s="9"/>
      <c r="J2646" s="10">
        <f t="shared" ref="J2646:M2646" si="1624">ifs(OR($H2646="R",$I2646="N"),"N/A",OR(C2646="A",C2646="B",C2646="C",C2646="U"),3,TRUE,"FLAG")</f>
        <v>3</v>
      </c>
      <c r="K2646" s="10">
        <f t="shared" si="1624"/>
        <v>3</v>
      </c>
      <c r="L2646" s="10">
        <f t="shared" si="1624"/>
        <v>3</v>
      </c>
      <c r="M2646" s="10" t="str">
        <f t="shared" si="1624"/>
        <v>FLAG</v>
      </c>
      <c r="N2646" s="10" t="str">
        <f t="shared" si="2"/>
        <v>65-6504(b) - Speech-Language Pathologists &amp; Audiologists; Engage in the practice of dispensing and fitting hearing aids without a license or certificate of endorsement</v>
      </c>
      <c r="O2646" s="10" t="str">
        <f t="shared" si="3"/>
        <v>Speech-Language Pathologists &amp; Audiologists</v>
      </c>
    </row>
    <row r="2647">
      <c r="A2647" s="7" t="s">
        <v>4722</v>
      </c>
      <c r="B2647" s="8" t="s">
        <v>4723</v>
      </c>
      <c r="C2647" s="8" t="s">
        <v>19</v>
      </c>
      <c r="D2647" s="8" t="s">
        <v>19</v>
      </c>
      <c r="E2647" s="8" t="s">
        <v>19</v>
      </c>
      <c r="F2647" s="8" t="s">
        <v>20</v>
      </c>
      <c r="G2647" s="8" t="s">
        <v>21</v>
      </c>
      <c r="H2647" s="9"/>
      <c r="I2647" s="9"/>
      <c r="J2647" s="10">
        <f t="shared" ref="J2647:M2647" si="1625">ifs(OR($H2647="R",$I2647="N"),"N/A",OR(C2647="A",C2647="B",C2647="C",C2647="U"),3,TRUE,"FLAG")</f>
        <v>3</v>
      </c>
      <c r="K2647" s="10">
        <f t="shared" si="1625"/>
        <v>3</v>
      </c>
      <c r="L2647" s="10">
        <f t="shared" si="1625"/>
        <v>3</v>
      </c>
      <c r="M2647" s="10" t="str">
        <f t="shared" si="1625"/>
        <v>FLAG</v>
      </c>
      <c r="N2647" s="10" t="str">
        <f t="shared" si="2"/>
        <v>65-6504(a) - Speech-Language Pathologists &amp; Audiologists; Practice speech-language pathology or audiology without a valid license; hold oneself out as a speech professional without appropriate license</v>
      </c>
      <c r="O2647" s="10" t="str">
        <f t="shared" si="3"/>
        <v>Speech-Language Pathologists &amp; Audiologists</v>
      </c>
    </row>
    <row r="2648">
      <c r="A2648" s="7" t="s">
        <v>4724</v>
      </c>
      <c r="B2648" s="8" t="s">
        <v>4725</v>
      </c>
      <c r="C2648" s="8">
        <v>9.0</v>
      </c>
      <c r="D2648" s="8">
        <v>10.0</v>
      </c>
      <c r="E2648" s="8">
        <v>10.0</v>
      </c>
      <c r="F2648" s="8">
        <v>10.0</v>
      </c>
      <c r="G2648" s="8" t="s">
        <v>21</v>
      </c>
      <c r="H2648" s="9"/>
      <c r="I2648" s="9"/>
      <c r="N2648" s="10" t="str">
        <f t="shared" si="2"/>
        <v>21-6507(a)(2) - Sports Bribery; Confer, offer or agree to confer, benefit upon a sports official</v>
      </c>
      <c r="O2648" s="10" t="str">
        <f t="shared" si="3"/>
        <v>Sports Bribery</v>
      </c>
    </row>
    <row r="2649">
      <c r="A2649" s="7" t="s">
        <v>4726</v>
      </c>
      <c r="B2649" s="8" t="s">
        <v>4727</v>
      </c>
      <c r="C2649" s="8">
        <v>9.0</v>
      </c>
      <c r="D2649" s="8">
        <v>10.0</v>
      </c>
      <c r="E2649" s="8">
        <v>10.0</v>
      </c>
      <c r="F2649" s="8">
        <v>10.0</v>
      </c>
      <c r="G2649" s="8" t="s">
        <v>21</v>
      </c>
      <c r="H2649" s="9"/>
      <c r="I2649" s="9"/>
      <c r="N2649" s="10" t="str">
        <f t="shared" si="2"/>
        <v>21-6507(a)(1) - Sports Bribery; Confer, offer or agree to confer, benefit upon sports participant</v>
      </c>
      <c r="O2649" s="10" t="str">
        <f t="shared" si="3"/>
        <v>Sports Bribery</v>
      </c>
    </row>
    <row r="2650">
      <c r="A2650" s="7" t="s">
        <v>4728</v>
      </c>
      <c r="B2650" s="8" t="s">
        <v>4729</v>
      </c>
      <c r="C2650" s="8" t="s">
        <v>27</v>
      </c>
      <c r="D2650" s="8" t="s">
        <v>28</v>
      </c>
      <c r="E2650" s="8" t="s">
        <v>19</v>
      </c>
      <c r="F2650" s="8" t="s">
        <v>20</v>
      </c>
      <c r="G2650" s="8" t="s">
        <v>21</v>
      </c>
      <c r="H2650" s="9"/>
      <c r="I2650" s="9"/>
      <c r="J2650" s="10">
        <f t="shared" ref="J2650:M2650" si="1626">ifs(OR($H2650="R",$I2650="N"),"N/A",OR(C2650="A",C2650="B",C2650="C",C2650="U"),3,TRUE,"FLAG")</f>
        <v>3</v>
      </c>
      <c r="K2650" s="10">
        <f t="shared" si="1626"/>
        <v>3</v>
      </c>
      <c r="L2650" s="10">
        <f t="shared" si="1626"/>
        <v>3</v>
      </c>
      <c r="M2650" s="10" t="str">
        <f t="shared" si="1626"/>
        <v>FLAG</v>
      </c>
      <c r="N2650" s="10" t="str">
        <f t="shared" si="2"/>
        <v>21-6507(a)(4) - Sports Bribery; Sports officials accepting, agreeing to accept or soliciting a sports bribe</v>
      </c>
      <c r="O2650" s="10" t="str">
        <f t="shared" si="3"/>
        <v>Sports Bribery</v>
      </c>
    </row>
    <row r="2651">
      <c r="A2651" s="7" t="s">
        <v>4730</v>
      </c>
      <c r="B2651" s="8" t="s">
        <v>4731</v>
      </c>
      <c r="C2651" s="8" t="s">
        <v>27</v>
      </c>
      <c r="D2651" s="8" t="s">
        <v>28</v>
      </c>
      <c r="E2651" s="8" t="s">
        <v>19</v>
      </c>
      <c r="F2651" s="8" t="s">
        <v>20</v>
      </c>
      <c r="G2651" s="8" t="s">
        <v>21</v>
      </c>
      <c r="H2651" s="9"/>
      <c r="I2651" s="9"/>
      <c r="J2651" s="10">
        <f t="shared" ref="J2651:M2651" si="1627">ifs(OR($H2651="R",$I2651="N"),"N/A",OR(C2651="A",C2651="B",C2651="C",C2651="U"),3,TRUE,"FLAG")</f>
        <v>3</v>
      </c>
      <c r="K2651" s="10">
        <f t="shared" si="1627"/>
        <v>3</v>
      </c>
      <c r="L2651" s="10">
        <f t="shared" si="1627"/>
        <v>3</v>
      </c>
      <c r="M2651" s="10" t="str">
        <f t="shared" si="1627"/>
        <v>FLAG</v>
      </c>
      <c r="N2651" s="10" t="str">
        <f t="shared" si="2"/>
        <v>21-6507(a)(3) - Sports Bribery; Sports participants accepting, agreeing to accept or soliciting a sports bribe</v>
      </c>
      <c r="O2651" s="10" t="str">
        <f t="shared" si="3"/>
        <v>Sports Bribery</v>
      </c>
    </row>
    <row r="2652">
      <c r="A2652" s="7" t="s">
        <v>4732</v>
      </c>
      <c r="B2652" s="8" t="s">
        <v>4733</v>
      </c>
      <c r="C2652" s="8">
        <v>9.0</v>
      </c>
      <c r="D2652" s="8">
        <v>10.0</v>
      </c>
      <c r="E2652" s="8">
        <v>10.0</v>
      </c>
      <c r="F2652" s="8">
        <v>10.0</v>
      </c>
      <c r="G2652" s="8" t="s">
        <v>24</v>
      </c>
      <c r="H2652" s="9"/>
      <c r="I2652" s="9"/>
      <c r="N2652" s="10" t="str">
        <f t="shared" si="2"/>
        <v>21-5427(a)(3) - Stalking; After notice of protective order prohibiting contact with a targeted person, recklessly engaging in conduct listed in (f)(1) that violates the order and would cause a reasonable person in targeted person's circumstances to fear for such person's or immediate family's safety and targeted person actually placed in such fear; 1st conviction</v>
      </c>
      <c r="O2652" s="10" t="str">
        <f t="shared" si="3"/>
        <v>Stalking</v>
      </c>
    </row>
    <row r="2653">
      <c r="A2653" s="7" t="s">
        <v>4734</v>
      </c>
      <c r="B2653" s="8" t="s">
        <v>4733</v>
      </c>
      <c r="C2653" s="8">
        <v>5.0</v>
      </c>
      <c r="D2653" s="8">
        <v>7.0</v>
      </c>
      <c r="E2653" s="8">
        <v>7.0</v>
      </c>
      <c r="F2653" s="8">
        <v>8.0</v>
      </c>
      <c r="G2653" s="8" t="s">
        <v>24</v>
      </c>
      <c r="H2653" s="9"/>
      <c r="I2653" s="9"/>
      <c r="N2653" s="10" t="str">
        <f t="shared" si="2"/>
        <v>21-5427(a)(3) - Stalking; After notice of protective order prohibiting contact with a targeted person, recklessly engaging in conduct listed in (f)(1) that violates the order and would cause a reasonable person in targeted person's circumstances to fear for such person's or immediate family's safety and targeted person actually placed in such fear; 2nd or subs. conviction</v>
      </c>
      <c r="O2653" s="10" t="str">
        <f t="shared" si="3"/>
        <v>Stalking</v>
      </c>
    </row>
    <row r="2654">
      <c r="A2654" s="7" t="s">
        <v>4735</v>
      </c>
      <c r="B2654" s="8" t="s">
        <v>4736</v>
      </c>
      <c r="C2654" s="8" t="s">
        <v>27</v>
      </c>
      <c r="D2654" s="8" t="s">
        <v>28</v>
      </c>
      <c r="E2654" s="8" t="s">
        <v>19</v>
      </c>
      <c r="F2654" s="8" t="s">
        <v>20</v>
      </c>
      <c r="G2654" s="8" t="s">
        <v>24</v>
      </c>
      <c r="H2654" s="9"/>
      <c r="I2654" s="9"/>
      <c r="J2654" s="10">
        <f t="shared" ref="J2654:M2654" si="1628">ifs(OR($H2654="R",$I2654="N"),"N/A",OR(C2654="A",C2654="B",C2654="C",C2654="U"),3,TRUE,"FLAG")</f>
        <v>3</v>
      </c>
      <c r="K2654" s="10">
        <f t="shared" si="1628"/>
        <v>3</v>
      </c>
      <c r="L2654" s="10">
        <f t="shared" si="1628"/>
        <v>3</v>
      </c>
      <c r="M2654" s="10" t="str">
        <f t="shared" si="1628"/>
        <v>FLAG</v>
      </c>
      <c r="N2654" s="10" t="str">
        <f t="shared" si="2"/>
        <v>21-5427(a)(2) - Stalking; Engaging in a course of conduct targeted at specific person which individual knows will place targeted person in fear for such person's or immediate family member's safety; 1st conviction</v>
      </c>
      <c r="O2654" s="10" t="str">
        <f t="shared" si="3"/>
        <v>Stalking</v>
      </c>
    </row>
    <row r="2655">
      <c r="A2655" s="7" t="s">
        <v>4737</v>
      </c>
      <c r="B2655" s="8" t="s">
        <v>4736</v>
      </c>
      <c r="C2655" s="8">
        <v>5.0</v>
      </c>
      <c r="D2655" s="8">
        <v>7.0</v>
      </c>
      <c r="E2655" s="8">
        <v>7.0</v>
      </c>
      <c r="F2655" s="8">
        <v>8.0</v>
      </c>
      <c r="G2655" s="8" t="s">
        <v>24</v>
      </c>
      <c r="H2655" s="9"/>
      <c r="I2655" s="9"/>
      <c r="N2655" s="10" t="str">
        <f t="shared" si="2"/>
        <v>21-5427(a)(2) - Stalking; Engaging in a course of conduct targeted at specific person which individual knows will place targeted person in fear for such person's or immediate family member's safety; 2nd or subs. conviction</v>
      </c>
      <c r="O2655" s="10" t="str">
        <f t="shared" si="3"/>
        <v>Stalking</v>
      </c>
    </row>
    <row r="2656">
      <c r="A2656" s="7" t="s">
        <v>4738</v>
      </c>
      <c r="B2656" s="8" t="s">
        <v>4739</v>
      </c>
      <c r="C2656" s="8" t="s">
        <v>27</v>
      </c>
      <c r="D2656" s="8" t="s">
        <v>28</v>
      </c>
      <c r="E2656" s="8" t="s">
        <v>19</v>
      </c>
      <c r="F2656" s="8" t="s">
        <v>20</v>
      </c>
      <c r="G2656" s="8" t="s">
        <v>24</v>
      </c>
      <c r="H2656" s="9"/>
      <c r="I2656" s="9"/>
      <c r="J2656" s="10">
        <f t="shared" ref="J2656:M2656" si="1629">ifs(OR($H2656="R",$I2656="N"),"N/A",OR(C2656="A",C2656="B",C2656="C",C2656="U"),3,TRUE,"FLAG")</f>
        <v>3</v>
      </c>
      <c r="K2656" s="10">
        <f t="shared" si="1629"/>
        <v>3</v>
      </c>
      <c r="L2656" s="10">
        <f t="shared" si="1629"/>
        <v>3</v>
      </c>
      <c r="M2656" s="10" t="str">
        <f t="shared" si="1629"/>
        <v>FLAG</v>
      </c>
      <c r="N2656" s="10" t="str">
        <f t="shared" si="2"/>
        <v>21-5427(a)(1) - Stalking; Recklessly engaging in a course of conduct targeted at specific person which would cause a reasonable person in the targeted person's circumstances to fear for such person's or immediate family member's safety and targeted person actually placed in such fear; 1st conviction</v>
      </c>
      <c r="O2656" s="10" t="str">
        <f t="shared" si="3"/>
        <v>Stalking</v>
      </c>
    </row>
    <row r="2657">
      <c r="A2657" s="7" t="s">
        <v>4740</v>
      </c>
      <c r="B2657" s="8" t="s">
        <v>4739</v>
      </c>
      <c r="C2657" s="8">
        <v>7.0</v>
      </c>
      <c r="D2657" s="8">
        <v>9.0</v>
      </c>
      <c r="E2657" s="8">
        <v>9.0</v>
      </c>
      <c r="F2657" s="8">
        <v>10.0</v>
      </c>
      <c r="G2657" s="8" t="s">
        <v>24</v>
      </c>
      <c r="H2657" s="9"/>
      <c r="I2657" s="9"/>
      <c r="N2657" s="10" t="str">
        <f t="shared" si="2"/>
        <v>21-5427(a)(1) - Stalking; Recklessly engaging in a course of conduct targeted at specific person which would cause a reasonable person in the targeted person's circumstances to fear for such person's or immediate family member's safety and targeted person actually placed in such fear; 2nd or subs. conviction</v>
      </c>
      <c r="O2657" s="10" t="str">
        <f t="shared" si="3"/>
        <v>Stalking</v>
      </c>
    </row>
    <row r="2658">
      <c r="A2658" s="7" t="s">
        <v>4741</v>
      </c>
      <c r="B2658" s="8" t="s">
        <v>4742</v>
      </c>
      <c r="C2658" s="8" t="s">
        <v>27</v>
      </c>
      <c r="D2658" s="8" t="s">
        <v>28</v>
      </c>
      <c r="E2658" s="8" t="s">
        <v>19</v>
      </c>
      <c r="F2658" s="8" t="s">
        <v>20</v>
      </c>
      <c r="G2658" s="8" t="s">
        <v>21</v>
      </c>
      <c r="H2658" s="9"/>
      <c r="I2658" s="9"/>
      <c r="J2658" s="10">
        <f t="shared" ref="J2658:M2658" si="1630">ifs(OR($H2658="R",$I2658="N"),"N/A",OR(C2658="A",C2658="B",C2658="C",C2658="U"),3,TRUE,"FLAG")</f>
        <v>3</v>
      </c>
      <c r="K2658" s="10">
        <f t="shared" si="1630"/>
        <v>3</v>
      </c>
      <c r="L2658" s="10">
        <f t="shared" si="1630"/>
        <v>3</v>
      </c>
      <c r="M2658" s="10" t="str">
        <f t="shared" si="1630"/>
        <v>FLAG</v>
      </c>
      <c r="N2658" s="10" t="str">
        <f t="shared" si="2"/>
        <v>74-7029(a)(8) - State Board of Technical Professionals; Any other violation of provisions of this act</v>
      </c>
      <c r="O2658" s="10" t="str">
        <f t="shared" si="3"/>
        <v>State Board of Technical Professionals</v>
      </c>
    </row>
    <row r="2659">
      <c r="A2659" s="7" t="s">
        <v>4743</v>
      </c>
      <c r="B2659" s="8" t="s">
        <v>4744</v>
      </c>
      <c r="C2659" s="8" t="s">
        <v>27</v>
      </c>
      <c r="D2659" s="8" t="s">
        <v>28</v>
      </c>
      <c r="E2659" s="8" t="s">
        <v>19</v>
      </c>
      <c r="F2659" s="8" t="s">
        <v>20</v>
      </c>
      <c r="G2659" s="8" t="s">
        <v>21</v>
      </c>
      <c r="H2659" s="9"/>
      <c r="I2659" s="9"/>
      <c r="J2659" s="10">
        <f t="shared" ref="J2659:M2659" si="1631">ifs(OR($H2659="R",$I2659="N"),"N/A",OR(C2659="A",C2659="B",C2659="C",C2659="U"),3,TRUE,"FLAG")</f>
        <v>3</v>
      </c>
      <c r="K2659" s="10">
        <f t="shared" si="1631"/>
        <v>3</v>
      </c>
      <c r="L2659" s="10">
        <f t="shared" si="1631"/>
        <v>3</v>
      </c>
      <c r="M2659" s="10" t="str">
        <f t="shared" si="1631"/>
        <v>FLAG</v>
      </c>
      <c r="N2659" s="10" t="str">
        <f t="shared" si="2"/>
        <v>74-7029(a)(6) - State Board of Technical Professionals; Falsely advertise as a licensed practitioner or as the holder of a certificate of authorization</v>
      </c>
      <c r="O2659" s="10" t="str">
        <f t="shared" si="3"/>
        <v>State Board of Technical Professionals</v>
      </c>
    </row>
    <row r="2660">
      <c r="A2660" s="7" t="s">
        <v>4745</v>
      </c>
      <c r="B2660" s="8" t="s">
        <v>4746</v>
      </c>
      <c r="C2660" s="8" t="s">
        <v>27</v>
      </c>
      <c r="D2660" s="8" t="s">
        <v>28</v>
      </c>
      <c r="E2660" s="8" t="s">
        <v>19</v>
      </c>
      <c r="F2660" s="8" t="s">
        <v>20</v>
      </c>
      <c r="G2660" s="8" t="s">
        <v>21</v>
      </c>
      <c r="H2660" s="9"/>
      <c r="I2660" s="9"/>
      <c r="J2660" s="10">
        <f t="shared" ref="J2660:M2660" si="1632">ifs(OR($H2660="R",$I2660="N"),"N/A",OR(C2660="A",C2660="B",C2660="C",C2660="U"),3,TRUE,"FLAG")</f>
        <v>3</v>
      </c>
      <c r="K2660" s="10">
        <f t="shared" si="1632"/>
        <v>3</v>
      </c>
      <c r="L2660" s="10">
        <f t="shared" si="1632"/>
        <v>3</v>
      </c>
      <c r="M2660" s="10" t="str">
        <f t="shared" si="1632"/>
        <v>FLAG</v>
      </c>
      <c r="N2660" s="10" t="str">
        <f t="shared" si="2"/>
        <v>74-7029(a)(3) - State Board of Technical Professionals; Falsely impersonate any other practitioner of like or different name</v>
      </c>
      <c r="O2660" s="10" t="str">
        <f t="shared" si="3"/>
        <v>State Board of Technical Professionals</v>
      </c>
    </row>
    <row r="2661">
      <c r="A2661" s="7" t="s">
        <v>4747</v>
      </c>
      <c r="B2661" s="8" t="s">
        <v>4748</v>
      </c>
      <c r="C2661" s="8" t="s">
        <v>27</v>
      </c>
      <c r="D2661" s="8" t="s">
        <v>28</v>
      </c>
      <c r="E2661" s="8" t="s">
        <v>19</v>
      </c>
      <c r="F2661" s="8" t="s">
        <v>20</v>
      </c>
      <c r="G2661" s="8" t="s">
        <v>21</v>
      </c>
      <c r="H2661" s="9"/>
      <c r="I2661" s="9"/>
      <c r="J2661" s="10">
        <f t="shared" ref="J2661:M2661" si="1633">ifs(OR($H2661="R",$I2661="N"),"N/A",OR(C2661="A",C2661="B",C2661="C",C2661="U"),3,TRUE,"FLAG")</f>
        <v>3</v>
      </c>
      <c r="K2661" s="10">
        <f t="shared" si="1633"/>
        <v>3</v>
      </c>
      <c r="L2661" s="10">
        <f t="shared" si="1633"/>
        <v>3</v>
      </c>
      <c r="M2661" s="10" t="str">
        <f t="shared" si="1633"/>
        <v>FLAG</v>
      </c>
      <c r="N2661" s="10" t="str">
        <f t="shared" si="2"/>
        <v>74-7029(a)(4) - State Board of Technical Professionals; Give false or forged evidence to the board or any member thereof in obtaining a license or certificate of authorization</v>
      </c>
      <c r="O2661" s="10" t="str">
        <f t="shared" si="3"/>
        <v>State Board of Technical Professionals</v>
      </c>
    </row>
    <row r="2662">
      <c r="A2662" s="7" t="s">
        <v>4749</v>
      </c>
      <c r="B2662" s="8" t="s">
        <v>4750</v>
      </c>
      <c r="C2662" s="8" t="s">
        <v>27</v>
      </c>
      <c r="D2662" s="8" t="s">
        <v>28</v>
      </c>
      <c r="E2662" s="8" t="s">
        <v>19</v>
      </c>
      <c r="F2662" s="8" t="s">
        <v>20</v>
      </c>
      <c r="G2662" s="8" t="s">
        <v>21</v>
      </c>
      <c r="H2662" s="9"/>
      <c r="I2662" s="9"/>
      <c r="J2662" s="10">
        <f t="shared" ref="J2662:M2662" si="1634">ifs(OR($H2662="R",$I2662="N"),"N/A",OR(C2662="A",C2662="B",C2662="C",C2662="U"),3,TRUE,"FLAG")</f>
        <v>3</v>
      </c>
      <c r="K2662" s="10">
        <f t="shared" si="1634"/>
        <v>3</v>
      </c>
      <c r="L2662" s="10">
        <f t="shared" si="1634"/>
        <v>3</v>
      </c>
      <c r="M2662" s="10" t="str">
        <f t="shared" si="1634"/>
        <v>FLAG</v>
      </c>
      <c r="N2662" s="10" t="str">
        <f t="shared" si="2"/>
        <v>74-7029(a)(1) - State Board of Technical Professionals; Practice, offer to practice, or hold oneself out as entitled to practice any technical profession without being duly licensed or holding a certificate of authorization issued under K.S.A. 74-7036</v>
      </c>
      <c r="O2662" s="10" t="str">
        <f t="shared" si="3"/>
        <v>State Board of Technical Professionals</v>
      </c>
    </row>
    <row r="2663">
      <c r="A2663" s="7" t="s">
        <v>4751</v>
      </c>
      <c r="B2663" s="8" t="s">
        <v>4752</v>
      </c>
      <c r="C2663" s="8" t="s">
        <v>27</v>
      </c>
      <c r="D2663" s="8" t="s">
        <v>28</v>
      </c>
      <c r="E2663" s="8" t="s">
        <v>19</v>
      </c>
      <c r="F2663" s="8" t="s">
        <v>20</v>
      </c>
      <c r="G2663" s="8" t="s">
        <v>21</v>
      </c>
      <c r="H2663" s="9"/>
      <c r="I2663" s="9"/>
      <c r="J2663" s="10">
        <f t="shared" ref="J2663:M2663" si="1635">ifs(OR($H2663="R",$I2663="N"),"N/A",OR(C2663="A",C2663="B",C2663="C",C2663="U"),3,TRUE,"FLAG")</f>
        <v>3</v>
      </c>
      <c r="K2663" s="10">
        <f t="shared" si="1635"/>
        <v>3</v>
      </c>
      <c r="L2663" s="10">
        <f t="shared" si="1635"/>
        <v>3</v>
      </c>
      <c r="M2663" s="10" t="str">
        <f t="shared" si="1635"/>
        <v>FLAG</v>
      </c>
      <c r="N2663" s="10" t="str">
        <f t="shared" si="2"/>
        <v>74-7029(a)(2) - State Board of Technical Professionals; Present or attempt to use, as such person's own, the license, certificate of authorization or seal of another</v>
      </c>
      <c r="O2663" s="10" t="str">
        <f t="shared" si="3"/>
        <v>State Board of Technical Professionals</v>
      </c>
    </row>
    <row r="2664">
      <c r="A2664" s="7" t="s">
        <v>4753</v>
      </c>
      <c r="B2664" s="8" t="s">
        <v>4754</v>
      </c>
      <c r="C2664" s="8" t="s">
        <v>27</v>
      </c>
      <c r="D2664" s="8" t="s">
        <v>28</v>
      </c>
      <c r="E2664" s="8" t="s">
        <v>19</v>
      </c>
      <c r="F2664" s="8" t="s">
        <v>20</v>
      </c>
      <c r="G2664" s="8" t="s">
        <v>21</v>
      </c>
      <c r="H2664" s="9"/>
      <c r="I2664" s="9"/>
      <c r="J2664" s="10">
        <f t="shared" ref="J2664:M2664" si="1636">ifs(OR($H2664="R",$I2664="N"),"N/A",OR(C2664="A",C2664="B",C2664="C",C2664="U"),3,TRUE,"FLAG")</f>
        <v>3</v>
      </c>
      <c r="K2664" s="10">
        <f t="shared" si="1636"/>
        <v>3</v>
      </c>
      <c r="L2664" s="10">
        <f t="shared" si="1636"/>
        <v>3</v>
      </c>
      <c r="M2664" s="10" t="str">
        <f t="shared" si="1636"/>
        <v>FLAG</v>
      </c>
      <c r="N2664" s="10" t="str">
        <f t="shared" si="2"/>
        <v>74-7029(a)(7) - State Board of Technical Professionals; Unauthorized use of any title or description intended to convey the impression that a person is a licensed practitioner or holds a certificate of authorization</v>
      </c>
      <c r="O2664" s="10" t="str">
        <f t="shared" si="3"/>
        <v>State Board of Technical Professionals</v>
      </c>
    </row>
    <row r="2665">
      <c r="A2665" s="7" t="s">
        <v>4755</v>
      </c>
      <c r="B2665" s="8" t="s">
        <v>4756</v>
      </c>
      <c r="C2665" s="8" t="s">
        <v>27</v>
      </c>
      <c r="D2665" s="8" t="s">
        <v>28</v>
      </c>
      <c r="E2665" s="8" t="s">
        <v>19</v>
      </c>
      <c r="F2665" s="8" t="s">
        <v>20</v>
      </c>
      <c r="G2665" s="8" t="s">
        <v>21</v>
      </c>
      <c r="H2665" s="9"/>
      <c r="I2665" s="9"/>
      <c r="J2665" s="10">
        <f t="shared" ref="J2665:M2665" si="1637">ifs(OR($H2665="R",$I2665="N"),"N/A",OR(C2665="A",C2665="B",C2665="C",C2665="U"),3,TRUE,"FLAG")</f>
        <v>3</v>
      </c>
      <c r="K2665" s="10">
        <f t="shared" si="1637"/>
        <v>3</v>
      </c>
      <c r="L2665" s="10">
        <f t="shared" si="1637"/>
        <v>3</v>
      </c>
      <c r="M2665" s="10" t="str">
        <f t="shared" si="1637"/>
        <v>FLAG</v>
      </c>
      <c r="N2665" s="10" t="str">
        <f t="shared" si="2"/>
        <v>74-7029(a)(5) - State Board of Technical Professionals; Use or attempt to use a license or certificate of authorization that has expired or been suspended or revoked</v>
      </c>
      <c r="O2665" s="10" t="str">
        <f t="shared" si="3"/>
        <v>State Board of Technical Professionals</v>
      </c>
    </row>
    <row r="2666">
      <c r="A2666" s="7" t="s">
        <v>4757</v>
      </c>
      <c r="B2666" s="8" t="s">
        <v>4758</v>
      </c>
      <c r="C2666" s="8" t="s">
        <v>18</v>
      </c>
      <c r="D2666" s="8" t="s">
        <v>18</v>
      </c>
      <c r="E2666" s="8" t="s">
        <v>19</v>
      </c>
      <c r="F2666" s="8" t="s">
        <v>20</v>
      </c>
      <c r="G2666" s="8" t="s">
        <v>21</v>
      </c>
      <c r="H2666" s="9"/>
      <c r="I2666" s="9"/>
      <c r="J2666" s="10">
        <f t="shared" ref="J2666:M2666" si="1638">ifs(OR($H2666="R",$I2666="N"),"N/A",OR(C2666="A",C2666="B",C2666="C",C2666="U"),3,TRUE,"FLAG")</f>
        <v>3</v>
      </c>
      <c r="K2666" s="10">
        <f t="shared" si="1638"/>
        <v>3</v>
      </c>
      <c r="L2666" s="10">
        <f t="shared" si="1638"/>
        <v>3</v>
      </c>
      <c r="M2666" s="10" t="str">
        <f t="shared" si="1638"/>
        <v>FLAG</v>
      </c>
      <c r="N2666" s="10" t="str">
        <f t="shared" si="2"/>
        <v>66-1,140(a) - State Corporation Commission; Commission required to make rules and regulations governing registration and fees for certain vehicles used temporarily</v>
      </c>
      <c r="O2666" s="10" t="str">
        <f t="shared" si="3"/>
        <v>State Corporation Commission</v>
      </c>
    </row>
    <row r="2667">
      <c r="A2667" s="7" t="s">
        <v>4759</v>
      </c>
      <c r="B2667" s="8" t="s">
        <v>4760</v>
      </c>
      <c r="C2667" s="8" t="s">
        <v>18</v>
      </c>
      <c r="D2667" s="8" t="s">
        <v>18</v>
      </c>
      <c r="E2667" s="8" t="s">
        <v>19</v>
      </c>
      <c r="F2667" s="8" t="s">
        <v>20</v>
      </c>
      <c r="G2667" s="8" t="s">
        <v>21</v>
      </c>
      <c r="H2667" s="9"/>
      <c r="I2667" s="9"/>
      <c r="J2667" s="10">
        <f t="shared" ref="J2667:M2667" si="1639">ifs(OR($H2667="R",$I2667="N"),"N/A",OR(C2667="A",C2667="B",C2667="C",C2667="U"),3,TRUE,"FLAG")</f>
        <v>3</v>
      </c>
      <c r="K2667" s="10">
        <f t="shared" si="1639"/>
        <v>3</v>
      </c>
      <c r="L2667" s="10">
        <f t="shared" si="1639"/>
        <v>3</v>
      </c>
      <c r="M2667" s="10" t="str">
        <f t="shared" si="1639"/>
        <v>FLAG</v>
      </c>
      <c r="N2667" s="10" t="str">
        <f t="shared" si="2"/>
        <v>66-1,140(b) - State Corporation Commission; Commission required to make rules and regulations governing vehicles entering state on occasional trips</v>
      </c>
      <c r="O2667" s="10" t="str">
        <f t="shared" si="3"/>
        <v>State Corporation Commission</v>
      </c>
    </row>
    <row r="2668">
      <c r="A2668" s="7" t="s">
        <v>4761</v>
      </c>
      <c r="B2668" s="8" t="s">
        <v>4762</v>
      </c>
      <c r="C2668" s="8" t="s">
        <v>27</v>
      </c>
      <c r="D2668" s="8" t="s">
        <v>28</v>
      </c>
      <c r="E2668" s="8" t="s">
        <v>19</v>
      </c>
      <c r="F2668" s="8" t="s">
        <v>20</v>
      </c>
      <c r="G2668" s="8" t="s">
        <v>21</v>
      </c>
      <c r="H2668" s="9"/>
      <c r="I2668" s="9"/>
      <c r="J2668" s="10">
        <f t="shared" ref="J2668:M2668" si="1640">ifs(OR($H2668="R",$I2668="N"),"N/A",OR(C2668="A",C2668="B",C2668="C",C2668="U"),3,TRUE,"FLAG")</f>
        <v>3</v>
      </c>
      <c r="K2668" s="10">
        <f t="shared" si="1640"/>
        <v>3</v>
      </c>
      <c r="L2668" s="10">
        <f t="shared" si="1640"/>
        <v>3</v>
      </c>
      <c r="M2668" s="10" t="str">
        <f t="shared" si="1640"/>
        <v>FLAG</v>
      </c>
      <c r="N2668" s="10" t="str">
        <f t="shared" si="2"/>
        <v>66-1,157d(a) - State Corporation Commission; Destruction of pipeline signs or markers</v>
      </c>
      <c r="O2668" s="10" t="str">
        <f t="shared" si="3"/>
        <v>State Corporation Commission</v>
      </c>
    </row>
    <row r="2669">
      <c r="A2669" s="7" t="s">
        <v>4763</v>
      </c>
      <c r="B2669" s="8" t="s">
        <v>4764</v>
      </c>
      <c r="C2669" s="8" t="s">
        <v>18</v>
      </c>
      <c r="D2669" s="8" t="s">
        <v>18</v>
      </c>
      <c r="E2669" s="8" t="s">
        <v>19</v>
      </c>
      <c r="F2669" s="8" t="s">
        <v>20</v>
      </c>
      <c r="G2669" s="8" t="s">
        <v>21</v>
      </c>
      <c r="H2669" s="9"/>
      <c r="I2669" s="9"/>
      <c r="J2669" s="10">
        <f t="shared" ref="J2669:M2669" si="1641">ifs(OR($H2669="R",$I2669="N"),"N/A",OR(C2669="A",C2669="B",C2669="C",C2669="U"),3,TRUE,"FLAG")</f>
        <v>3</v>
      </c>
      <c r="K2669" s="10">
        <f t="shared" si="1641"/>
        <v>3</v>
      </c>
      <c r="L2669" s="10">
        <f t="shared" si="1641"/>
        <v>3</v>
      </c>
      <c r="M2669" s="10" t="str">
        <f t="shared" si="1641"/>
        <v>FLAG</v>
      </c>
      <c r="N2669" s="10" t="str">
        <f t="shared" si="2"/>
        <v>66-1,139(d) - State Corporation Commission; Fail to comply with form of application requirements</v>
      </c>
      <c r="O2669" s="10" t="str">
        <f t="shared" si="3"/>
        <v>State Corporation Commission</v>
      </c>
    </row>
    <row r="2670">
      <c r="A2670" s="7" t="s">
        <v>4765</v>
      </c>
      <c r="B2670" s="8" t="s">
        <v>4766</v>
      </c>
      <c r="C2670" s="8" t="s">
        <v>19</v>
      </c>
      <c r="D2670" s="8" t="s">
        <v>19</v>
      </c>
      <c r="E2670" s="8" t="s">
        <v>19</v>
      </c>
      <c r="F2670" s="8" t="s">
        <v>20</v>
      </c>
      <c r="G2670" s="8" t="s">
        <v>21</v>
      </c>
      <c r="H2670" s="9"/>
      <c r="I2670" s="9"/>
      <c r="J2670" s="10">
        <f t="shared" ref="J2670:M2670" si="1642">ifs(OR($H2670="R",$I2670="N"),"N/A",OR(C2670="A",C2670="B",C2670="C",C2670="U"),3,TRUE,"FLAG")</f>
        <v>3</v>
      </c>
      <c r="K2670" s="10">
        <f t="shared" si="1642"/>
        <v>3</v>
      </c>
      <c r="L2670" s="10">
        <f t="shared" si="1642"/>
        <v>3</v>
      </c>
      <c r="M2670" s="10" t="str">
        <f t="shared" si="1642"/>
        <v>FLAG</v>
      </c>
      <c r="N2670" s="10" t="str">
        <f t="shared" si="2"/>
        <v>74-621 - State Corporation Commission; Intentionally violate any provision of the system of priorities for the allocation of available energy resources or for the curtailment of the consumption of such energy resources, or both, during any energy resources emergency proclaimed by the governor</v>
      </c>
      <c r="O2670" s="10" t="str">
        <f t="shared" si="3"/>
        <v>State Corporation Commission</v>
      </c>
    </row>
    <row r="2671">
      <c r="A2671" s="7" t="s">
        <v>4767</v>
      </c>
      <c r="B2671" s="8" t="s">
        <v>4768</v>
      </c>
      <c r="C2671" s="8" t="s">
        <v>18</v>
      </c>
      <c r="D2671" s="8" t="s">
        <v>18</v>
      </c>
      <c r="E2671" s="8" t="s">
        <v>19</v>
      </c>
      <c r="F2671" s="8" t="s">
        <v>20</v>
      </c>
      <c r="G2671" s="8" t="s">
        <v>21</v>
      </c>
      <c r="H2671" s="9"/>
      <c r="I2671" s="9"/>
      <c r="J2671" s="10">
        <f t="shared" ref="J2671:M2671" si="1643">ifs(OR($H2671="R",$I2671="N"),"N/A",OR(C2671="A",C2671="B",C2671="C",C2671="U"),3,TRUE,"FLAG")</f>
        <v>3</v>
      </c>
      <c r="K2671" s="10">
        <f t="shared" si="1643"/>
        <v>3</v>
      </c>
      <c r="L2671" s="10">
        <f t="shared" si="1643"/>
        <v>3</v>
      </c>
      <c r="M2671" s="10" t="str">
        <f t="shared" si="1643"/>
        <v>FLAG</v>
      </c>
      <c r="N2671" s="10" t="str">
        <f t="shared" si="2"/>
        <v>66-1,139(b) - State Corporation Commission; Intrastate carriers as defined by K.S.A. 8-126 required to register with corporation commission</v>
      </c>
      <c r="O2671" s="10" t="str">
        <f t="shared" si="3"/>
        <v>State Corporation Commission</v>
      </c>
    </row>
    <row r="2672">
      <c r="A2672" s="7" t="s">
        <v>4769</v>
      </c>
      <c r="B2672" s="8" t="s">
        <v>4770</v>
      </c>
      <c r="C2672" s="8" t="s">
        <v>18</v>
      </c>
      <c r="D2672" s="8" t="s">
        <v>18</v>
      </c>
      <c r="E2672" s="8" t="s">
        <v>19</v>
      </c>
      <c r="F2672" s="8" t="s">
        <v>20</v>
      </c>
      <c r="G2672" s="8" t="s">
        <v>21</v>
      </c>
      <c r="H2672" s="9"/>
      <c r="I2672" s="9"/>
      <c r="J2672" s="10">
        <f t="shared" ref="J2672:M2672" si="1644">ifs(OR($H2672="R",$I2672="N"),"N/A",OR(C2672="A",C2672="B",C2672="C",C2672="U"),3,TRUE,"FLAG")</f>
        <v>3</v>
      </c>
      <c r="K2672" s="10">
        <f t="shared" si="1644"/>
        <v>3</v>
      </c>
      <c r="L2672" s="10">
        <f t="shared" si="1644"/>
        <v>3</v>
      </c>
      <c r="M2672" s="10" t="str">
        <f t="shared" si="1644"/>
        <v>FLAG</v>
      </c>
      <c r="N2672" s="10" t="str">
        <f t="shared" si="2"/>
        <v>66-195 - State Corporation Commission; Penalty for failure to comply with order</v>
      </c>
      <c r="O2672" s="10" t="str">
        <f t="shared" si="3"/>
        <v>State Corporation Commission</v>
      </c>
    </row>
    <row r="2673">
      <c r="A2673" s="7" t="s">
        <v>4771</v>
      </c>
      <c r="B2673" s="8" t="s">
        <v>4772</v>
      </c>
      <c r="C2673" s="8" t="s">
        <v>18</v>
      </c>
      <c r="D2673" s="8" t="s">
        <v>18</v>
      </c>
      <c r="E2673" s="8" t="s">
        <v>19</v>
      </c>
      <c r="F2673" s="8" t="s">
        <v>20</v>
      </c>
      <c r="G2673" s="8" t="s">
        <v>21</v>
      </c>
      <c r="H2673" s="9"/>
      <c r="I2673" s="9"/>
      <c r="J2673" s="10">
        <f t="shared" ref="J2673:M2673" si="1645">ifs(OR($H2673="R",$I2673="N"),"N/A",OR(C2673="A",C2673="B",C2673="C",C2673="U"),3,TRUE,"FLAG")</f>
        <v>3</v>
      </c>
      <c r="K2673" s="10">
        <f t="shared" si="1645"/>
        <v>3</v>
      </c>
      <c r="L2673" s="10">
        <f t="shared" si="1645"/>
        <v>3</v>
      </c>
      <c r="M2673" s="10" t="str">
        <f t="shared" si="1645"/>
        <v>FLAG</v>
      </c>
      <c r="N2673" s="10" t="str">
        <f t="shared" si="2"/>
        <v>66-1,139(c) - State Corporation Commission; Registration and payment of regulatory fees required</v>
      </c>
      <c r="O2673" s="10" t="str">
        <f t="shared" si="3"/>
        <v>State Corporation Commission</v>
      </c>
    </row>
    <row r="2674">
      <c r="A2674" s="7" t="s">
        <v>4773</v>
      </c>
      <c r="B2674" s="8" t="s">
        <v>4774</v>
      </c>
      <c r="C2674" s="8" t="s">
        <v>18</v>
      </c>
      <c r="D2674" s="8" t="s">
        <v>18</v>
      </c>
      <c r="E2674" s="8" t="s">
        <v>19</v>
      </c>
      <c r="F2674" s="8" t="s">
        <v>20</v>
      </c>
      <c r="G2674" s="8" t="s">
        <v>21</v>
      </c>
      <c r="H2674" s="9"/>
      <c r="I2674" s="9"/>
      <c r="J2674" s="10">
        <f t="shared" ref="J2674:M2674" si="1646">ifs(OR($H2674="R",$I2674="N"),"N/A",OR(C2674="A",C2674="B",C2674="C",C2674="U"),3,TRUE,"FLAG")</f>
        <v>3</v>
      </c>
      <c r="K2674" s="10">
        <f t="shared" si="1646"/>
        <v>3</v>
      </c>
      <c r="L2674" s="10">
        <f t="shared" si="1646"/>
        <v>3</v>
      </c>
      <c r="M2674" s="10" t="str">
        <f t="shared" si="1646"/>
        <v>FLAG</v>
      </c>
      <c r="N2674" s="10" t="str">
        <f t="shared" si="2"/>
        <v>66-1,139(a) - State Corporation Commission; Registration of interstate carriers in base state required pursuant to 49 U.S.C. 14504</v>
      </c>
      <c r="O2674" s="10" t="str">
        <f t="shared" si="3"/>
        <v>State Corporation Commission</v>
      </c>
    </row>
    <row r="2675">
      <c r="A2675" s="7" t="s">
        <v>4775</v>
      </c>
      <c r="B2675" s="8" t="s">
        <v>4776</v>
      </c>
      <c r="C2675" s="8" t="s">
        <v>18</v>
      </c>
      <c r="D2675" s="8" t="s">
        <v>18</v>
      </c>
      <c r="E2675" s="8" t="s">
        <v>19</v>
      </c>
      <c r="F2675" s="8" t="s">
        <v>20</v>
      </c>
      <c r="G2675" s="8" t="s">
        <v>21</v>
      </c>
      <c r="H2675" s="9"/>
      <c r="I2675" s="9"/>
      <c r="J2675" s="10">
        <f t="shared" ref="J2675:M2675" si="1647">ifs(OR($H2675="R",$I2675="N"),"N/A",OR(C2675="A",C2675="B",C2675="C",C2675="U"),3,TRUE,"FLAG")</f>
        <v>3</v>
      </c>
      <c r="K2675" s="10">
        <f t="shared" si="1647"/>
        <v>3</v>
      </c>
      <c r="L2675" s="10">
        <f t="shared" si="1647"/>
        <v>3</v>
      </c>
      <c r="M2675" s="10" t="str">
        <f t="shared" si="1647"/>
        <v>FLAG</v>
      </c>
      <c r="N2675" s="10" t="str">
        <f t="shared" si="2"/>
        <v>66-1,139(e) - State Corporation Commission; Remittance of moneys, requirements</v>
      </c>
      <c r="O2675" s="10" t="str">
        <f t="shared" si="3"/>
        <v>State Corporation Commission</v>
      </c>
    </row>
    <row r="2676">
      <c r="A2676" s="7" t="s">
        <v>4777</v>
      </c>
      <c r="B2676" s="8" t="s">
        <v>4778</v>
      </c>
      <c r="C2676" s="8" t="s">
        <v>18</v>
      </c>
      <c r="D2676" s="8" t="s">
        <v>18</v>
      </c>
      <c r="E2676" s="8" t="s">
        <v>19</v>
      </c>
      <c r="F2676" s="8" t="s">
        <v>20</v>
      </c>
      <c r="G2676" s="8" t="s">
        <v>21</v>
      </c>
      <c r="H2676" s="9"/>
      <c r="I2676" s="9"/>
      <c r="J2676" s="10">
        <f t="shared" ref="J2676:M2676" si="1648">ifs(OR($H2676="R",$I2676="N"),"N/A",OR(C2676="A",C2676="B",C2676="C",C2676="U"),3,TRUE,"FLAG")</f>
        <v>3</v>
      </c>
      <c r="K2676" s="10">
        <f t="shared" si="1648"/>
        <v>3</v>
      </c>
      <c r="L2676" s="10">
        <f t="shared" si="1648"/>
        <v>3</v>
      </c>
      <c r="M2676" s="10" t="str">
        <f t="shared" si="1648"/>
        <v>FLAG</v>
      </c>
      <c r="N2676" s="10" t="str">
        <f t="shared" si="2"/>
        <v>66-1,140(c) - State Corporation Commission; Superintendent of the highway patrol designated as issuing agent, required to acknowledge special registrations</v>
      </c>
      <c r="O2676" s="10" t="str">
        <f t="shared" si="3"/>
        <v>State Corporation Commission</v>
      </c>
    </row>
    <row r="2677">
      <c r="A2677" s="7" t="s">
        <v>4779</v>
      </c>
      <c r="B2677" s="8" t="s">
        <v>4780</v>
      </c>
      <c r="C2677" s="8" t="s">
        <v>18</v>
      </c>
      <c r="D2677" s="8" t="s">
        <v>18</v>
      </c>
      <c r="E2677" s="8" t="s">
        <v>19</v>
      </c>
      <c r="F2677" s="8" t="s">
        <v>20</v>
      </c>
      <c r="G2677" s="8" t="s">
        <v>21</v>
      </c>
      <c r="H2677" s="9"/>
      <c r="I2677" s="9"/>
      <c r="J2677" s="10">
        <f t="shared" ref="J2677:M2677" si="1649">ifs(OR($H2677="R",$I2677="N"),"N/A",OR(C2677="A",C2677="B",C2677="C",C2677="U"),3,TRUE,"FLAG")</f>
        <v>3</v>
      </c>
      <c r="K2677" s="10">
        <f t="shared" si="1649"/>
        <v>3</v>
      </c>
      <c r="L2677" s="10">
        <f t="shared" si="1649"/>
        <v>3</v>
      </c>
      <c r="M2677" s="10" t="str">
        <f t="shared" si="1649"/>
        <v>FLAG</v>
      </c>
      <c r="N2677" s="10" t="str">
        <f t="shared" si="2"/>
        <v>66-126 - State Corporation Commission; Unlawful securities</v>
      </c>
      <c r="O2677" s="10" t="str">
        <f t="shared" si="3"/>
        <v>State Corporation Commission</v>
      </c>
    </row>
    <row r="2678">
      <c r="A2678" s="7" t="s">
        <v>4781</v>
      </c>
      <c r="B2678" s="8" t="s">
        <v>4782</v>
      </c>
      <c r="C2678" s="8" t="s">
        <v>18</v>
      </c>
      <c r="D2678" s="8" t="s">
        <v>18</v>
      </c>
      <c r="E2678" s="8" t="s">
        <v>19</v>
      </c>
      <c r="F2678" s="8" t="s">
        <v>20</v>
      </c>
      <c r="G2678" s="8" t="s">
        <v>21</v>
      </c>
      <c r="H2678" s="9"/>
      <c r="I2678" s="9"/>
      <c r="J2678" s="10">
        <f t="shared" ref="J2678:M2678" si="1650">ifs(OR($H2678="R",$I2678="N"),"N/A",OR(C2678="A",C2678="B",C2678="C",C2678="U"),3,TRUE,"FLAG")</f>
        <v>3</v>
      </c>
      <c r="K2678" s="10">
        <f t="shared" si="1650"/>
        <v>3</v>
      </c>
      <c r="L2678" s="10">
        <f t="shared" si="1650"/>
        <v>3</v>
      </c>
      <c r="M2678" s="10" t="str">
        <f t="shared" si="1650"/>
        <v>FLAG</v>
      </c>
      <c r="N2678" s="10" t="str">
        <f t="shared" si="2"/>
        <v>66-1,130(a) - State Corporation Commission; Violation of act except K.S.A. 66-1,111 or 66-1,128</v>
      </c>
      <c r="O2678" s="10" t="str">
        <f t="shared" si="3"/>
        <v>State Corporation Commission</v>
      </c>
    </row>
    <row r="2679">
      <c r="A2679" s="7" t="s">
        <v>4783</v>
      </c>
      <c r="B2679" s="8" t="s">
        <v>4784</v>
      </c>
      <c r="C2679" s="8" t="s">
        <v>18</v>
      </c>
      <c r="D2679" s="8" t="s">
        <v>18</v>
      </c>
      <c r="E2679" s="8" t="s">
        <v>19</v>
      </c>
      <c r="F2679" s="8" t="s">
        <v>20</v>
      </c>
      <c r="G2679" s="8" t="s">
        <v>21</v>
      </c>
      <c r="H2679" s="9"/>
      <c r="I2679" s="9"/>
      <c r="J2679" s="10">
        <f t="shared" ref="J2679:M2679" si="1651">ifs(OR($H2679="R",$I2679="N"),"N/A",OR(C2679="A",C2679="B",C2679="C",C2679="U"),3,TRUE,"FLAG")</f>
        <v>3</v>
      </c>
      <c r="K2679" s="10">
        <f t="shared" si="1651"/>
        <v>3</v>
      </c>
      <c r="L2679" s="10">
        <f t="shared" si="1651"/>
        <v>3</v>
      </c>
      <c r="M2679" s="10" t="str">
        <f t="shared" si="1651"/>
        <v>FLAG</v>
      </c>
      <c r="N2679" s="10" t="str">
        <f t="shared" si="2"/>
        <v>66-1,126 - State Corporation Commission; Violation of act relating to certificate, license, permit or report; failure to comply with certain commission orders</v>
      </c>
      <c r="O2679" s="10" t="str">
        <f t="shared" si="3"/>
        <v>State Corporation Commission</v>
      </c>
    </row>
    <row r="2680">
      <c r="A2680" s="7" t="s">
        <v>4785</v>
      </c>
      <c r="B2680" s="8" t="s">
        <v>4786</v>
      </c>
      <c r="C2680" s="8" t="s">
        <v>18</v>
      </c>
      <c r="D2680" s="8" t="s">
        <v>18</v>
      </c>
      <c r="E2680" s="8" t="s">
        <v>19</v>
      </c>
      <c r="F2680" s="8" t="s">
        <v>20</v>
      </c>
      <c r="G2680" s="8" t="s">
        <v>21</v>
      </c>
      <c r="H2680" s="9"/>
      <c r="I2680" s="9"/>
      <c r="J2680" s="10">
        <f t="shared" ref="J2680:M2680" si="1652">ifs(OR($H2680="R",$I2680="N"),"N/A",OR(C2680="A",C2680="B",C2680="C",C2680="U"),3,TRUE,"FLAG")</f>
        <v>3</v>
      </c>
      <c r="K2680" s="10">
        <f t="shared" si="1652"/>
        <v>3</v>
      </c>
      <c r="L2680" s="10">
        <f t="shared" si="1652"/>
        <v>3</v>
      </c>
      <c r="M2680" s="10" t="str">
        <f t="shared" si="1652"/>
        <v>FLAG</v>
      </c>
      <c r="N2680" s="10" t="str">
        <f t="shared" si="2"/>
        <v>66-1,130(b)(2) - State Corporation Commission; Violation of Motor Carrier Safety Rules and Regulations, K.S.A. 66-1,129 as specified in Subsection (b)(2) of K.S.A. 66-1,130</v>
      </c>
      <c r="O2680" s="10" t="str">
        <f t="shared" si="3"/>
        <v>State Corporation Commission</v>
      </c>
    </row>
    <row r="2681">
      <c r="A2681" s="7" t="s">
        <v>4787</v>
      </c>
      <c r="B2681" s="8" t="s">
        <v>4788</v>
      </c>
      <c r="C2681" s="8" t="s">
        <v>28</v>
      </c>
      <c r="D2681" s="8" t="s">
        <v>19</v>
      </c>
      <c r="E2681" s="8" t="s">
        <v>19</v>
      </c>
      <c r="F2681" s="8" t="s">
        <v>20</v>
      </c>
      <c r="G2681" s="8" t="s">
        <v>21</v>
      </c>
      <c r="H2681" s="9"/>
      <c r="I2681" s="9"/>
      <c r="J2681" s="10">
        <f t="shared" ref="J2681:M2681" si="1653">ifs(OR($H2681="R",$I2681="N"),"N/A",OR(C2681="A",C2681="B",C2681="C",C2681="U"),3,TRUE,"FLAG")</f>
        <v>3</v>
      </c>
      <c r="K2681" s="10">
        <f t="shared" si="1653"/>
        <v>3</v>
      </c>
      <c r="L2681" s="10">
        <f t="shared" si="1653"/>
        <v>3</v>
      </c>
      <c r="M2681" s="10" t="str">
        <f t="shared" si="1653"/>
        <v>FLAG</v>
      </c>
      <c r="N2681" s="10" t="str">
        <f t="shared" si="2"/>
        <v>66-150 - State Corporation Commission; Willfully obstruct commission, or any member thereof, in the performance of the commission's duties</v>
      </c>
      <c r="O2681" s="10" t="str">
        <f t="shared" si="3"/>
        <v>State Corporation Commission</v>
      </c>
    </row>
    <row r="2682">
      <c r="A2682" s="7" t="s">
        <v>4789</v>
      </c>
      <c r="B2682" s="8" t="s">
        <v>4790</v>
      </c>
      <c r="C2682" s="8" t="s">
        <v>18</v>
      </c>
      <c r="D2682" s="8" t="s">
        <v>18</v>
      </c>
      <c r="E2682" s="8" t="s">
        <v>19</v>
      </c>
      <c r="F2682" s="8" t="s">
        <v>20</v>
      </c>
      <c r="G2682" s="8" t="s">
        <v>21</v>
      </c>
      <c r="H2682" s="9"/>
      <c r="I2682" s="9"/>
      <c r="J2682" s="10">
        <f t="shared" ref="J2682:M2682" si="1654">ifs(OR($H2682="R",$I2682="N"),"N/A",OR(C2682="A",C2682="B",C2682="C",C2682="U"),3,TRUE,"FLAG")</f>
        <v>3</v>
      </c>
      <c r="K2682" s="10">
        <f t="shared" si="1654"/>
        <v>3</v>
      </c>
      <c r="L2682" s="10">
        <f t="shared" si="1654"/>
        <v>3</v>
      </c>
      <c r="M2682" s="10" t="str">
        <f t="shared" si="1654"/>
        <v>FLAG</v>
      </c>
      <c r="N2682" s="10" t="str">
        <f t="shared" si="2"/>
        <v>2-201 - State Fair; Holding/conducting a state fair in Kansas or any exhibition or display of any livestock or agricultural products under a designation, publicity or advertisement as a state fair</v>
      </c>
      <c r="O2682" s="10" t="str">
        <f t="shared" si="3"/>
        <v>State Fair</v>
      </c>
    </row>
    <row r="2683">
      <c r="A2683" s="7" t="s">
        <v>4791</v>
      </c>
      <c r="B2683" s="8" t="s">
        <v>4792</v>
      </c>
      <c r="C2683" s="8" t="s">
        <v>19</v>
      </c>
      <c r="D2683" s="8" t="s">
        <v>19</v>
      </c>
      <c r="E2683" s="8" t="s">
        <v>19</v>
      </c>
      <c r="F2683" s="8" t="s">
        <v>20</v>
      </c>
      <c r="G2683" s="8" t="s">
        <v>21</v>
      </c>
      <c r="H2683" s="9"/>
      <c r="I2683" s="9"/>
      <c r="J2683" s="10">
        <f t="shared" ref="J2683:M2683" si="1655">ifs(OR($H2683="R",$I2683="N"),"N/A",OR(C2683="A",C2683="B",C2683="C",C2683="U"),3,TRUE,"FLAG")</f>
        <v>3</v>
      </c>
      <c r="K2683" s="10">
        <f t="shared" si="1655"/>
        <v>3</v>
      </c>
      <c r="L2683" s="10">
        <f t="shared" si="1655"/>
        <v>3</v>
      </c>
      <c r="M2683" s="10" t="str">
        <f t="shared" si="1655"/>
        <v>FLAG</v>
      </c>
      <c r="N2683" s="10" t="str">
        <f t="shared" si="2"/>
        <v>46-287(b) - State Gov. Ethics; Advertising to influence legislative action; broadcast by any radio/ television station any paid advertisement promoting/opposing action or nonaction by the legislature on any legislative matter without including that such was an advertisement, together with the name of the chairperson of the organization or other individual responsible for such</v>
      </c>
      <c r="O2683" s="10" t="str">
        <f t="shared" si="3"/>
        <v>State Gov. Ethics</v>
      </c>
    </row>
    <row r="2684">
      <c r="A2684" s="7" t="s">
        <v>4793</v>
      </c>
      <c r="B2684" s="8" t="s">
        <v>4794</v>
      </c>
      <c r="C2684" s="8" t="s">
        <v>19</v>
      </c>
      <c r="D2684" s="8" t="s">
        <v>19</v>
      </c>
      <c r="E2684" s="8" t="s">
        <v>19</v>
      </c>
      <c r="F2684" s="8" t="s">
        <v>20</v>
      </c>
      <c r="G2684" s="8" t="s">
        <v>21</v>
      </c>
      <c r="H2684" s="9"/>
      <c r="I2684" s="9"/>
      <c r="J2684" s="10">
        <f t="shared" ref="J2684:M2684" si="1656">ifs(OR($H2684="R",$I2684="N"),"N/A",OR(C2684="A",C2684="B",C2684="C",C2684="U"),3,TRUE,"FLAG")</f>
        <v>3</v>
      </c>
      <c r="K2684" s="10">
        <f t="shared" si="1656"/>
        <v>3</v>
      </c>
      <c r="L2684" s="10">
        <f t="shared" si="1656"/>
        <v>3</v>
      </c>
      <c r="M2684" s="10" t="str">
        <f t="shared" si="1656"/>
        <v>FLAG</v>
      </c>
      <c r="N2684" s="10" t="str">
        <f t="shared" si="2"/>
        <v>46-287(a) - State Gov. Ethics; Advertising to influence legislative action; Publishing in any newspaper, periodical, insert, or flyer any paid advertisement promoting/opposing action or nonaction by the legislature on any legislative matter without the word "advertisement" or the abbreviation "adv." together with the name of the chairperson of the organization or other individual responsible for such</v>
      </c>
      <c r="O2684" s="10" t="str">
        <f t="shared" si="3"/>
        <v>State Gov. Ethics</v>
      </c>
    </row>
    <row r="2685">
      <c r="A2685" s="7" t="s">
        <v>4795</v>
      </c>
      <c r="B2685" s="8" t="s">
        <v>4796</v>
      </c>
      <c r="C2685" s="8" t="s">
        <v>28</v>
      </c>
      <c r="D2685" s="8" t="s">
        <v>19</v>
      </c>
      <c r="E2685" s="8" t="s">
        <v>19</v>
      </c>
      <c r="F2685" s="8" t="s">
        <v>20</v>
      </c>
      <c r="G2685" s="8" t="s">
        <v>21</v>
      </c>
      <c r="H2685" s="9"/>
      <c r="I2685" s="9"/>
      <c r="J2685" s="10">
        <f t="shared" ref="J2685:M2685" si="1657">ifs(OR($H2685="R",$I2685="N"),"N/A",OR(C2685="A",C2685="B",C2685="C",C2685="U"),3,TRUE,"FLAG")</f>
        <v>3</v>
      </c>
      <c r="K2685" s="10">
        <f t="shared" si="1657"/>
        <v>3</v>
      </c>
      <c r="L2685" s="10">
        <f t="shared" si="1657"/>
        <v>3</v>
      </c>
      <c r="M2685" s="10" t="str">
        <f t="shared" si="1657"/>
        <v>FLAG</v>
      </c>
      <c r="N2685" s="10" t="str">
        <f t="shared" si="2"/>
        <v>46-275(2) - State Gov. Ethics; Giving false lobbying information; intentionally making a false or incomplete report under K.S.A. 46-268 and 46-269</v>
      </c>
      <c r="O2685" s="10" t="str">
        <f t="shared" si="3"/>
        <v>State Gov. Ethics</v>
      </c>
    </row>
    <row r="2686">
      <c r="A2686" s="7" t="s">
        <v>4797</v>
      </c>
      <c r="B2686" s="8" t="s">
        <v>4798</v>
      </c>
      <c r="C2686" s="8" t="s">
        <v>28</v>
      </c>
      <c r="D2686" s="8" t="s">
        <v>19</v>
      </c>
      <c r="E2686" s="8" t="s">
        <v>19</v>
      </c>
      <c r="F2686" s="8" t="s">
        <v>20</v>
      </c>
      <c r="G2686" s="8" t="s">
        <v>21</v>
      </c>
      <c r="H2686" s="9"/>
      <c r="I2686" s="9"/>
      <c r="J2686" s="10">
        <f t="shared" ref="J2686:M2686" si="1658">ifs(OR($H2686="R",$I2686="N"),"N/A",OR(C2686="A",C2686="B",C2686="C",C2686="U"),3,TRUE,"FLAG")</f>
        <v>3</v>
      </c>
      <c r="K2686" s="10">
        <f t="shared" si="1658"/>
        <v>3</v>
      </c>
      <c r="L2686" s="10">
        <f t="shared" si="1658"/>
        <v>3</v>
      </c>
      <c r="M2686" s="10" t="str">
        <f t="shared" si="1658"/>
        <v>FLAG</v>
      </c>
      <c r="N2686" s="10" t="str">
        <f t="shared" si="2"/>
        <v>46-275(1) - State Gov. Ethics; Giving false lobbying information; intentionally making a false or incomplete statement on any registration paper under K.S.A. 46-265</v>
      </c>
      <c r="O2686" s="10" t="str">
        <f t="shared" si="3"/>
        <v>State Gov. Ethics</v>
      </c>
    </row>
    <row r="2687">
      <c r="A2687" s="7" t="s">
        <v>4799</v>
      </c>
      <c r="B2687" s="8" t="s">
        <v>4800</v>
      </c>
      <c r="C2687" s="8" t="s">
        <v>28</v>
      </c>
      <c r="D2687" s="8" t="s">
        <v>19</v>
      </c>
      <c r="E2687" s="8" t="s">
        <v>19</v>
      </c>
      <c r="F2687" s="8" t="s">
        <v>20</v>
      </c>
      <c r="G2687" s="8" t="s">
        <v>21</v>
      </c>
      <c r="H2687" s="9"/>
      <c r="I2687" s="9"/>
      <c r="J2687" s="10">
        <f t="shared" ref="J2687:M2687" si="1659">ifs(OR($H2687="R",$I2687="N"),"N/A",OR(C2687="A",C2687="B",C2687="C",C2687="U"),3,TRUE,"FLAG")</f>
        <v>3</v>
      </c>
      <c r="K2687" s="10">
        <f t="shared" si="1659"/>
        <v>3</v>
      </c>
      <c r="L2687" s="10">
        <f t="shared" si="1659"/>
        <v>3</v>
      </c>
      <c r="M2687" s="10" t="str">
        <f t="shared" si="1659"/>
        <v>FLAG</v>
      </c>
      <c r="N2687" s="10" t="str">
        <f t="shared" si="2"/>
        <v>46-239(g)(1) - State Gov. Ethics; Intentionally fail to file a disclosure statement as required by this section</v>
      </c>
      <c r="O2687" s="10" t="str">
        <f t="shared" si="3"/>
        <v>State Gov. Ethics</v>
      </c>
    </row>
    <row r="2688">
      <c r="A2688" s="7" t="s">
        <v>4801</v>
      </c>
      <c r="B2688" s="8" t="s">
        <v>4802</v>
      </c>
      <c r="C2688" s="8" t="s">
        <v>28</v>
      </c>
      <c r="D2688" s="8" t="s">
        <v>19</v>
      </c>
      <c r="E2688" s="8" t="s">
        <v>19</v>
      </c>
      <c r="F2688" s="8" t="s">
        <v>20</v>
      </c>
      <c r="G2688" s="8" t="s">
        <v>21</v>
      </c>
      <c r="H2688" s="9"/>
      <c r="I2688" s="9"/>
      <c r="J2688" s="10">
        <f t="shared" ref="J2688:M2688" si="1660">ifs(OR($H2688="R",$I2688="N"),"N/A",OR(C2688="A",C2688="B",C2688="C",C2688="U"),3,TRUE,"FLAG")</f>
        <v>3</v>
      </c>
      <c r="K2688" s="10">
        <f t="shared" si="1660"/>
        <v>3</v>
      </c>
      <c r="L2688" s="10">
        <f t="shared" si="1660"/>
        <v>3</v>
      </c>
      <c r="M2688" s="10" t="str">
        <f t="shared" si="1660"/>
        <v>FLAG</v>
      </c>
      <c r="N2688" s="10" t="str">
        <f t="shared" si="2"/>
        <v>46-251(a) - State Gov. Ethics; Intentionally fail to file a statement of substantial interests as required</v>
      </c>
      <c r="O2688" s="10" t="str">
        <f t="shared" si="3"/>
        <v>State Gov. Ethics</v>
      </c>
    </row>
    <row r="2689">
      <c r="A2689" s="7" t="s">
        <v>4803</v>
      </c>
      <c r="B2689" s="8" t="s">
        <v>4804</v>
      </c>
      <c r="C2689" s="8" t="s">
        <v>28</v>
      </c>
      <c r="D2689" s="8" t="s">
        <v>19</v>
      </c>
      <c r="E2689" s="8" t="s">
        <v>19</v>
      </c>
      <c r="F2689" s="8" t="s">
        <v>20</v>
      </c>
      <c r="G2689" s="8" t="s">
        <v>21</v>
      </c>
      <c r="H2689" s="9"/>
      <c r="I2689" s="9"/>
      <c r="J2689" s="10">
        <f t="shared" ref="J2689:M2689" si="1661">ifs(OR($H2689="R",$I2689="N"),"N/A",OR(C2689="A",C2689="B",C2689="C",C2689="U"),3,TRUE,"FLAG")</f>
        <v>3</v>
      </c>
      <c r="K2689" s="10">
        <f t="shared" si="1661"/>
        <v>3</v>
      </c>
      <c r="L2689" s="10">
        <f t="shared" si="1661"/>
        <v>3</v>
      </c>
      <c r="M2689" s="10" t="str">
        <f t="shared" si="1661"/>
        <v>FLAG</v>
      </c>
      <c r="N2689" s="10" t="str">
        <f t="shared" si="2"/>
        <v>46-239(g)(2) - State Gov. Ethics; Intentionally file a disclosure statement containing material misrepresentation or false or fraudulent statement</v>
      </c>
      <c r="O2689" s="10" t="str">
        <f t="shared" si="3"/>
        <v>State Gov. Ethics</v>
      </c>
    </row>
    <row r="2690">
      <c r="A2690" s="7" t="s">
        <v>4805</v>
      </c>
      <c r="B2690" s="8" t="s">
        <v>4806</v>
      </c>
      <c r="C2690" s="8" t="s">
        <v>28</v>
      </c>
      <c r="D2690" s="8" t="s">
        <v>19</v>
      </c>
      <c r="E2690" s="8" t="s">
        <v>19</v>
      </c>
      <c r="F2690" s="8" t="s">
        <v>20</v>
      </c>
      <c r="G2690" s="8" t="s">
        <v>21</v>
      </c>
      <c r="H2690" s="9"/>
      <c r="I2690" s="9"/>
      <c r="J2690" s="10">
        <f t="shared" ref="J2690:M2690" si="1662">ifs(OR($H2690="R",$I2690="N"),"N/A",OR(C2690="A",C2690="B",C2690="C",C2690="U"),3,TRUE,"FLAG")</f>
        <v>3</v>
      </c>
      <c r="K2690" s="10">
        <f t="shared" si="1662"/>
        <v>3</v>
      </c>
      <c r="L2690" s="10">
        <f t="shared" si="1662"/>
        <v>3</v>
      </c>
      <c r="M2690" s="10" t="str">
        <f t="shared" si="1662"/>
        <v>FLAG</v>
      </c>
      <c r="N2690" s="10" t="str">
        <f t="shared" si="2"/>
        <v>46-251(b) - State Gov. Ethics; Intentionally file a statement of substantial interests that contains any false statement</v>
      </c>
      <c r="O2690" s="10" t="str">
        <f t="shared" si="3"/>
        <v>State Gov. Ethics</v>
      </c>
    </row>
    <row r="2691">
      <c r="A2691" s="7" t="s">
        <v>4807</v>
      </c>
      <c r="B2691" s="8" t="s">
        <v>4808</v>
      </c>
      <c r="C2691" s="8" t="s">
        <v>28</v>
      </c>
      <c r="D2691" s="8" t="s">
        <v>19</v>
      </c>
      <c r="E2691" s="8" t="s">
        <v>19</v>
      </c>
      <c r="F2691" s="8" t="s">
        <v>20</v>
      </c>
      <c r="G2691" s="8" t="s">
        <v>21</v>
      </c>
      <c r="H2691" s="9"/>
      <c r="I2691" s="9"/>
      <c r="J2691" s="10">
        <f t="shared" ref="J2691:M2691" si="1663">ifs(OR($H2691="R",$I2691="N"),"N/A",OR(C2691="A",C2691="B",C2691="C",C2691="U"),3,TRUE,"FLAG")</f>
        <v>3</v>
      </c>
      <c r="K2691" s="10">
        <f t="shared" si="1663"/>
        <v>3</v>
      </c>
      <c r="L2691" s="10">
        <f t="shared" si="1663"/>
        <v>3</v>
      </c>
      <c r="M2691" s="10" t="str">
        <f t="shared" si="1663"/>
        <v>FLAG</v>
      </c>
      <c r="N2691" s="10" t="str">
        <f t="shared" si="2"/>
        <v>46-274(2) - State Gov. Ethics; Unlawful lobbying; lobbying when a current report under K.S.A. 46-268 and 46-269, has not been filed and is past due</v>
      </c>
      <c r="O2691" s="10" t="str">
        <f t="shared" si="3"/>
        <v>State Gov. Ethics</v>
      </c>
    </row>
    <row r="2692">
      <c r="A2692" s="7" t="s">
        <v>4809</v>
      </c>
      <c r="B2692" s="8" t="s">
        <v>4810</v>
      </c>
      <c r="C2692" s="8" t="s">
        <v>28</v>
      </c>
      <c r="D2692" s="8" t="s">
        <v>19</v>
      </c>
      <c r="E2692" s="8" t="s">
        <v>19</v>
      </c>
      <c r="F2692" s="8" t="s">
        <v>20</v>
      </c>
      <c r="G2692" s="8" t="s">
        <v>21</v>
      </c>
      <c r="H2692" s="9"/>
      <c r="I2692" s="9"/>
      <c r="J2692" s="10">
        <f t="shared" ref="J2692:M2692" si="1664">ifs(OR($H2692="R",$I2692="N"),"N/A",OR(C2692="A",C2692="B",C2692="C",C2692="U"),3,TRUE,"FLAG")</f>
        <v>3</v>
      </c>
      <c r="K2692" s="10">
        <f t="shared" si="1664"/>
        <v>3</v>
      </c>
      <c r="L2692" s="10">
        <f t="shared" si="1664"/>
        <v>3</v>
      </c>
      <c r="M2692" s="10" t="str">
        <f t="shared" si="1664"/>
        <v>FLAG</v>
      </c>
      <c r="N2692" s="10" t="str">
        <f t="shared" si="2"/>
        <v>46-274(1) - State Gov. Ethics; Unlawful lobbying; lobbying without being registered</v>
      </c>
      <c r="O2692" s="10" t="str">
        <f t="shared" si="3"/>
        <v>State Gov. Ethics</v>
      </c>
    </row>
    <row r="2693">
      <c r="A2693" s="7" t="s">
        <v>4811</v>
      </c>
      <c r="B2693" s="8" t="s">
        <v>4812</v>
      </c>
      <c r="C2693" s="8" t="s">
        <v>28</v>
      </c>
      <c r="D2693" s="8" t="s">
        <v>19</v>
      </c>
      <c r="E2693" s="8" t="s">
        <v>19</v>
      </c>
      <c r="F2693" s="8" t="s">
        <v>20</v>
      </c>
      <c r="G2693" s="8" t="s">
        <v>21</v>
      </c>
      <c r="H2693" s="9"/>
      <c r="I2693" s="9"/>
      <c r="J2693" s="10">
        <f t="shared" ref="J2693:M2693" si="1665">ifs(OR($H2693="R",$I2693="N"),"N/A",OR(C2693="A",C2693="B",C2693="C",C2693="U"),3,TRUE,"FLAG")</f>
        <v>3</v>
      </c>
      <c r="K2693" s="10">
        <f t="shared" si="1665"/>
        <v>3</v>
      </c>
      <c r="L2693" s="10">
        <f t="shared" si="1665"/>
        <v>3</v>
      </c>
      <c r="M2693" s="10" t="str">
        <f t="shared" si="1665"/>
        <v>FLAG</v>
      </c>
      <c r="N2693" s="10" t="str">
        <f t="shared" si="2"/>
        <v>46-259 - State Gov. Ethics; Violation of a provision of this section or confidentiality provision of K.S.A. 46-256</v>
      </c>
      <c r="O2693" s="10" t="str">
        <f t="shared" si="3"/>
        <v>State Gov. Ethics</v>
      </c>
    </row>
    <row r="2694">
      <c r="A2694" s="7" t="s">
        <v>4813</v>
      </c>
      <c r="B2694" s="8" t="s">
        <v>4814</v>
      </c>
      <c r="C2694" s="8" t="s">
        <v>28</v>
      </c>
      <c r="D2694" s="8" t="s">
        <v>19</v>
      </c>
      <c r="E2694" s="8" t="s">
        <v>19</v>
      </c>
      <c r="F2694" s="8" t="s">
        <v>20</v>
      </c>
      <c r="G2694" s="8" t="s">
        <v>21</v>
      </c>
      <c r="H2694" s="9"/>
      <c r="I2694" s="9"/>
      <c r="J2694" s="10">
        <f t="shared" ref="J2694:M2694" si="1666">ifs(OR($H2694="R",$I2694="N"),"N/A",OR(C2694="A",C2694="B",C2694="C",C2694="U"),3,TRUE,"FLAG")</f>
        <v>3</v>
      </c>
      <c r="K2694" s="10">
        <f t="shared" si="1666"/>
        <v>3</v>
      </c>
      <c r="L2694" s="10">
        <f t="shared" si="1666"/>
        <v>3</v>
      </c>
      <c r="M2694" s="10" t="str">
        <f t="shared" si="1666"/>
        <v>FLAG</v>
      </c>
      <c r="N2694" s="10" t="str">
        <f t="shared" si="2"/>
        <v>46-276 - State Gov. Ethics; Violation of any provision of K.S.A. 46-232, 46-233, 46-235 to 46-238, 46-240, 46-241, 46-242, 46-267 and 46-271 to 46-273, inclusive, and K.S.A. 46-286</v>
      </c>
      <c r="O2694" s="10" t="str">
        <f t="shared" si="3"/>
        <v>State Gov. Ethics</v>
      </c>
    </row>
    <row r="2695">
      <c r="A2695" s="7" t="s">
        <v>4815</v>
      </c>
      <c r="B2695" s="8" t="s">
        <v>4816</v>
      </c>
      <c r="C2695" s="8" t="s">
        <v>19</v>
      </c>
      <c r="D2695" s="8" t="s">
        <v>19</v>
      </c>
      <c r="E2695" s="8" t="s">
        <v>19</v>
      </c>
      <c r="F2695" s="8" t="s">
        <v>20</v>
      </c>
      <c r="G2695" s="8" t="s">
        <v>21</v>
      </c>
      <c r="H2695" s="9"/>
      <c r="I2695" s="9"/>
      <c r="J2695" s="10">
        <f t="shared" ref="J2695:M2695" si="1667">ifs(OR($H2695="R",$I2695="N"),"N/A",OR(C2695="A",C2695="B",C2695="C",C2695="U"),3,TRUE,"FLAG")</f>
        <v>3</v>
      </c>
      <c r="K2695" s="10">
        <f t="shared" si="1667"/>
        <v>3</v>
      </c>
      <c r="L2695" s="10">
        <f t="shared" si="1667"/>
        <v>3</v>
      </c>
      <c r="M2695" s="10" t="str">
        <f t="shared" si="1667"/>
        <v>FLAG</v>
      </c>
      <c r="N2695" s="10" t="str">
        <f t="shared" si="2"/>
        <v>76-12b10(a) - State Institutions for the Intellectually Disabled; Willful deprivation of any of the rights protected by this section</v>
      </c>
      <c r="O2695" s="10" t="str">
        <f t="shared" si="3"/>
        <v>State Institutions for the Intellectually Disabled</v>
      </c>
    </row>
    <row r="2696">
      <c r="A2696" s="7" t="s">
        <v>4817</v>
      </c>
      <c r="B2696" s="8" t="s">
        <v>4818</v>
      </c>
      <c r="C2696" s="8" t="s">
        <v>27</v>
      </c>
      <c r="D2696" s="8" t="s">
        <v>28</v>
      </c>
      <c r="E2696" s="8" t="s">
        <v>19</v>
      </c>
      <c r="F2696" s="8" t="s">
        <v>20</v>
      </c>
      <c r="G2696" s="8" t="s">
        <v>21</v>
      </c>
      <c r="H2696" s="9"/>
      <c r="I2696" s="9"/>
      <c r="J2696" s="10">
        <f t="shared" ref="J2696:M2696" si="1668">ifs(OR($H2696="R",$I2696="N"),"N/A",OR(C2696="A",C2696="B",C2696="C",C2696="U"),3,TRUE,"FLAG")</f>
        <v>3</v>
      </c>
      <c r="K2696" s="10">
        <f t="shared" si="1668"/>
        <v>3</v>
      </c>
      <c r="L2696" s="10">
        <f t="shared" si="1668"/>
        <v>3</v>
      </c>
      <c r="M2696" s="10" t="str">
        <f t="shared" si="1668"/>
        <v>FLAG</v>
      </c>
      <c r="N2696" s="10" t="str">
        <f t="shared" si="2"/>
        <v>74-8716(d) - State Lottery; Conflict of interest; holder of license issued by KS racing and gaming commission prohibited from serving as executive director or as a member of commission or being employed by KS lottery</v>
      </c>
      <c r="O2696" s="10" t="str">
        <f t="shared" si="3"/>
        <v>State Lottery</v>
      </c>
    </row>
    <row r="2697">
      <c r="A2697" s="7" t="s">
        <v>4819</v>
      </c>
      <c r="B2697" s="8" t="s">
        <v>4820</v>
      </c>
      <c r="C2697" s="8" t="s">
        <v>27</v>
      </c>
      <c r="D2697" s="8" t="s">
        <v>28</v>
      </c>
      <c r="E2697" s="8" t="s">
        <v>19</v>
      </c>
      <c r="F2697" s="8" t="s">
        <v>20</v>
      </c>
      <c r="G2697" s="8" t="s">
        <v>21</v>
      </c>
      <c r="H2697" s="9"/>
      <c r="I2697" s="9"/>
      <c r="J2697" s="10">
        <f t="shared" ref="J2697:M2697" si="1669">ifs(OR($H2697="R",$I2697="N"),"N/A",OR(C2697="A",C2697="B",C2697="C",C2697="U"),3,TRUE,"FLAG")</f>
        <v>3</v>
      </c>
      <c r="K2697" s="10">
        <f t="shared" si="1669"/>
        <v>3</v>
      </c>
      <c r="L2697" s="10">
        <f t="shared" si="1669"/>
        <v>3</v>
      </c>
      <c r="M2697" s="10" t="str">
        <f t="shared" si="1669"/>
        <v>FLAG</v>
      </c>
      <c r="N2697" s="10" t="str">
        <f t="shared" si="2"/>
        <v>74-8716(c) - State Lottery; Conflict of interest; persons prohibited from serving as executive director; interest holders or certain prior employees</v>
      </c>
      <c r="O2697" s="10" t="str">
        <f t="shared" si="3"/>
        <v>State Lottery</v>
      </c>
    </row>
    <row r="2698">
      <c r="A2698" s="7" t="s">
        <v>4821</v>
      </c>
      <c r="B2698" s="8" t="s">
        <v>4822</v>
      </c>
      <c r="C2698" s="8" t="s">
        <v>27</v>
      </c>
      <c r="D2698" s="8" t="s">
        <v>28</v>
      </c>
      <c r="E2698" s="8" t="s">
        <v>19</v>
      </c>
      <c r="F2698" s="8" t="s">
        <v>20</v>
      </c>
      <c r="G2698" s="8" t="s">
        <v>21</v>
      </c>
      <c r="H2698" s="9"/>
      <c r="I2698" s="9"/>
      <c r="J2698" s="10">
        <f t="shared" ref="J2698:M2698" si="1670">ifs(OR($H2698="R",$I2698="N"),"N/A",OR(C2698="A",C2698="B",C2698="C",C2698="U"),3,TRUE,"FLAG")</f>
        <v>3</v>
      </c>
      <c r="K2698" s="10">
        <f t="shared" si="1670"/>
        <v>3</v>
      </c>
      <c r="L2698" s="10">
        <f t="shared" si="1670"/>
        <v>3</v>
      </c>
      <c r="M2698" s="10" t="str">
        <f t="shared" si="1670"/>
        <v>FLAG</v>
      </c>
      <c r="N2698" s="10" t="str">
        <f t="shared" si="2"/>
        <v>74-8716(a)(2) - State Lottery; Conflict of interest; prohibited acts of executive director, a member of the commission or any employee of the Kansas lottery, or any person residing in the household thereof; accepting certain items or services</v>
      </c>
      <c r="O2698" s="10" t="str">
        <f t="shared" si="3"/>
        <v>State Lottery</v>
      </c>
    </row>
    <row r="2699">
      <c r="A2699" s="7" t="s">
        <v>4823</v>
      </c>
      <c r="B2699" s="8" t="s">
        <v>4824</v>
      </c>
      <c r="C2699" s="8" t="s">
        <v>27</v>
      </c>
      <c r="D2699" s="8" t="s">
        <v>28</v>
      </c>
      <c r="E2699" s="8" t="s">
        <v>19</v>
      </c>
      <c r="F2699" s="8" t="s">
        <v>20</v>
      </c>
      <c r="G2699" s="8" t="s">
        <v>21</v>
      </c>
      <c r="H2699" s="9"/>
      <c r="I2699" s="9"/>
      <c r="J2699" s="10">
        <f t="shared" ref="J2699:M2699" si="1671">ifs(OR($H2699="R",$I2699="N"),"N/A",OR(C2699="A",C2699="B",C2699="C",C2699="U"),3,TRUE,"FLAG")</f>
        <v>3</v>
      </c>
      <c r="K2699" s="10">
        <f t="shared" si="1671"/>
        <v>3</v>
      </c>
      <c r="L2699" s="10">
        <f t="shared" si="1671"/>
        <v>3</v>
      </c>
      <c r="M2699" s="10" t="str">
        <f t="shared" si="1671"/>
        <v>FLAG</v>
      </c>
      <c r="N2699" s="10" t="str">
        <f t="shared" si="2"/>
        <v>74-8716(a)(1) - State Lottery; Conflict of interest; prohibited acts of executive director, a member of the commission or any employee of the Kansas lottery, or any person residing in the household thereof; having interest in certain businesses</v>
      </c>
      <c r="O2699" s="10" t="str">
        <f t="shared" si="3"/>
        <v>State Lottery</v>
      </c>
    </row>
    <row r="2700">
      <c r="A2700" s="7" t="s">
        <v>4825</v>
      </c>
      <c r="B2700" s="8" t="s">
        <v>4826</v>
      </c>
      <c r="C2700" s="8" t="s">
        <v>27</v>
      </c>
      <c r="D2700" s="8" t="s">
        <v>28</v>
      </c>
      <c r="E2700" s="8" t="s">
        <v>19</v>
      </c>
      <c r="F2700" s="8" t="s">
        <v>20</v>
      </c>
      <c r="G2700" s="8" t="s">
        <v>21</v>
      </c>
      <c r="H2700" s="9"/>
      <c r="I2700" s="9"/>
      <c r="J2700" s="10">
        <f t="shared" ref="J2700:M2700" si="1672">ifs(OR($H2700="R",$I2700="N"),"N/A",OR(C2700="A",C2700="B",C2700="C",C2700="U"),3,TRUE,"FLAG")</f>
        <v>3</v>
      </c>
      <c r="K2700" s="10">
        <f t="shared" si="1672"/>
        <v>3</v>
      </c>
      <c r="L2700" s="10">
        <f t="shared" si="1672"/>
        <v>3</v>
      </c>
      <c r="M2700" s="10" t="str">
        <f t="shared" si="1672"/>
        <v>FLAG</v>
      </c>
      <c r="N2700" s="10" t="str">
        <f t="shared" si="2"/>
        <v>74-8716(b) - State Lottery; Conflict of interest; prohibited acts of lottery retailer, applicant for lottery retailer or person contracting or seeking to contract with the state to supply gaming equipment, materials, tickets or consulting services for use in the lottery; offering certain items or services</v>
      </c>
      <c r="O2700" s="10" t="str">
        <f t="shared" si="3"/>
        <v>State Lottery</v>
      </c>
    </row>
    <row r="2701">
      <c r="A2701" s="7" t="s">
        <v>4827</v>
      </c>
      <c r="B2701" s="8" t="s">
        <v>4828</v>
      </c>
      <c r="C2701" s="8" t="s">
        <v>27</v>
      </c>
      <c r="D2701" s="8" t="s">
        <v>28</v>
      </c>
      <c r="E2701" s="8" t="s">
        <v>19</v>
      </c>
      <c r="F2701" s="8" t="s">
        <v>20</v>
      </c>
      <c r="G2701" s="8" t="s">
        <v>21</v>
      </c>
      <c r="H2701" s="9"/>
      <c r="I2701" s="9"/>
      <c r="J2701" s="10">
        <f t="shared" ref="J2701:M2701" si="1673">ifs(OR($H2701="R",$I2701="N"),"N/A",OR(C2701="A",C2701="B",C2701="C",C2701="U"),3,TRUE,"FLAG")</f>
        <v>3</v>
      </c>
      <c r="K2701" s="10">
        <f t="shared" si="1673"/>
        <v>3</v>
      </c>
      <c r="L2701" s="10">
        <f t="shared" si="1673"/>
        <v>3</v>
      </c>
      <c r="M2701" s="10" t="str">
        <f t="shared" si="1673"/>
        <v>FLAG</v>
      </c>
      <c r="N2701" s="10" t="str">
        <f t="shared" si="2"/>
        <v>74-8716(g) - State Lottery; Conflict of interest; unauthorized acceptance of compensation, gifts, etc. from licensee pursuant to KS parimutuel racing act</v>
      </c>
      <c r="O2701" s="10" t="str">
        <f t="shared" si="3"/>
        <v>State Lottery</v>
      </c>
    </row>
    <row r="2702">
      <c r="A2702" s="7" t="s">
        <v>4829</v>
      </c>
      <c r="B2702" s="8" t="s">
        <v>4830</v>
      </c>
      <c r="C2702" s="8" t="s">
        <v>27</v>
      </c>
      <c r="D2702" s="8" t="s">
        <v>28</v>
      </c>
      <c r="E2702" s="8" t="s">
        <v>19</v>
      </c>
      <c r="F2702" s="8" t="s">
        <v>20</v>
      </c>
      <c r="G2702" s="8" t="s">
        <v>21</v>
      </c>
      <c r="H2702" s="9"/>
      <c r="I2702" s="9"/>
      <c r="J2702" s="10">
        <f t="shared" ref="J2702:M2702" si="1674">ifs(OR($H2702="R",$I2702="N"),"N/A",OR(C2702="A",C2702="B",C2702="C",C2702="U"),3,TRUE,"FLAG")</f>
        <v>3</v>
      </c>
      <c r="K2702" s="10">
        <f t="shared" si="1674"/>
        <v>3</v>
      </c>
      <c r="L2702" s="10">
        <f t="shared" si="1674"/>
        <v>3</v>
      </c>
      <c r="M2702" s="10" t="str">
        <f t="shared" si="1674"/>
        <v>FLAG</v>
      </c>
      <c r="N2702" s="10" t="str">
        <f t="shared" si="2"/>
        <v>74-8716(f) - State Lottery; Conflict of interest; unauthorized acceptance of compensation, gifts, etc. from lottery facility manager and agents thereof</v>
      </c>
      <c r="O2702" s="10" t="str">
        <f t="shared" si="3"/>
        <v>State Lottery</v>
      </c>
    </row>
    <row r="2703">
      <c r="A2703" s="7" t="s">
        <v>4831</v>
      </c>
      <c r="B2703" s="8" t="s">
        <v>4832</v>
      </c>
      <c r="C2703" s="8" t="s">
        <v>27</v>
      </c>
      <c r="D2703" s="8" t="s">
        <v>28</v>
      </c>
      <c r="E2703" s="8" t="s">
        <v>19</v>
      </c>
      <c r="F2703" s="8" t="s">
        <v>20</v>
      </c>
      <c r="G2703" s="8" t="s">
        <v>21</v>
      </c>
      <c r="H2703" s="9"/>
      <c r="I2703" s="9"/>
      <c r="J2703" s="10">
        <f t="shared" ref="J2703:M2703" si="1675">ifs(OR($H2703="R",$I2703="N"),"N/A",OR(C2703="A",C2703="B",C2703="C",C2703="U"),3,TRUE,"FLAG")</f>
        <v>3</v>
      </c>
      <c r="K2703" s="10">
        <f t="shared" si="1675"/>
        <v>3</v>
      </c>
      <c r="L2703" s="10">
        <f t="shared" si="1675"/>
        <v>3</v>
      </c>
      <c r="M2703" s="10" t="str">
        <f t="shared" si="1675"/>
        <v>FLAG</v>
      </c>
      <c r="N2703" s="10" t="str">
        <f t="shared" si="2"/>
        <v>74-8716(e) - State Lottery; Conflict of interest; unauthorized financial interest in race horse or jockey or greyhound</v>
      </c>
      <c r="O2703" s="10" t="str">
        <f t="shared" si="3"/>
        <v>State Lottery</v>
      </c>
    </row>
    <row r="2704">
      <c r="A2704" s="7" t="s">
        <v>4833</v>
      </c>
      <c r="B2704" s="8" t="s">
        <v>4834</v>
      </c>
      <c r="C2704" s="8">
        <v>8.0</v>
      </c>
      <c r="D2704" s="8">
        <v>10.0</v>
      </c>
      <c r="E2704" s="8">
        <v>10.0</v>
      </c>
      <c r="F2704" s="8">
        <v>10.0</v>
      </c>
      <c r="G2704" s="8" t="s">
        <v>21</v>
      </c>
      <c r="H2704" s="9"/>
      <c r="I2704" s="9"/>
      <c r="N2704" s="10" t="str">
        <f t="shared" si="2"/>
        <v>74-8717(a) - State Lottery; Forgery of lottery ticket</v>
      </c>
      <c r="O2704" s="10" t="str">
        <f t="shared" si="3"/>
        <v>State Lottery</v>
      </c>
    </row>
    <row r="2705">
      <c r="A2705" s="7" t="s">
        <v>4835</v>
      </c>
      <c r="B2705" s="8" t="s">
        <v>4836</v>
      </c>
      <c r="C2705" s="8" t="s">
        <v>27</v>
      </c>
      <c r="D2705" s="8" t="s">
        <v>28</v>
      </c>
      <c r="E2705" s="8" t="s">
        <v>19</v>
      </c>
      <c r="F2705" s="8" t="s">
        <v>20</v>
      </c>
      <c r="G2705" s="8" t="s">
        <v>21</v>
      </c>
      <c r="H2705" s="9"/>
      <c r="I2705" s="9"/>
      <c r="J2705" s="10">
        <f t="shared" ref="J2705:M2705" si="1676">ifs(OR($H2705="R",$I2705="N"),"N/A",OR(C2705="A",C2705="B",C2705="C",C2705="U"),3,TRUE,"FLAG")</f>
        <v>3</v>
      </c>
      <c r="K2705" s="10">
        <f t="shared" si="1676"/>
        <v>3</v>
      </c>
      <c r="L2705" s="10">
        <f t="shared" si="1676"/>
        <v>3</v>
      </c>
      <c r="M2705" s="10" t="str">
        <f t="shared" si="1676"/>
        <v>FLAG</v>
      </c>
      <c r="N2705" s="10" t="str">
        <f t="shared" si="2"/>
        <v>74-8718(a)(4) - State Lottery; Sell a lottery ticket at retail by electronic mail, the internet or telephone; 1st offense</v>
      </c>
      <c r="O2705" s="10" t="str">
        <f t="shared" si="3"/>
        <v>State Lottery</v>
      </c>
    </row>
    <row r="2706">
      <c r="A2706" s="7" t="s">
        <v>4837</v>
      </c>
      <c r="B2706" s="8" t="s">
        <v>4836</v>
      </c>
      <c r="C2706" s="8">
        <v>9.0</v>
      </c>
      <c r="D2706" s="8">
        <v>10.0</v>
      </c>
      <c r="E2706" s="8">
        <v>10.0</v>
      </c>
      <c r="F2706" s="8">
        <v>10.0</v>
      </c>
      <c r="G2706" s="8" t="s">
        <v>21</v>
      </c>
      <c r="H2706" s="9"/>
      <c r="I2706" s="9"/>
      <c r="N2706" s="10" t="str">
        <f t="shared" si="2"/>
        <v>74-8718(a)(4) - State Lottery; Sell a lottery ticket at retail by electronic mail, the internet or telephone; 2nd or subs. offense</v>
      </c>
      <c r="O2706" s="10" t="str">
        <f t="shared" si="3"/>
        <v>State Lottery</v>
      </c>
    </row>
    <row r="2707">
      <c r="A2707" s="7" t="s">
        <v>4838</v>
      </c>
      <c r="B2707" s="8" t="s">
        <v>4839</v>
      </c>
      <c r="C2707" s="8" t="s">
        <v>27</v>
      </c>
      <c r="D2707" s="8" t="s">
        <v>28</v>
      </c>
      <c r="E2707" s="8" t="s">
        <v>19</v>
      </c>
      <c r="F2707" s="8" t="s">
        <v>20</v>
      </c>
      <c r="G2707" s="8" t="s">
        <v>21</v>
      </c>
      <c r="H2707" s="9"/>
      <c r="I2707" s="9"/>
      <c r="J2707" s="10">
        <f t="shared" ref="J2707:M2707" si="1677">ifs(OR($H2707="R",$I2707="N"),"N/A",OR(C2707="A",C2707="B",C2707="C",C2707="U"),3,TRUE,"FLAG")</f>
        <v>3</v>
      </c>
      <c r="K2707" s="10">
        <f t="shared" si="1677"/>
        <v>3</v>
      </c>
      <c r="L2707" s="10">
        <f t="shared" si="1677"/>
        <v>3</v>
      </c>
      <c r="M2707" s="10" t="str">
        <f t="shared" si="1677"/>
        <v>FLAG</v>
      </c>
      <c r="N2707" s="10" t="str">
        <f t="shared" si="2"/>
        <v>74-8718(a)(1) - State Lottery; Sell a lottery ticket or share at a price other than that fixed by rules and regulations adopted pursuant to this act; 1st offense</v>
      </c>
      <c r="O2707" s="10" t="str">
        <f t="shared" si="3"/>
        <v>State Lottery</v>
      </c>
    </row>
    <row r="2708">
      <c r="A2708" s="7" t="s">
        <v>4840</v>
      </c>
      <c r="B2708" s="8" t="s">
        <v>4839</v>
      </c>
      <c r="C2708" s="8">
        <v>9.0</v>
      </c>
      <c r="D2708" s="8">
        <v>10.0</v>
      </c>
      <c r="E2708" s="8">
        <v>10.0</v>
      </c>
      <c r="F2708" s="8">
        <v>10.0</v>
      </c>
      <c r="G2708" s="8" t="s">
        <v>21</v>
      </c>
      <c r="H2708" s="9"/>
      <c r="I2708" s="9"/>
      <c r="N2708" s="10" t="str">
        <f t="shared" si="2"/>
        <v>74-8718(a)(1) - State Lottery; Sell a lottery ticket or share at a price other than that fixed by rules and regulations adopted pursuant to this act; 2nd or subs. offense</v>
      </c>
      <c r="O2708" s="10" t="str">
        <f t="shared" si="3"/>
        <v>State Lottery</v>
      </c>
    </row>
    <row r="2709">
      <c r="A2709" s="7" t="s">
        <v>4841</v>
      </c>
      <c r="B2709" s="8" t="s">
        <v>4842</v>
      </c>
      <c r="C2709" s="8" t="s">
        <v>27</v>
      </c>
      <c r="D2709" s="8" t="s">
        <v>28</v>
      </c>
      <c r="E2709" s="8" t="s">
        <v>19</v>
      </c>
      <c r="F2709" s="8" t="s">
        <v>20</v>
      </c>
      <c r="G2709" s="8" t="s">
        <v>21</v>
      </c>
      <c r="H2709" s="9"/>
      <c r="I2709" s="9"/>
      <c r="J2709" s="10">
        <f t="shared" ref="J2709:M2709" si="1678">ifs(OR($H2709="R",$I2709="N"),"N/A",OR(C2709="A",C2709="B",C2709="C",C2709="U"),3,TRUE,"FLAG")</f>
        <v>3</v>
      </c>
      <c r="K2709" s="10">
        <f t="shared" si="1678"/>
        <v>3</v>
      </c>
      <c r="L2709" s="10">
        <f t="shared" si="1678"/>
        <v>3</v>
      </c>
      <c r="M2709" s="10" t="str">
        <f t="shared" si="1678"/>
        <v>FLAG</v>
      </c>
      <c r="N2709" s="10" t="str">
        <f t="shared" si="2"/>
        <v>74-8718(a)(2) - State Lottery; Sell a lottery ticket or share by any person other than a lottery retailer authorized by the Kansas lottery; 1st offense</v>
      </c>
      <c r="O2709" s="10" t="str">
        <f t="shared" si="3"/>
        <v>State Lottery</v>
      </c>
    </row>
    <row r="2710">
      <c r="A2710" s="7" t="s">
        <v>4843</v>
      </c>
      <c r="B2710" s="8" t="s">
        <v>4842</v>
      </c>
      <c r="C2710" s="8">
        <v>9.0</v>
      </c>
      <c r="D2710" s="8">
        <v>10.0</v>
      </c>
      <c r="E2710" s="8">
        <v>10.0</v>
      </c>
      <c r="F2710" s="8">
        <v>10.0</v>
      </c>
      <c r="G2710" s="8" t="s">
        <v>21</v>
      </c>
      <c r="H2710" s="9"/>
      <c r="I2710" s="9"/>
      <c r="N2710" s="10" t="str">
        <f t="shared" si="2"/>
        <v>74-8718(a)(2) - State Lottery; Sell a lottery ticket or share by any person other than a lottery retailer authorized by the Kansas lottery; 2nd or subs. offense</v>
      </c>
      <c r="O2710" s="10" t="str">
        <f t="shared" si="3"/>
        <v>State Lottery</v>
      </c>
    </row>
    <row r="2711">
      <c r="A2711" s="7" t="s">
        <v>4844</v>
      </c>
      <c r="B2711" s="8" t="s">
        <v>4845</v>
      </c>
      <c r="C2711" s="8" t="s">
        <v>27</v>
      </c>
      <c r="D2711" s="8" t="s">
        <v>28</v>
      </c>
      <c r="E2711" s="8" t="s">
        <v>19</v>
      </c>
      <c r="F2711" s="8" t="s">
        <v>20</v>
      </c>
      <c r="G2711" s="8" t="s">
        <v>21</v>
      </c>
      <c r="H2711" s="9"/>
      <c r="I2711" s="9"/>
      <c r="J2711" s="10">
        <f t="shared" ref="J2711:M2711" si="1679">ifs(OR($H2711="R",$I2711="N"),"N/A",OR(C2711="A",C2711="B",C2711="C",C2711="U"),3,TRUE,"FLAG")</f>
        <v>3</v>
      </c>
      <c r="K2711" s="10">
        <f t="shared" si="1679"/>
        <v>3</v>
      </c>
      <c r="L2711" s="10">
        <f t="shared" si="1679"/>
        <v>3</v>
      </c>
      <c r="M2711" s="10" t="str">
        <f t="shared" si="1679"/>
        <v>FLAG</v>
      </c>
      <c r="N2711" s="10" t="str">
        <f t="shared" si="2"/>
        <v>74-8718(a)(3) - State Lottery; Sell a lottery ticket or share to any person known to be under 18 yrs of age; 1st offense</v>
      </c>
      <c r="O2711" s="10" t="str">
        <f t="shared" si="3"/>
        <v>State Lottery</v>
      </c>
    </row>
    <row r="2712">
      <c r="A2712" s="7" t="s">
        <v>4846</v>
      </c>
      <c r="B2712" s="8" t="s">
        <v>4845</v>
      </c>
      <c r="C2712" s="8">
        <v>9.0</v>
      </c>
      <c r="D2712" s="8">
        <v>10.0</v>
      </c>
      <c r="E2712" s="8">
        <v>10.0</v>
      </c>
      <c r="F2712" s="8">
        <v>10.0</v>
      </c>
      <c r="G2712" s="8" t="s">
        <v>21</v>
      </c>
      <c r="H2712" s="9"/>
      <c r="I2712" s="9"/>
      <c r="N2712" s="10" t="str">
        <f t="shared" si="2"/>
        <v>74-8718(a)(3) - State Lottery; Sell a lottery ticket or share to any person known to be under 18 yrs of age; 2nd or subs. offense</v>
      </c>
      <c r="O2712" s="10" t="str">
        <f t="shared" si="3"/>
        <v>State Lottery</v>
      </c>
    </row>
    <row r="2713">
      <c r="A2713" s="7" t="s">
        <v>4847</v>
      </c>
      <c r="B2713" s="8" t="s">
        <v>4848</v>
      </c>
      <c r="C2713" s="8" t="s">
        <v>27</v>
      </c>
      <c r="D2713" s="8" t="s">
        <v>28</v>
      </c>
      <c r="E2713" s="8" t="s">
        <v>19</v>
      </c>
      <c r="F2713" s="8" t="s">
        <v>20</v>
      </c>
      <c r="G2713" s="8" t="s">
        <v>21</v>
      </c>
      <c r="H2713" s="9"/>
      <c r="I2713" s="9"/>
      <c r="J2713" s="10">
        <f t="shared" ref="J2713:M2713" si="1680">ifs(OR($H2713="R",$I2713="N"),"N/A",OR(C2713="A",C2713="B",C2713="C",C2713="U"),3,TRUE,"FLAG")</f>
        <v>3</v>
      </c>
      <c r="K2713" s="10">
        <f t="shared" si="1680"/>
        <v>3</v>
      </c>
      <c r="L2713" s="10">
        <f t="shared" si="1680"/>
        <v>3</v>
      </c>
      <c r="M2713" s="10" t="str">
        <f t="shared" si="1680"/>
        <v>FLAG</v>
      </c>
      <c r="N2713" s="10" t="str">
        <f t="shared" si="2"/>
        <v>74-8719(a)(4) - State Lottery; Unlawful for a person who resides in the same household as persons described by subsection (a)(1) or (2) of K.S.A. 74-8719 to purchase lottery ticket or share in winnings; 1st offense</v>
      </c>
      <c r="O2713" s="10" t="str">
        <f t="shared" si="3"/>
        <v>State Lottery</v>
      </c>
    </row>
    <row r="2714">
      <c r="A2714" s="7" t="s">
        <v>4849</v>
      </c>
      <c r="B2714" s="8" t="s">
        <v>4848</v>
      </c>
      <c r="C2714" s="8">
        <v>9.0</v>
      </c>
      <c r="D2714" s="8">
        <v>10.0</v>
      </c>
      <c r="E2714" s="8">
        <v>10.0</v>
      </c>
      <c r="F2714" s="8">
        <v>10.0</v>
      </c>
      <c r="G2714" s="8" t="s">
        <v>21</v>
      </c>
      <c r="H2714" s="9"/>
      <c r="I2714" s="9"/>
      <c r="N2714" s="10" t="str">
        <f t="shared" si="2"/>
        <v>74-8719(a)(4) - State Lottery; Unlawful for a person who resides in the same household as persons described by subsection (a)(1) or (2) of K.S.A. 74-8719 to purchase lottery ticket or share in winnings; 2nd or subs. offense</v>
      </c>
      <c r="O2714" s="10" t="str">
        <f t="shared" si="3"/>
        <v>State Lottery</v>
      </c>
    </row>
    <row r="2715">
      <c r="A2715" s="7" t="s">
        <v>4850</v>
      </c>
      <c r="B2715" s="8" t="s">
        <v>4851</v>
      </c>
      <c r="C2715" s="8" t="s">
        <v>27</v>
      </c>
      <c r="D2715" s="8" t="s">
        <v>28</v>
      </c>
      <c r="E2715" s="8" t="s">
        <v>19</v>
      </c>
      <c r="F2715" s="8" t="s">
        <v>20</v>
      </c>
      <c r="G2715" s="8" t="s">
        <v>21</v>
      </c>
      <c r="H2715" s="9"/>
      <c r="I2715" s="9"/>
      <c r="J2715" s="10">
        <f t="shared" ref="J2715:M2715" si="1681">ifs(OR($H2715="R",$I2715="N"),"N/A",OR(C2715="A",C2715="B",C2715="C",C2715="U"),3,TRUE,"FLAG")</f>
        <v>3</v>
      </c>
      <c r="K2715" s="10">
        <f t="shared" si="1681"/>
        <v>3</v>
      </c>
      <c r="L2715" s="10">
        <f t="shared" si="1681"/>
        <v>3</v>
      </c>
      <c r="M2715" s="10" t="str">
        <f t="shared" si="1681"/>
        <v>FLAG</v>
      </c>
      <c r="N2715" s="10" t="str">
        <f t="shared" si="2"/>
        <v>74-8719(a)(2) - State Lottery; Unlawful for an officer or employee of a vendor contracting with the Kansas lottery to supply gaming equipment or tickets to the Kansas lottery to purchase lottery ticket or share in winnings; 1st offense</v>
      </c>
      <c r="O2715" s="10" t="str">
        <f t="shared" si="3"/>
        <v>State Lottery</v>
      </c>
    </row>
    <row r="2716">
      <c r="A2716" s="7" t="s">
        <v>4852</v>
      </c>
      <c r="B2716" s="8" t="s">
        <v>4851</v>
      </c>
      <c r="C2716" s="8">
        <v>9.0</v>
      </c>
      <c r="D2716" s="8">
        <v>10.0</v>
      </c>
      <c r="E2716" s="8">
        <v>10.0</v>
      </c>
      <c r="F2716" s="8">
        <v>10.0</v>
      </c>
      <c r="G2716" s="8" t="s">
        <v>21</v>
      </c>
      <c r="H2716" s="9"/>
      <c r="I2716" s="9"/>
      <c r="N2716" s="10" t="str">
        <f t="shared" si="2"/>
        <v>74-8719(a)(2) - State Lottery; Unlawful for an officer or employee of a vendor contracting with the Kansas lottery to supply gaming equipment or tickets to the Kansas lottery to purchase lottery ticket or share in winnings; 2nd or subs. offense</v>
      </c>
      <c r="O2716" s="10" t="str">
        <f t="shared" si="3"/>
        <v>State Lottery</v>
      </c>
    </row>
    <row r="2717">
      <c r="A2717" s="7" t="s">
        <v>4853</v>
      </c>
      <c r="B2717" s="8" t="s">
        <v>4854</v>
      </c>
      <c r="C2717" s="8" t="s">
        <v>27</v>
      </c>
      <c r="D2717" s="8" t="s">
        <v>28</v>
      </c>
      <c r="E2717" s="8" t="s">
        <v>19</v>
      </c>
      <c r="F2717" s="8" t="s">
        <v>20</v>
      </c>
      <c r="G2717" s="8" t="s">
        <v>21</v>
      </c>
      <c r="H2717" s="9"/>
      <c r="I2717" s="9"/>
      <c r="J2717" s="10">
        <f t="shared" ref="J2717:M2717" si="1682">ifs(OR($H2717="R",$I2717="N"),"N/A",OR(C2717="A",C2717="B",C2717="C",C2717="U"),3,TRUE,"FLAG")</f>
        <v>3</v>
      </c>
      <c r="K2717" s="10">
        <f t="shared" si="1682"/>
        <v>3</v>
      </c>
      <c r="L2717" s="10">
        <f t="shared" si="1682"/>
        <v>3</v>
      </c>
      <c r="M2717" s="10" t="str">
        <f t="shared" si="1682"/>
        <v>FLAG</v>
      </c>
      <c r="N2717" s="10" t="str">
        <f t="shared" si="2"/>
        <v>74-8719(a)(3) - State Lottery; Unlawful for certain relatives of persons described by subsection (a)(1) or (2) of K.S.A. 74-8719 to purchase lottery ticket or share in winnings; 1st offense</v>
      </c>
      <c r="O2717" s="10" t="str">
        <f t="shared" si="3"/>
        <v>State Lottery</v>
      </c>
    </row>
    <row r="2718">
      <c r="A2718" s="7" t="s">
        <v>4855</v>
      </c>
      <c r="B2718" s="8" t="s">
        <v>4854</v>
      </c>
      <c r="C2718" s="8">
        <v>9.0</v>
      </c>
      <c r="D2718" s="8">
        <v>10.0</v>
      </c>
      <c r="E2718" s="8">
        <v>10.0</v>
      </c>
      <c r="F2718" s="8">
        <v>10.0</v>
      </c>
      <c r="G2718" s="8" t="s">
        <v>21</v>
      </c>
      <c r="H2718" s="9"/>
      <c r="I2718" s="9"/>
      <c r="N2718" s="10" t="str">
        <f t="shared" si="2"/>
        <v>74-8719(a)(3) - State Lottery; Unlawful for certain relatives of persons described by subsection (a)(1) or (2) of K.S.A. 74-8719 to purchase lottery ticket or share in winnings; 2nd or subs. offense</v>
      </c>
      <c r="O2718" s="10" t="str">
        <f t="shared" si="3"/>
        <v>State Lottery</v>
      </c>
    </row>
    <row r="2719">
      <c r="A2719" s="7" t="s">
        <v>4856</v>
      </c>
      <c r="B2719" s="8" t="s">
        <v>4857</v>
      </c>
      <c r="C2719" s="8" t="s">
        <v>27</v>
      </c>
      <c r="D2719" s="8" t="s">
        <v>28</v>
      </c>
      <c r="E2719" s="8" t="s">
        <v>19</v>
      </c>
      <c r="F2719" s="8" t="s">
        <v>20</v>
      </c>
      <c r="G2719" s="8" t="s">
        <v>21</v>
      </c>
      <c r="H2719" s="9"/>
      <c r="I2719" s="9"/>
      <c r="J2719" s="10">
        <f t="shared" ref="J2719:M2719" si="1683">ifs(OR($H2719="R",$I2719="N"),"N/A",OR(C2719="A",C2719="B",C2719="C",C2719="U"),3,TRUE,"FLAG")</f>
        <v>3</v>
      </c>
      <c r="K2719" s="10">
        <f t="shared" si="1683"/>
        <v>3</v>
      </c>
      <c r="L2719" s="10">
        <f t="shared" si="1683"/>
        <v>3</v>
      </c>
      <c r="M2719" s="10" t="str">
        <f t="shared" si="1683"/>
        <v>FLAG</v>
      </c>
      <c r="N2719" s="10" t="str">
        <f t="shared" si="2"/>
        <v>74-8719(a)(1) - State Lottery; Unlawful for the executive director, a member of the commission or an employee of the Kansas lottery to purchase lottery ticket or share in winnings; 1st offense</v>
      </c>
      <c r="O2719" s="10" t="str">
        <f t="shared" si="3"/>
        <v>State Lottery</v>
      </c>
    </row>
    <row r="2720">
      <c r="A2720" s="7" t="s">
        <v>4858</v>
      </c>
      <c r="B2720" s="8" t="s">
        <v>4857</v>
      </c>
      <c r="C2720" s="8">
        <v>9.0</v>
      </c>
      <c r="D2720" s="8">
        <v>10.0</v>
      </c>
      <c r="E2720" s="8">
        <v>10.0</v>
      </c>
      <c r="F2720" s="8">
        <v>10.0</v>
      </c>
      <c r="G2720" s="8" t="s">
        <v>21</v>
      </c>
      <c r="H2720" s="9"/>
      <c r="I2720" s="9"/>
      <c r="N2720" s="10" t="str">
        <f t="shared" si="2"/>
        <v>74-8719(a)(1) - State Lottery; Unlawful for the executive director, a member of the commission or an employee of the Kansas lottery to purchase lottery ticket or share in winnings; 2nd or subs. offense</v>
      </c>
      <c r="O2720" s="10" t="str">
        <f t="shared" si="3"/>
        <v>State Lottery</v>
      </c>
    </row>
    <row r="2721">
      <c r="A2721" s="7" t="s">
        <v>4859</v>
      </c>
      <c r="B2721" s="8" t="s">
        <v>4860</v>
      </c>
      <c r="C2721" s="8" t="s">
        <v>27</v>
      </c>
      <c r="D2721" s="8" t="s">
        <v>28</v>
      </c>
      <c r="E2721" s="8" t="s">
        <v>19</v>
      </c>
      <c r="F2721" s="8" t="s">
        <v>20</v>
      </c>
      <c r="G2721" s="8" t="s">
        <v>21</v>
      </c>
      <c r="H2721" s="9"/>
      <c r="I2721" s="9"/>
      <c r="J2721" s="10">
        <f t="shared" ref="J2721:M2721" si="1684">ifs(OR($H2721="R",$I2721="N"),"N/A",OR(C2721="A",C2721="B",C2721="C",C2721="U"),3,TRUE,"FLAG")</f>
        <v>3</v>
      </c>
      <c r="K2721" s="10">
        <f t="shared" si="1684"/>
        <v>3</v>
      </c>
      <c r="L2721" s="10">
        <f t="shared" si="1684"/>
        <v>3</v>
      </c>
      <c r="M2721" s="10" t="str">
        <f t="shared" si="1684"/>
        <v>FLAG</v>
      </c>
      <c r="N2721" s="10" t="str">
        <f t="shared" si="2"/>
        <v>65-34,109(b)(1) - Storage Tank Act; Construct, install, modify or operate a storage tank without required permit or other written approval or otherwise be in violation of rules/regulations, standards or orders of the secretary</v>
      </c>
      <c r="O2721" s="10" t="str">
        <f t="shared" si="3"/>
        <v>Storage Tank Act</v>
      </c>
    </row>
    <row r="2722">
      <c r="A2722" s="7" t="s">
        <v>4861</v>
      </c>
      <c r="B2722" s="8" t="s">
        <v>4862</v>
      </c>
      <c r="C2722" s="8" t="s">
        <v>27</v>
      </c>
      <c r="D2722" s="8" t="s">
        <v>28</v>
      </c>
      <c r="E2722" s="8" t="s">
        <v>19</v>
      </c>
      <c r="F2722" s="8" t="s">
        <v>20</v>
      </c>
      <c r="G2722" s="8" t="s">
        <v>21</v>
      </c>
      <c r="H2722" s="9"/>
      <c r="I2722" s="9"/>
      <c r="J2722" s="10">
        <f t="shared" ref="J2722:M2722" si="1685">ifs(OR($H2722="R",$I2722="N"),"N/A",OR(C2722="A",C2722="B",C2722="C",C2722="U"),3,TRUE,"FLAG")</f>
        <v>3</v>
      </c>
      <c r="K2722" s="10">
        <f t="shared" si="1685"/>
        <v>3</v>
      </c>
      <c r="L2722" s="10">
        <f t="shared" si="1685"/>
        <v>3</v>
      </c>
      <c r="M2722" s="10" t="str">
        <f t="shared" si="1685"/>
        <v>FLAG</v>
      </c>
      <c r="N2722" s="10" t="str">
        <f t="shared" si="2"/>
        <v>65-34,109(b)(6) - Storage Tank Act; Deposit, store or dispense any regulated substance into any noncompliant storage tank after written notice such storage tanks are noncompliant</v>
      </c>
      <c r="O2722" s="10" t="str">
        <f t="shared" si="3"/>
        <v>Storage Tank Act</v>
      </c>
    </row>
    <row r="2723">
      <c r="A2723" s="7" t="s">
        <v>4863</v>
      </c>
      <c r="B2723" s="8" t="s">
        <v>4864</v>
      </c>
      <c r="C2723" s="8" t="s">
        <v>27</v>
      </c>
      <c r="D2723" s="8" t="s">
        <v>28</v>
      </c>
      <c r="E2723" s="8" t="s">
        <v>19</v>
      </c>
      <c r="F2723" s="8" t="s">
        <v>20</v>
      </c>
      <c r="G2723" s="8" t="s">
        <v>21</v>
      </c>
      <c r="H2723" s="9"/>
      <c r="I2723" s="9"/>
      <c r="J2723" s="10">
        <f t="shared" ref="J2723:M2723" si="1686">ifs(OR($H2723="R",$I2723="N"),"N/A",OR(C2723="A",C2723="B",C2723="C",C2723="U"),3,TRUE,"FLAG")</f>
        <v>3</v>
      </c>
      <c r="K2723" s="10">
        <f t="shared" si="1686"/>
        <v>3</v>
      </c>
      <c r="L2723" s="10">
        <f t="shared" si="1686"/>
        <v>3</v>
      </c>
      <c r="M2723" s="10" t="str">
        <f t="shared" si="1686"/>
        <v>FLAG</v>
      </c>
      <c r="N2723" s="10" t="str">
        <f t="shared" si="2"/>
        <v>65-34,109(b)(5) - Storage Tank Act; Knowingly allow a release, fail to report a release or fail to take corrective action in response to a release of a regulated substance in violation of this act, rules and regulations</v>
      </c>
      <c r="O2723" s="10" t="str">
        <f t="shared" si="3"/>
        <v>Storage Tank Act</v>
      </c>
    </row>
    <row r="2724">
      <c r="A2724" s="7" t="s">
        <v>4865</v>
      </c>
      <c r="B2724" s="8" t="s">
        <v>4866</v>
      </c>
      <c r="C2724" s="8" t="s">
        <v>27</v>
      </c>
      <c r="D2724" s="8" t="s">
        <v>28</v>
      </c>
      <c r="E2724" s="8" t="s">
        <v>19</v>
      </c>
      <c r="F2724" s="8" t="s">
        <v>20</v>
      </c>
      <c r="G2724" s="8" t="s">
        <v>21</v>
      </c>
      <c r="H2724" s="9"/>
      <c r="I2724" s="9"/>
      <c r="J2724" s="10">
        <f t="shared" ref="J2724:M2724" si="1687">ifs(OR($H2724="R",$I2724="N"),"N/A",OR(C2724="A",C2724="B",C2724="C",C2724="U"),3,TRUE,"FLAG")</f>
        <v>3</v>
      </c>
      <c r="K2724" s="10">
        <f t="shared" si="1687"/>
        <v>3</v>
      </c>
      <c r="L2724" s="10">
        <f t="shared" si="1687"/>
        <v>3</v>
      </c>
      <c r="M2724" s="10" t="str">
        <f t="shared" si="1687"/>
        <v>FLAG</v>
      </c>
      <c r="N2724" s="10" t="str">
        <f t="shared" si="2"/>
        <v>65-34,109(b)(4) - Storage Tank Act; Knowingly destroy, alter or conceal any record required to be maintained by this act or rules and regulations promulgated hereunder</v>
      </c>
      <c r="O2724" s="10" t="str">
        <f t="shared" si="3"/>
        <v>Storage Tank Act</v>
      </c>
    </row>
    <row r="2725">
      <c r="A2725" s="7" t="s">
        <v>4867</v>
      </c>
      <c r="B2725" s="8" t="s">
        <v>4868</v>
      </c>
      <c r="C2725" s="8" t="s">
        <v>27</v>
      </c>
      <c r="D2725" s="8" t="s">
        <v>28</v>
      </c>
      <c r="E2725" s="8" t="s">
        <v>19</v>
      </c>
      <c r="F2725" s="8" t="s">
        <v>20</v>
      </c>
      <c r="G2725" s="8" t="s">
        <v>21</v>
      </c>
      <c r="H2725" s="9"/>
      <c r="I2725" s="9"/>
      <c r="J2725" s="10">
        <f t="shared" ref="J2725:M2725" si="1688">ifs(OR($H2725="R",$I2725="N"),"N/A",OR(C2725="A",C2725="B",C2725="C",C2725="U"),3,TRUE,"FLAG")</f>
        <v>3</v>
      </c>
      <c r="K2725" s="10">
        <f t="shared" si="1688"/>
        <v>3</v>
      </c>
      <c r="L2725" s="10">
        <f t="shared" si="1688"/>
        <v>3</v>
      </c>
      <c r="M2725" s="10" t="str">
        <f t="shared" si="1688"/>
        <v>FLAG</v>
      </c>
      <c r="N2725" s="10" t="str">
        <f t="shared" si="2"/>
        <v>65-34,109(b)(3) - Storage Tank Act; Knowingly make any false material statement or representation in any application, record, report, permit or other document filed, maintained or used for compliance with this act</v>
      </c>
      <c r="O2725" s="10" t="str">
        <f t="shared" si="3"/>
        <v>Storage Tank Act</v>
      </c>
    </row>
    <row r="2726">
      <c r="A2726" s="7" t="s">
        <v>4869</v>
      </c>
      <c r="B2726" s="8" t="s">
        <v>4870</v>
      </c>
      <c r="C2726" s="8" t="s">
        <v>19</v>
      </c>
      <c r="D2726" s="8" t="s">
        <v>19</v>
      </c>
      <c r="E2726" s="8" t="s">
        <v>19</v>
      </c>
      <c r="F2726" s="8" t="s">
        <v>20</v>
      </c>
      <c r="G2726" s="8" t="s">
        <v>21</v>
      </c>
      <c r="H2726" s="9"/>
      <c r="I2726" s="9"/>
      <c r="J2726" s="10">
        <f t="shared" ref="J2726:M2726" si="1689">ifs(OR($H2726="R",$I2726="N"),"N/A",OR(C2726="A",C2726="B",C2726="C",C2726="U"),3,TRUE,"FLAG")</f>
        <v>3</v>
      </c>
      <c r="K2726" s="10">
        <f t="shared" si="1689"/>
        <v>3</v>
      </c>
      <c r="L2726" s="10">
        <f t="shared" si="1689"/>
        <v>3</v>
      </c>
      <c r="M2726" s="10" t="str">
        <f t="shared" si="1689"/>
        <v>FLAG</v>
      </c>
      <c r="N2726" s="10" t="str">
        <f t="shared" si="2"/>
        <v>65-34,110(a) - Storage Tank Act; Licensure of tank installers and contractors required</v>
      </c>
      <c r="O2726" s="10" t="str">
        <f t="shared" si="3"/>
        <v>Storage Tank Act</v>
      </c>
    </row>
    <row r="2727">
      <c r="A2727" s="7" t="s">
        <v>4871</v>
      </c>
      <c r="B2727" s="8" t="s">
        <v>4872</v>
      </c>
      <c r="C2727" s="8" t="s">
        <v>27</v>
      </c>
      <c r="D2727" s="8" t="s">
        <v>28</v>
      </c>
      <c r="E2727" s="8" t="s">
        <v>19</v>
      </c>
      <c r="F2727" s="8" t="s">
        <v>20</v>
      </c>
      <c r="G2727" s="8" t="s">
        <v>21</v>
      </c>
      <c r="H2727" s="9"/>
      <c r="I2727" s="9"/>
      <c r="J2727" s="10">
        <f t="shared" ref="J2727:M2727" si="1690">ifs(OR($H2727="R",$I2727="N"),"N/A",OR(C2727="A",C2727="B",C2727="C",C2727="U"),3,TRUE,"FLAG")</f>
        <v>3</v>
      </c>
      <c r="K2727" s="10">
        <f t="shared" si="1690"/>
        <v>3</v>
      </c>
      <c r="L2727" s="10">
        <f t="shared" si="1690"/>
        <v>3</v>
      </c>
      <c r="M2727" s="10" t="str">
        <f t="shared" si="1690"/>
        <v>FLAG</v>
      </c>
      <c r="N2727" s="10" t="str">
        <f t="shared" si="2"/>
        <v>65-34,109(b)(2) - Storage Tank Act; Prevent or hinder an authorized person agent from entering/inspecting/sampling at a facility on which a storage tank is located or from copying certain records</v>
      </c>
      <c r="O2727" s="10" t="str">
        <f t="shared" si="3"/>
        <v>Storage Tank Act</v>
      </c>
    </row>
    <row r="2728">
      <c r="A2728" s="7" t="s">
        <v>4873</v>
      </c>
      <c r="B2728" s="8" t="s">
        <v>4874</v>
      </c>
      <c r="C2728" s="8" t="s">
        <v>27</v>
      </c>
      <c r="D2728" s="8" t="s">
        <v>28</v>
      </c>
      <c r="E2728" s="8" t="s">
        <v>19</v>
      </c>
      <c r="F2728" s="8" t="s">
        <v>20</v>
      </c>
      <c r="G2728" s="8" t="s">
        <v>21</v>
      </c>
      <c r="H2728" s="9"/>
      <c r="I2728" s="9"/>
      <c r="J2728" s="10">
        <f t="shared" ref="J2728:M2728" si="1691">ifs(OR($H2728="R",$I2728="N"),"N/A",OR(C2728="A",C2728="B",C2728="C",C2728="U"),3,TRUE,"FLAG")</f>
        <v>3</v>
      </c>
      <c r="K2728" s="10">
        <f t="shared" si="1691"/>
        <v>3</v>
      </c>
      <c r="L2728" s="10">
        <f t="shared" si="1691"/>
        <v>3</v>
      </c>
      <c r="M2728" s="10" t="str">
        <f t="shared" si="1691"/>
        <v>FLAG</v>
      </c>
      <c r="N2728" s="10" t="str">
        <f t="shared" si="2"/>
        <v>65-34,109(a) - Storage Tank Act; Unlawful to deposit, store or dispense, or permit anyone to deposit, store or dispense, any regulated substance into any noncompliant storage tank</v>
      </c>
      <c r="O2728" s="10" t="str">
        <f t="shared" si="3"/>
        <v>Storage Tank Act</v>
      </c>
    </row>
    <row r="2729">
      <c r="A2729" s="7" t="s">
        <v>4875</v>
      </c>
      <c r="B2729" s="8" t="s">
        <v>4876</v>
      </c>
      <c r="C2729" s="8" t="s">
        <v>19</v>
      </c>
      <c r="D2729" s="8" t="s">
        <v>19</v>
      </c>
      <c r="E2729" s="8" t="s">
        <v>19</v>
      </c>
      <c r="F2729" s="8" t="s">
        <v>20</v>
      </c>
      <c r="G2729" s="8" t="s">
        <v>21</v>
      </c>
      <c r="H2729" s="9"/>
      <c r="I2729" s="9"/>
      <c r="J2729" s="10">
        <f t="shared" ref="J2729:M2729" si="1692">ifs(OR($H2729="R",$I2729="N"),"N/A",OR(C2729="A",C2729="B",C2729="C",C2729="U"),3,TRUE,"FLAG")</f>
        <v>3</v>
      </c>
      <c r="K2729" s="10">
        <f t="shared" si="1692"/>
        <v>3</v>
      </c>
      <c r="L2729" s="10">
        <f t="shared" si="1692"/>
        <v>3</v>
      </c>
      <c r="M2729" s="10" t="str">
        <f t="shared" si="1692"/>
        <v>FLAG</v>
      </c>
      <c r="N2729" s="10" t="str">
        <f t="shared" si="2"/>
        <v>21-5816(a)(5) - Tampering with a Landmark; Alter, remove, damage or destroy any public land survey corner or accessory in noncompliance with K.S.A. 58-2011</v>
      </c>
      <c r="O2729" s="10" t="str">
        <f t="shared" si="3"/>
        <v>Tampering with a Landmark</v>
      </c>
    </row>
    <row r="2730">
      <c r="A2730" s="7" t="s">
        <v>4877</v>
      </c>
      <c r="B2730" s="8" t="s">
        <v>4878</v>
      </c>
      <c r="C2730" s="8" t="s">
        <v>19</v>
      </c>
      <c r="D2730" s="8" t="s">
        <v>19</v>
      </c>
      <c r="E2730" s="8" t="s">
        <v>19</v>
      </c>
      <c r="F2730" s="8" t="s">
        <v>20</v>
      </c>
      <c r="G2730" s="8" t="s">
        <v>21</v>
      </c>
      <c r="H2730" s="9"/>
      <c r="I2730" s="9"/>
      <c r="J2730" s="10">
        <f t="shared" ref="J2730:M2730" si="1693">ifs(OR($H2730="R",$I2730="N"),"N/A",OR(C2730="A",C2730="B",C2730="C",C2730="U"),3,TRUE,"FLAG")</f>
        <v>3</v>
      </c>
      <c r="K2730" s="10">
        <f t="shared" si="1693"/>
        <v>3</v>
      </c>
      <c r="L2730" s="10">
        <f t="shared" si="1693"/>
        <v>3</v>
      </c>
      <c r="M2730" s="10" t="str">
        <f t="shared" si="1693"/>
        <v>FLAG</v>
      </c>
      <c r="N2730" s="10" t="str">
        <f t="shared" si="2"/>
        <v>21-5816(a)(3) - Tampering with a Landmark; Cut down or remove any tree, post or other monument bearing marks made for such purpose, with intent to destroy the designating marks</v>
      </c>
      <c r="O2730" s="10" t="str">
        <f t="shared" si="3"/>
        <v>Tampering with a Landmark</v>
      </c>
    </row>
    <row r="2731">
      <c r="A2731" s="7" t="s">
        <v>4879</v>
      </c>
      <c r="B2731" s="8" t="s">
        <v>4880</v>
      </c>
      <c r="C2731" s="8" t="s">
        <v>19</v>
      </c>
      <c r="D2731" s="8" t="s">
        <v>19</v>
      </c>
      <c r="E2731" s="8" t="s">
        <v>19</v>
      </c>
      <c r="F2731" s="8" t="s">
        <v>20</v>
      </c>
      <c r="G2731" s="8" t="s">
        <v>21</v>
      </c>
      <c r="H2731" s="9"/>
      <c r="I2731" s="9"/>
      <c r="J2731" s="10">
        <f t="shared" ref="J2731:M2731" si="1694">ifs(OR($H2731="R",$I2731="N"),"N/A",OR(C2731="A",C2731="B",C2731="C",C2731="U"),3,TRUE,"FLAG")</f>
        <v>3</v>
      </c>
      <c r="K2731" s="10">
        <f t="shared" si="1694"/>
        <v>3</v>
      </c>
      <c r="L2731" s="10">
        <f t="shared" si="1694"/>
        <v>3</v>
      </c>
      <c r="M2731" s="10" t="str">
        <f t="shared" si="1694"/>
        <v>FLAG</v>
      </c>
      <c r="N2731" s="10" t="str">
        <f t="shared" si="2"/>
        <v>21-5816(a)(4) - Tampering with a Landmark; Deface or alter any inscription on any such marker or monument</v>
      </c>
      <c r="O2731" s="10" t="str">
        <f t="shared" si="3"/>
        <v>Tampering with a Landmark</v>
      </c>
    </row>
    <row r="2732">
      <c r="A2732" s="7" t="s">
        <v>4881</v>
      </c>
      <c r="B2732" s="8" t="s">
        <v>4882</v>
      </c>
      <c r="C2732" s="8" t="s">
        <v>19</v>
      </c>
      <c r="D2732" s="8" t="s">
        <v>19</v>
      </c>
      <c r="E2732" s="8" t="s">
        <v>19</v>
      </c>
      <c r="F2732" s="8" t="s">
        <v>20</v>
      </c>
      <c r="G2732" s="8" t="s">
        <v>21</v>
      </c>
      <c r="H2732" s="9"/>
      <c r="I2732" s="9"/>
      <c r="J2732" s="10">
        <f t="shared" ref="J2732:M2732" si="1695">ifs(OR($H2732="R",$I2732="N"),"N/A",OR(C2732="A",C2732="B",C2732="C",C2732="U"),3,TRUE,"FLAG")</f>
        <v>3</v>
      </c>
      <c r="K2732" s="10">
        <f t="shared" si="1695"/>
        <v>3</v>
      </c>
      <c r="L2732" s="10">
        <f t="shared" si="1695"/>
        <v>3</v>
      </c>
      <c r="M2732" s="10" t="str">
        <f t="shared" si="1695"/>
        <v>FLAG</v>
      </c>
      <c r="N2732" s="10" t="str">
        <f t="shared" si="2"/>
        <v>21-5816(a)(2) - Tampering with a Landmark; Deface or alter marks upon any tree, post or other monument, made for the purpose of designating any point on such boundary</v>
      </c>
      <c r="O2732" s="10" t="str">
        <f t="shared" si="3"/>
        <v>Tampering with a Landmark</v>
      </c>
    </row>
    <row r="2733">
      <c r="A2733" s="7" t="s">
        <v>4883</v>
      </c>
      <c r="B2733" s="8" t="s">
        <v>4884</v>
      </c>
      <c r="C2733" s="8" t="s">
        <v>19</v>
      </c>
      <c r="D2733" s="8" t="s">
        <v>19</v>
      </c>
      <c r="E2733" s="8" t="s">
        <v>19</v>
      </c>
      <c r="F2733" s="8" t="s">
        <v>20</v>
      </c>
      <c r="G2733" s="8" t="s">
        <v>21</v>
      </c>
      <c r="H2733" s="9"/>
      <c r="I2733" s="9"/>
      <c r="J2733" s="10">
        <f t="shared" ref="J2733:M2733" si="1696">ifs(OR($H2733="R",$I2733="N"),"N/A",OR(C2733="A",C2733="B",C2733="C",C2733="U"),3,TRUE,"FLAG")</f>
        <v>3</v>
      </c>
      <c r="K2733" s="10">
        <f t="shared" si="1696"/>
        <v>3</v>
      </c>
      <c r="L2733" s="10">
        <f t="shared" si="1696"/>
        <v>3</v>
      </c>
      <c r="M2733" s="10" t="str">
        <f t="shared" si="1696"/>
        <v>FLAG</v>
      </c>
      <c r="N2733" s="10" t="str">
        <f t="shared" si="2"/>
        <v>21-5816(a)(1) - Tampering with a Landmark; Remove any monument of stone or other durable material, established or created for the purpose of designating the corner of or any other point upon the boundary of any lot or tract of land, or of the state, or any legal subdivision thereof</v>
      </c>
      <c r="O2733" s="10" t="str">
        <f t="shared" si="3"/>
        <v>Tampering with a Landmark</v>
      </c>
    </row>
    <row r="2734">
      <c r="A2734" s="7" t="s">
        <v>4885</v>
      </c>
      <c r="B2734" s="8" t="s">
        <v>4886</v>
      </c>
      <c r="C2734" s="8">
        <v>6.0</v>
      </c>
      <c r="D2734" s="8">
        <v>8.0</v>
      </c>
      <c r="E2734" s="8">
        <v>8.0</v>
      </c>
      <c r="F2734" s="8">
        <v>9.0</v>
      </c>
      <c r="G2734" s="8" t="s">
        <v>21</v>
      </c>
      <c r="H2734" s="9"/>
      <c r="I2734" s="9"/>
      <c r="N2734" s="10" t="str">
        <f t="shared" si="2"/>
        <v>21-5818(a) - Tampering with a Pipeline; Intentional and unauthorized alteration of or interference with any part of a pipeline</v>
      </c>
      <c r="O2734" s="10" t="str">
        <f t="shared" si="3"/>
        <v>Tampering with a Pipeline</v>
      </c>
    </row>
    <row r="2735">
      <c r="A2735" s="7" t="s">
        <v>4887</v>
      </c>
      <c r="B2735" s="8" t="s">
        <v>4888</v>
      </c>
      <c r="C2735" s="8" t="s">
        <v>19</v>
      </c>
      <c r="D2735" s="8" t="s">
        <v>19</v>
      </c>
      <c r="E2735" s="8" t="s">
        <v>19</v>
      </c>
      <c r="F2735" s="8" t="s">
        <v>20</v>
      </c>
      <c r="G2735" s="8" t="s">
        <v>21</v>
      </c>
      <c r="H2735" s="9"/>
      <c r="I2735" s="9"/>
      <c r="J2735" s="10">
        <f t="shared" ref="J2735:M2735" si="1697">ifs(OR($H2735="R",$I2735="N"),"N/A",OR(C2735="A",C2735="B",C2735="C",C2735="U"),3,TRUE,"FLAG")</f>
        <v>3</v>
      </c>
      <c r="K2735" s="10">
        <f t="shared" si="1697"/>
        <v>3</v>
      </c>
      <c r="L2735" s="10">
        <f t="shared" si="1697"/>
        <v>3</v>
      </c>
      <c r="M2735" s="10" t="str">
        <f t="shared" si="1697"/>
        <v>FLAG</v>
      </c>
      <c r="N2735" s="10" t="str">
        <f t="shared" si="2"/>
        <v>21-5921(a) - Tampering with a Public Notice; Knowingly and without authority alter, destroy, deface, remove or conceal a public notice posted according to law</v>
      </c>
      <c r="O2735" s="10" t="str">
        <f t="shared" si="3"/>
        <v>Tampering with a Public Notice</v>
      </c>
    </row>
    <row r="2736">
      <c r="A2736" s="7" t="s">
        <v>4889</v>
      </c>
      <c r="B2736" s="8" t="s">
        <v>4890</v>
      </c>
      <c r="C2736" s="8" t="s">
        <v>27</v>
      </c>
      <c r="D2736" s="8" t="s">
        <v>28</v>
      </c>
      <c r="E2736" s="8" t="s">
        <v>19</v>
      </c>
      <c r="F2736" s="8" t="s">
        <v>20</v>
      </c>
      <c r="G2736" s="8" t="s">
        <v>21</v>
      </c>
      <c r="H2736" s="9"/>
      <c r="I2736" s="9"/>
      <c r="J2736" s="10">
        <f t="shared" ref="J2736:M2736" si="1698">ifs(OR($H2736="R",$I2736="N"),"N/A",OR(C2736="A",C2736="B",C2736="C",C2736="U"),3,TRUE,"FLAG")</f>
        <v>3</v>
      </c>
      <c r="K2736" s="10">
        <f t="shared" si="1698"/>
        <v>3</v>
      </c>
      <c r="L2736" s="10">
        <f t="shared" si="1698"/>
        <v>3</v>
      </c>
      <c r="M2736" s="10" t="str">
        <f t="shared" si="1698"/>
        <v>FLAG</v>
      </c>
      <c r="N2736" s="10" t="str">
        <f t="shared" si="2"/>
        <v>21-5920(a) - Tampering with a Public Record; Knowingly and without authority alter, destroy, deface, remove or conceal a public record</v>
      </c>
      <c r="O2736" s="10" t="str">
        <f t="shared" si="3"/>
        <v>Tampering with a Public Record</v>
      </c>
    </row>
    <row r="2737">
      <c r="A2737" s="7" t="s">
        <v>4891</v>
      </c>
      <c r="B2737" s="8" t="s">
        <v>4892</v>
      </c>
      <c r="C2737" s="8">
        <v>9.0</v>
      </c>
      <c r="D2737" s="8">
        <v>10.0</v>
      </c>
      <c r="E2737" s="8">
        <v>10.0</v>
      </c>
      <c r="F2737" s="8">
        <v>10.0</v>
      </c>
      <c r="G2737" s="8" t="s">
        <v>21</v>
      </c>
      <c r="H2737" s="9"/>
      <c r="I2737" s="9"/>
      <c r="N2737" s="10" t="str">
        <f t="shared" si="2"/>
        <v>21-6508(a) - Tampering with a Sports contest</v>
      </c>
      <c r="O2737" s="10" t="str">
        <f t="shared" si="3"/>
        <v>Tampering with a Sports contest</v>
      </c>
    </row>
    <row r="2738">
      <c r="A2738" s="7" t="s">
        <v>4893</v>
      </c>
      <c r="B2738" s="8" t="s">
        <v>4894</v>
      </c>
      <c r="C2738" s="8" t="s">
        <v>19</v>
      </c>
      <c r="D2738" s="8" t="s">
        <v>19</v>
      </c>
      <c r="E2738" s="8" t="s">
        <v>19</v>
      </c>
      <c r="F2738" s="8" t="s">
        <v>20</v>
      </c>
      <c r="G2738" s="8" t="s">
        <v>21</v>
      </c>
      <c r="H2738" s="9"/>
      <c r="I2738" s="9"/>
      <c r="J2738" s="10">
        <f t="shared" ref="J2738:M2738" si="1699">ifs(OR($H2738="R",$I2738="N"),"N/A",OR(C2738="A",C2738="B",C2738="C",C2738="U"),3,TRUE,"FLAG")</f>
        <v>3</v>
      </c>
      <c r="K2738" s="10">
        <f t="shared" si="1699"/>
        <v>3</v>
      </c>
      <c r="L2738" s="10">
        <f t="shared" si="1699"/>
        <v>3</v>
      </c>
      <c r="M2738" s="10" t="str">
        <f t="shared" si="1699"/>
        <v>FLAG</v>
      </c>
      <c r="N2738" s="10" t="str">
        <f t="shared" si="2"/>
        <v>21-5817(a) - Tampering with a Traffic Signal; Knowingly manipulate, alter, destroy or remove</v>
      </c>
      <c r="O2738" s="10" t="str">
        <f t="shared" si="3"/>
        <v>Tampering with a Traffic Signal</v>
      </c>
    </row>
    <row r="2739">
      <c r="A2739" s="7" t="s">
        <v>4895</v>
      </c>
      <c r="B2739" s="8" t="s">
        <v>4896</v>
      </c>
      <c r="C2739" s="8">
        <v>6.0</v>
      </c>
      <c r="D2739" s="8">
        <v>8.0</v>
      </c>
      <c r="E2739" s="8">
        <v>8.0</v>
      </c>
      <c r="F2739" s="8">
        <v>9.0</v>
      </c>
      <c r="G2739" s="8" t="s">
        <v>21</v>
      </c>
      <c r="H2739" s="9"/>
      <c r="I2739" s="9"/>
      <c r="N2739" s="10" t="str">
        <f t="shared" si="2"/>
        <v>21-6322(a) - Tampering with Electronic Monitoring Equipment; Knowingly and without authorization</v>
      </c>
      <c r="O2739" s="10" t="str">
        <f t="shared" si="3"/>
        <v>Tampering with Electronic Monitoring Equipment</v>
      </c>
    </row>
    <row r="2740">
      <c r="A2740" s="7" t="s">
        <v>4897</v>
      </c>
      <c r="B2740" s="8" t="s">
        <v>4898</v>
      </c>
      <c r="C2740" s="8" t="s">
        <v>27</v>
      </c>
      <c r="D2740" s="8" t="s">
        <v>28</v>
      </c>
      <c r="E2740" s="8" t="s">
        <v>19</v>
      </c>
      <c r="F2740" s="8" t="s">
        <v>20</v>
      </c>
      <c r="G2740" s="8" t="s">
        <v>21</v>
      </c>
      <c r="H2740" s="9"/>
      <c r="I2740" s="9"/>
      <c r="J2740" s="10">
        <f t="shared" ref="J2740:M2740" si="1700">ifs(OR($H2740="R",$I2740="N"),"N/A",OR(C2740="A",C2740="B",C2740="C",C2740="U"),3,TRUE,"FLAG")</f>
        <v>3</v>
      </c>
      <c r="K2740" s="10">
        <f t="shared" si="1700"/>
        <v>3</v>
      </c>
      <c r="L2740" s="10">
        <f t="shared" si="1700"/>
        <v>3</v>
      </c>
      <c r="M2740" s="10" t="str">
        <f t="shared" si="1700"/>
        <v>FLAG</v>
      </c>
      <c r="N2740" s="10" t="str">
        <f t="shared" si="2"/>
        <v>79-1119(b) - Tax; Banks, Banking Businesses, Trust Companies &amp; Savings &amp; Loan Assoc.; unlawful disclosure of information obtained under article 11, chapter 79 of the K.S.A.'s; unlawful employment for employees administering tax under article 11, chapter 79 of the K.S.A.'s</v>
      </c>
      <c r="O2740" s="10" t="str">
        <f t="shared" si="3"/>
        <v>Tax</v>
      </c>
    </row>
    <row r="2741">
      <c r="A2741" s="7" t="s">
        <v>4899</v>
      </c>
      <c r="B2741" s="8" t="s">
        <v>4900</v>
      </c>
      <c r="C2741" s="8" t="s">
        <v>18</v>
      </c>
      <c r="D2741" s="8" t="s">
        <v>18</v>
      </c>
      <c r="E2741" s="8" t="s">
        <v>19</v>
      </c>
      <c r="F2741" s="8" t="s">
        <v>20</v>
      </c>
      <c r="G2741" s="8" t="s">
        <v>21</v>
      </c>
      <c r="H2741" s="9"/>
      <c r="I2741" s="9"/>
      <c r="J2741" s="10">
        <f t="shared" ref="J2741:M2741" si="1701">ifs(OR($H2741="R",$I2741="N"),"N/A",OR(C2741="A",C2741="B",C2741="C",C2741="U"),3,TRUE,"FLAG")</f>
        <v>3</v>
      </c>
      <c r="K2741" s="10">
        <f t="shared" si="1701"/>
        <v>3</v>
      </c>
      <c r="L2741" s="10">
        <f t="shared" si="1701"/>
        <v>3</v>
      </c>
      <c r="M2741" s="10" t="str">
        <f t="shared" si="1701"/>
        <v>FLAG</v>
      </c>
      <c r="N2741" s="10" t="str">
        <f t="shared" si="2"/>
        <v>79-3228(e) - Tax; Income Tax; Fail to pay any tax or to make, render or sign any return, or to supply any information, within the time required by or under the provisions of this act, if done with fraudulent intent</v>
      </c>
      <c r="O2741" s="10" t="str">
        <f t="shared" si="3"/>
        <v>Tax</v>
      </c>
    </row>
    <row r="2742">
      <c r="A2742" s="7" t="s">
        <v>4901</v>
      </c>
      <c r="B2742" s="8" t="s">
        <v>4902</v>
      </c>
      <c r="C2742" s="8" t="s">
        <v>18</v>
      </c>
      <c r="D2742" s="8" t="s">
        <v>18</v>
      </c>
      <c r="E2742" s="8" t="s">
        <v>19</v>
      </c>
      <c r="F2742" s="8" t="s">
        <v>20</v>
      </c>
      <c r="G2742" s="8" t="s">
        <v>21</v>
      </c>
      <c r="H2742" s="9"/>
      <c r="I2742" s="9"/>
      <c r="J2742" s="10">
        <f t="shared" ref="J2742:M2742" si="1702">ifs(OR($H2742="R",$I2742="N"),"N/A",OR(C2742="A",C2742="B",C2742="C",C2742="U"),3,TRUE,"FLAG")</f>
        <v>3</v>
      </c>
      <c r="K2742" s="10">
        <f t="shared" si="1702"/>
        <v>3</v>
      </c>
      <c r="L2742" s="10">
        <f t="shared" si="1702"/>
        <v>3</v>
      </c>
      <c r="M2742" s="10" t="str">
        <f t="shared" si="1702"/>
        <v>FLAG</v>
      </c>
      <c r="N2742" s="10" t="str">
        <f t="shared" si="2"/>
        <v>79-3299 - Tax; Income Tax; Intentional failure of employer, payer, person or organization deducting and withholding tax to furnish a statement to an employee or payee as required</v>
      </c>
      <c r="O2742" s="10" t="str">
        <f t="shared" si="3"/>
        <v>Tax</v>
      </c>
    </row>
    <row r="2743">
      <c r="A2743" s="7" t="s">
        <v>4903</v>
      </c>
      <c r="B2743" s="8" t="s">
        <v>4904</v>
      </c>
      <c r="C2743" s="8" t="s">
        <v>27</v>
      </c>
      <c r="D2743" s="8" t="s">
        <v>28</v>
      </c>
      <c r="E2743" s="8" t="s">
        <v>19</v>
      </c>
      <c r="F2743" s="8" t="s">
        <v>20</v>
      </c>
      <c r="G2743" s="8" t="s">
        <v>21</v>
      </c>
      <c r="H2743" s="9"/>
      <c r="I2743" s="9"/>
      <c r="J2743" s="10">
        <f t="shared" ref="J2743:M2743" si="1703">ifs(OR($H2743="R",$I2743="N"),"N/A",OR(C2743="A",C2743="B",C2743="C",C2743="U"),3,TRUE,"FLAG")</f>
        <v>3</v>
      </c>
      <c r="K2743" s="10">
        <f t="shared" si="1703"/>
        <v>3</v>
      </c>
      <c r="L2743" s="10">
        <f t="shared" si="1703"/>
        <v>3</v>
      </c>
      <c r="M2743" s="10" t="str">
        <f t="shared" si="1703"/>
        <v>FLAG</v>
      </c>
      <c r="N2743" s="10" t="str">
        <f t="shared" si="2"/>
        <v>79-3234(b) - Tax; Income Tax; Unauthorized disclosure of information obtained under the Kansas income tax act; unlawful employment for employees administering tax under provisions of the Kansas Income Tax Act</v>
      </c>
      <c r="O2743" s="10" t="str">
        <f t="shared" si="3"/>
        <v>Tax</v>
      </c>
    </row>
    <row r="2744">
      <c r="A2744" s="7" t="s">
        <v>4905</v>
      </c>
      <c r="B2744" s="8" t="s">
        <v>4906</v>
      </c>
      <c r="C2744" s="8" t="s">
        <v>27</v>
      </c>
      <c r="D2744" s="8" t="s">
        <v>28</v>
      </c>
      <c r="E2744" s="8" t="s">
        <v>19</v>
      </c>
      <c r="F2744" s="8" t="s">
        <v>20</v>
      </c>
      <c r="G2744" s="8" t="s">
        <v>21</v>
      </c>
      <c r="H2744" s="9"/>
      <c r="I2744" s="9"/>
      <c r="J2744" s="10">
        <f t="shared" ref="J2744:M2744" si="1704">ifs(OR($H2744="R",$I2744="N"),"N/A",OR(C2744="A",C2744="B",C2744="C",C2744="U"),3,TRUE,"FLAG")</f>
        <v>3</v>
      </c>
      <c r="K2744" s="10">
        <f t="shared" si="1704"/>
        <v>3</v>
      </c>
      <c r="L2744" s="10">
        <f t="shared" si="1704"/>
        <v>3</v>
      </c>
      <c r="M2744" s="10" t="str">
        <f t="shared" si="1704"/>
        <v>FLAG</v>
      </c>
      <c r="N2744" s="10" t="str">
        <f t="shared" si="2"/>
        <v>79-3234(c) - Tax; Income Tax; Unauthorized disclosure of information to certain specified entities and individual</v>
      </c>
      <c r="O2744" s="10" t="str">
        <f t="shared" si="3"/>
        <v>Tax</v>
      </c>
    </row>
    <row r="2745">
      <c r="A2745" s="7" t="s">
        <v>4907</v>
      </c>
      <c r="B2745" s="8" t="s">
        <v>4908</v>
      </c>
      <c r="C2745" s="8" t="s">
        <v>18</v>
      </c>
      <c r="D2745" s="8" t="s">
        <v>18</v>
      </c>
      <c r="E2745" s="8" t="s">
        <v>19</v>
      </c>
      <c r="F2745" s="8" t="s">
        <v>20</v>
      </c>
      <c r="G2745" s="8" t="s">
        <v>21</v>
      </c>
      <c r="H2745" s="9"/>
      <c r="I2745" s="9"/>
      <c r="J2745" s="10">
        <f t="shared" ref="J2745:M2745" si="1705">ifs(OR($H2745="R",$I2745="N"),"N/A",OR(C2745="A",C2745="B",C2745="C",C2745="U"),3,TRUE,"FLAG")</f>
        <v>3</v>
      </c>
      <c r="K2745" s="10">
        <f t="shared" si="1705"/>
        <v>3</v>
      </c>
      <c r="L2745" s="10">
        <f t="shared" si="1705"/>
        <v>3</v>
      </c>
      <c r="M2745" s="10" t="str">
        <f t="shared" si="1705"/>
        <v>FLAG</v>
      </c>
      <c r="N2745" s="10" t="str">
        <f t="shared" si="2"/>
        <v>79-2808 - Tax; Judicial Foreclosure &amp; Sale of Real Estate By County; willful certification to the director of accounts and reports any amount for which the county is not entitled to credit by any county treasurer</v>
      </c>
      <c r="O2745" s="10" t="str">
        <f t="shared" si="3"/>
        <v>Tax</v>
      </c>
    </row>
    <row r="2746">
      <c r="A2746" s="7" t="s">
        <v>4909</v>
      </c>
      <c r="B2746" s="8" t="s">
        <v>4910</v>
      </c>
      <c r="C2746" s="8" t="s">
        <v>28</v>
      </c>
      <c r="D2746" s="8" t="s">
        <v>19</v>
      </c>
      <c r="E2746" s="8" t="s">
        <v>19</v>
      </c>
      <c r="F2746" s="8" t="s">
        <v>20</v>
      </c>
      <c r="G2746" s="8" t="s">
        <v>21</v>
      </c>
      <c r="H2746" s="9"/>
      <c r="I2746" s="9"/>
      <c r="J2746" s="10">
        <f t="shared" ref="J2746:M2746" si="1706">ifs(OR($H2746="R",$I2746="N"),"N/A",OR(C2746="A",C2746="B",C2746="C",C2746="U"),3,TRUE,"FLAG")</f>
        <v>3</v>
      </c>
      <c r="K2746" s="10">
        <f t="shared" si="1706"/>
        <v>3</v>
      </c>
      <c r="L2746" s="10">
        <f t="shared" si="1706"/>
        <v>3</v>
      </c>
      <c r="M2746" s="10" t="str">
        <f t="shared" si="1706"/>
        <v>FLAG</v>
      </c>
      <c r="N2746" s="10" t="str">
        <f t="shared" si="2"/>
        <v>12-1694(d) - Tax; Levied and collected pursuant to K.S.A. 12-1693; unauthorized disclosure of confidential information in monthly reports by a city or county officer or employee</v>
      </c>
      <c r="O2746" s="10" t="str">
        <f t="shared" si="3"/>
        <v>Tax</v>
      </c>
    </row>
    <row r="2747">
      <c r="A2747" s="7" t="s">
        <v>4911</v>
      </c>
      <c r="B2747" s="8" t="s">
        <v>4912</v>
      </c>
      <c r="C2747" s="8" t="s">
        <v>28</v>
      </c>
      <c r="D2747" s="8" t="s">
        <v>19</v>
      </c>
      <c r="E2747" s="8" t="s">
        <v>19</v>
      </c>
      <c r="F2747" s="8" t="s">
        <v>20</v>
      </c>
      <c r="G2747" s="8" t="s">
        <v>21</v>
      </c>
      <c r="H2747" s="9"/>
      <c r="I2747" s="9"/>
      <c r="J2747" s="10">
        <f t="shared" ref="J2747:M2747" si="1707">ifs(OR($H2747="R",$I2747="N"),"N/A",OR(C2747="A",C2747="B",C2747="C",C2747="U"),3,TRUE,"FLAG")</f>
        <v>3</v>
      </c>
      <c r="K2747" s="10">
        <f t="shared" si="1707"/>
        <v>3</v>
      </c>
      <c r="L2747" s="10">
        <f t="shared" si="1707"/>
        <v>3</v>
      </c>
      <c r="M2747" s="10" t="str">
        <f t="shared" si="1707"/>
        <v>FLAG</v>
      </c>
      <c r="N2747" s="10" t="str">
        <f t="shared" si="2"/>
        <v>12-1698(d) - Tax; Levied and collected pursuant to K.S.A. 12-1697; unauthorized disclosure of confidential information in monthly reports by a city or county officer or employee</v>
      </c>
      <c r="O2747" s="10" t="str">
        <f t="shared" si="3"/>
        <v>Tax</v>
      </c>
    </row>
    <row r="2748">
      <c r="A2748" s="7" t="s">
        <v>4913</v>
      </c>
      <c r="B2748" s="8" t="s">
        <v>4914</v>
      </c>
      <c r="C2748" s="8" t="s">
        <v>18</v>
      </c>
      <c r="D2748" s="8" t="s">
        <v>18</v>
      </c>
      <c r="E2748" s="8" t="s">
        <v>19</v>
      </c>
      <c r="F2748" s="8" t="s">
        <v>20</v>
      </c>
      <c r="G2748" s="8" t="s">
        <v>21</v>
      </c>
      <c r="H2748" s="9"/>
      <c r="I2748" s="9"/>
      <c r="J2748" s="10">
        <f t="shared" ref="J2748:M2748" si="1708">ifs(OR($H2748="R",$I2748="N"),"N/A",OR(C2748="A",C2748="B",C2748="C",C2748="U"),3,TRUE,"FLAG")</f>
        <v>3</v>
      </c>
      <c r="K2748" s="10">
        <f t="shared" si="1708"/>
        <v>3</v>
      </c>
      <c r="L2748" s="10">
        <f t="shared" si="1708"/>
        <v>3</v>
      </c>
      <c r="M2748" s="10" t="str">
        <f t="shared" si="1708"/>
        <v>FLAG</v>
      </c>
      <c r="N2748" s="10" t="str">
        <f t="shared" si="2"/>
        <v>79-1966 - Tax; Limitations on Tax Levies; penalty for violation of act by officer</v>
      </c>
      <c r="O2748" s="10" t="str">
        <f t="shared" si="3"/>
        <v>Tax</v>
      </c>
    </row>
    <row r="2749">
      <c r="A2749" s="7" t="s">
        <v>4915</v>
      </c>
      <c r="B2749" s="8" t="s">
        <v>4916</v>
      </c>
      <c r="C2749" s="8" t="s">
        <v>18</v>
      </c>
      <c r="D2749" s="8" t="s">
        <v>18</v>
      </c>
      <c r="E2749" s="8" t="s">
        <v>19</v>
      </c>
      <c r="F2749" s="8" t="s">
        <v>20</v>
      </c>
      <c r="G2749" s="8" t="s">
        <v>21</v>
      </c>
      <c r="H2749" s="9"/>
      <c r="I2749" s="9"/>
      <c r="J2749" s="10">
        <f t="shared" ref="J2749:M2749" si="1709">ifs(OR($H2749="R",$I2749="N"),"N/A",OR(C2749="A",C2749="B",C2749="C",C2749="U"),3,TRUE,"FLAG")</f>
        <v>3</v>
      </c>
      <c r="K2749" s="10">
        <f t="shared" si="1709"/>
        <v>3</v>
      </c>
      <c r="L2749" s="10">
        <f t="shared" si="1709"/>
        <v>3</v>
      </c>
      <c r="M2749" s="10" t="str">
        <f t="shared" si="1709"/>
        <v>FLAG</v>
      </c>
      <c r="N2749" s="10" t="str">
        <f t="shared" si="2"/>
        <v>79-1015 - Tax; Merchants, Manufacturers, Motor Vehicle Dealers &amp; Certain Contractors; fail to register as required; fail to execute the bond before beginning the performance of any contract; violation of any other provision of this act</v>
      </c>
      <c r="O2749" s="10" t="str">
        <f t="shared" si="3"/>
        <v>Tax</v>
      </c>
    </row>
    <row r="2750">
      <c r="A2750" s="7" t="s">
        <v>4917</v>
      </c>
      <c r="B2750" s="8" t="s">
        <v>4918</v>
      </c>
      <c r="C2750" s="8" t="s">
        <v>18</v>
      </c>
      <c r="D2750" s="8" t="s">
        <v>18</v>
      </c>
      <c r="E2750" s="8" t="s">
        <v>19</v>
      </c>
      <c r="F2750" s="8" t="s">
        <v>20</v>
      </c>
      <c r="G2750" s="8" t="s">
        <v>21</v>
      </c>
      <c r="H2750" s="9"/>
      <c r="I2750" s="9"/>
      <c r="J2750" s="10">
        <f t="shared" ref="J2750:M2750" si="1710">ifs(OR($H2750="R",$I2750="N"),"N/A",OR(C2750="A",C2750="B",C2750="C",C2750="U"),3,TRUE,"FLAG")</f>
        <v>3</v>
      </c>
      <c r="K2750" s="10">
        <f t="shared" si="1710"/>
        <v>3</v>
      </c>
      <c r="L2750" s="10">
        <f t="shared" si="1710"/>
        <v>3</v>
      </c>
      <c r="M2750" s="10" t="str">
        <f t="shared" si="1710"/>
        <v>FLAG</v>
      </c>
      <c r="N2750" s="10" t="str">
        <f t="shared" si="2"/>
        <v>79-1426 - Tax; Property Valuation, Equalizing Assessments, Appraisers &amp; Assessment of Property; Failure of officer to list or properly value, assess or equalize property for taxation</v>
      </c>
      <c r="O2750" s="10" t="str">
        <f t="shared" si="3"/>
        <v>Tax</v>
      </c>
    </row>
    <row r="2751">
      <c r="A2751" s="7" t="s">
        <v>4919</v>
      </c>
      <c r="B2751" s="8" t="s">
        <v>4920</v>
      </c>
      <c r="C2751" s="8" t="s">
        <v>18</v>
      </c>
      <c r="D2751" s="8" t="s">
        <v>18</v>
      </c>
      <c r="E2751" s="8" t="s">
        <v>19</v>
      </c>
      <c r="F2751" s="8" t="s">
        <v>20</v>
      </c>
      <c r="G2751" s="8" t="s">
        <v>21</v>
      </c>
      <c r="H2751" s="9"/>
      <c r="I2751" s="9"/>
      <c r="J2751" s="10">
        <f t="shared" ref="J2751:M2751" si="1711">ifs(OR($H2751="R",$I2751="N"),"N/A",OR(C2751="A",C2751="B",C2751="C",C2751="U"),3,TRUE,"FLAG")</f>
        <v>3</v>
      </c>
      <c r="K2751" s="10">
        <f t="shared" si="1711"/>
        <v>3</v>
      </c>
      <c r="L2751" s="10">
        <f t="shared" si="1711"/>
        <v>3</v>
      </c>
      <c r="M2751" s="10" t="str">
        <f t="shared" si="1711"/>
        <v>FLAG</v>
      </c>
      <c r="N2751" s="10" t="str">
        <f t="shared" si="2"/>
        <v>79-1437g - Tax; Property Valuation, Equalizing Assessments, Appraisers &amp; Assessment of Property; Falsifying the value of real estate transferred</v>
      </c>
      <c r="O2751" s="10" t="str">
        <f t="shared" si="3"/>
        <v>Tax</v>
      </c>
    </row>
    <row r="2752">
      <c r="A2752" s="7" t="s">
        <v>4921</v>
      </c>
      <c r="B2752" s="8" t="s">
        <v>4922</v>
      </c>
      <c r="C2752" s="8" t="s">
        <v>18</v>
      </c>
      <c r="D2752" s="8" t="s">
        <v>18</v>
      </c>
      <c r="E2752" s="8" t="s">
        <v>19</v>
      </c>
      <c r="F2752" s="8" t="s">
        <v>20</v>
      </c>
      <c r="G2752" s="8" t="s">
        <v>21</v>
      </c>
      <c r="H2752" s="9"/>
      <c r="I2752" s="9"/>
      <c r="J2752" s="10">
        <f t="shared" ref="J2752:M2752" si="1712">ifs(OR($H2752="R",$I2752="N"),"N/A",OR(C2752="A",C2752="B",C2752="C",C2752="U"),3,TRUE,"FLAG")</f>
        <v>3</v>
      </c>
      <c r="K2752" s="10">
        <f t="shared" si="1712"/>
        <v>3</v>
      </c>
      <c r="L2752" s="10">
        <f t="shared" si="1712"/>
        <v>3</v>
      </c>
      <c r="M2752" s="10" t="str">
        <f t="shared" si="1712"/>
        <v>FLAG</v>
      </c>
      <c r="N2752" s="10" t="str">
        <f t="shared" si="2"/>
        <v>79-1420 - Tax; Property Valuation, Equalizing Assessments, Appraisers &amp; Assessment of Property; Fraudulent listing or evasion by taxpayer</v>
      </c>
      <c r="O2752" s="10" t="str">
        <f t="shared" si="3"/>
        <v>Tax</v>
      </c>
    </row>
    <row r="2753">
      <c r="A2753" s="7" t="s">
        <v>4923</v>
      </c>
      <c r="B2753" s="8" t="s">
        <v>4924</v>
      </c>
      <c r="C2753" s="8" t="s">
        <v>18</v>
      </c>
      <c r="D2753" s="8" t="s">
        <v>18</v>
      </c>
      <c r="E2753" s="8" t="s">
        <v>19</v>
      </c>
      <c r="F2753" s="8" t="s">
        <v>20</v>
      </c>
      <c r="G2753" s="8" t="s">
        <v>21</v>
      </c>
      <c r="H2753" s="9"/>
      <c r="I2753" s="9"/>
      <c r="J2753" s="10">
        <f t="shared" ref="J2753:M2753" si="1713">ifs(OR($H2753="R",$I2753="N"),"N/A",OR(C2753="A",C2753="B",C2753="C",C2753="U"),3,TRUE,"FLAG")</f>
        <v>3</v>
      </c>
      <c r="K2753" s="10">
        <f t="shared" si="1713"/>
        <v>3</v>
      </c>
      <c r="L2753" s="10">
        <f t="shared" si="1713"/>
        <v>3</v>
      </c>
      <c r="M2753" s="10" t="str">
        <f t="shared" si="1713"/>
        <v>FLAG</v>
      </c>
      <c r="N2753" s="10" t="str">
        <f t="shared" si="2"/>
        <v>79-1473 - Tax; Property Valuation, Equalizing Assessments, Appraisers &amp; Assessment of Property; Penalty for neglect of duty by county appraiser or employee</v>
      </c>
      <c r="O2753" s="10" t="str">
        <f t="shared" si="3"/>
        <v>Tax</v>
      </c>
    </row>
    <row r="2754">
      <c r="A2754" s="7" t="s">
        <v>4925</v>
      </c>
      <c r="B2754" s="8" t="s">
        <v>4926</v>
      </c>
      <c r="C2754" s="8" t="s">
        <v>18</v>
      </c>
      <c r="D2754" s="8" t="s">
        <v>18</v>
      </c>
      <c r="E2754" s="8" t="s">
        <v>19</v>
      </c>
      <c r="F2754" s="8" t="s">
        <v>20</v>
      </c>
      <c r="G2754" s="8" t="s">
        <v>21</v>
      </c>
      <c r="H2754" s="9"/>
      <c r="I2754" s="9"/>
      <c r="J2754" s="10">
        <f t="shared" ref="J2754:M2754" si="1714">ifs(OR($H2754="R",$I2754="N"),"N/A",OR(C2754="A",C2754="B",C2754="C",C2754="U"),3,TRUE,"FLAG")</f>
        <v>3</v>
      </c>
      <c r="K2754" s="10">
        <f t="shared" si="1714"/>
        <v>3</v>
      </c>
      <c r="L2754" s="10">
        <f t="shared" si="1714"/>
        <v>3</v>
      </c>
      <c r="M2754" s="10" t="str">
        <f t="shared" si="1714"/>
        <v>FLAG</v>
      </c>
      <c r="N2754" s="10" t="str">
        <f t="shared" si="2"/>
        <v>79-1408 - Tax; Property Valuation, Equalizing Assessments, Appraisers &amp; Assessment of Property; Willfully refuse to answer questions and interrogatories and take and subscribe the oath</v>
      </c>
      <c r="O2754" s="10" t="str">
        <f t="shared" si="3"/>
        <v>Tax</v>
      </c>
    </row>
    <row r="2755">
      <c r="A2755" s="7" t="s">
        <v>4927</v>
      </c>
      <c r="B2755" s="8" t="s">
        <v>4928</v>
      </c>
      <c r="C2755" s="8" t="s">
        <v>1532</v>
      </c>
      <c r="D2755" s="8">
        <v>10.0</v>
      </c>
      <c r="E2755" s="8">
        <v>10.0</v>
      </c>
      <c r="F2755" s="8">
        <v>10.0</v>
      </c>
      <c r="G2755" s="8" t="s">
        <v>21</v>
      </c>
      <c r="H2755" s="9"/>
      <c r="I2755" s="9"/>
      <c r="N2755" s="10" t="str">
        <f t="shared" si="2"/>
        <v>79-3228(f) - Taxation; Income Tax; willfully sign a fraudulent return</v>
      </c>
      <c r="O2755" s="10" t="str">
        <f t="shared" si="3"/>
        <v>Taxation</v>
      </c>
    </row>
    <row r="2756">
      <c r="A2756" s="7" t="s">
        <v>4929</v>
      </c>
      <c r="B2756" s="8" t="s">
        <v>4930</v>
      </c>
      <c r="C2756" s="8">
        <v>10.0</v>
      </c>
      <c r="D2756" s="8">
        <v>10.0</v>
      </c>
      <c r="E2756" s="8">
        <v>10.0</v>
      </c>
      <c r="F2756" s="8">
        <v>10.0</v>
      </c>
      <c r="G2756" s="8" t="s">
        <v>21</v>
      </c>
      <c r="H2756" s="9"/>
      <c r="I2756" s="9"/>
      <c r="N2756" s="10" t="str">
        <f t="shared" si="2"/>
        <v>79-5208 - Taxation; Marijuana &amp; Controlled substances; dealer distributing or possessing marijuana or controlled substances without affixing the appropriate stamps, labels or other indicia</v>
      </c>
      <c r="O2756" s="10" t="str">
        <f t="shared" si="3"/>
        <v>Taxation</v>
      </c>
    </row>
    <row r="2757">
      <c r="A2757" s="7" t="s">
        <v>4931</v>
      </c>
      <c r="B2757" s="8" t="s">
        <v>4932</v>
      </c>
      <c r="C2757" s="8" t="s">
        <v>18</v>
      </c>
      <c r="D2757" s="8" t="s">
        <v>18</v>
      </c>
      <c r="E2757" s="8" t="s">
        <v>19</v>
      </c>
      <c r="F2757" s="8" t="s">
        <v>20</v>
      </c>
      <c r="G2757" s="8" t="s">
        <v>21</v>
      </c>
      <c r="H2757" s="9"/>
      <c r="I2757" s="9"/>
      <c r="J2757" s="10">
        <f t="shared" ref="J2757:M2757" si="1715">ifs(OR($H2757="R",$I2757="N"),"N/A",OR(C2757="A",C2757="B",C2757="C",C2757="U"),3,TRUE,"FLAG")</f>
        <v>3</v>
      </c>
      <c r="K2757" s="10">
        <f t="shared" si="1715"/>
        <v>3</v>
      </c>
      <c r="L2757" s="10">
        <f t="shared" si="1715"/>
        <v>3</v>
      </c>
      <c r="M2757" s="10" t="str">
        <f t="shared" si="1715"/>
        <v>FLAG</v>
      </c>
      <c r="N2757" s="10" t="str">
        <f t="shared" si="2"/>
        <v>79-3464e(a)(9) - Taxation; Motor Vehicle Fuel Taxes; Aid and abet in violations contained in paragraphs (1) through (8)</v>
      </c>
      <c r="O2757" s="10" t="str">
        <f t="shared" si="3"/>
        <v>Taxation</v>
      </c>
    </row>
    <row r="2758">
      <c r="A2758" s="7" t="s">
        <v>4933</v>
      </c>
      <c r="B2758" s="8" t="s">
        <v>4934</v>
      </c>
      <c r="C2758" s="8">
        <v>10.0</v>
      </c>
      <c r="D2758" s="8">
        <v>10.0</v>
      </c>
      <c r="E2758" s="8">
        <v>10.0</v>
      </c>
      <c r="F2758" s="8">
        <v>10.0</v>
      </c>
      <c r="G2758" s="8" t="s">
        <v>21</v>
      </c>
      <c r="H2758" s="9"/>
      <c r="I2758" s="9"/>
      <c r="N2758" s="10" t="str">
        <f t="shared" si="2"/>
        <v>79-3464e(a)(18) - Taxation; Motor Vehicle Fuel Taxes; aid and abet in violations contained in paragraphs (10) through (17)</v>
      </c>
      <c r="O2758" s="10" t="str">
        <f t="shared" si="3"/>
        <v>Taxation</v>
      </c>
    </row>
    <row r="2759">
      <c r="A2759" s="7" t="s">
        <v>4935</v>
      </c>
      <c r="B2759" s="8" t="s">
        <v>4936</v>
      </c>
      <c r="C2759" s="8">
        <v>10.0</v>
      </c>
      <c r="D2759" s="8">
        <v>10.0</v>
      </c>
      <c r="E2759" s="8">
        <v>10.0</v>
      </c>
      <c r="F2759" s="8">
        <v>10.0</v>
      </c>
      <c r="G2759" s="8" t="s">
        <v>21</v>
      </c>
      <c r="H2759" s="9"/>
      <c r="I2759" s="9"/>
      <c r="N2759" s="10" t="str">
        <f t="shared" si="2"/>
        <v>79-3464e(a)(15) - Taxation; Motor Vehicle Fuel Taxes; deliver or accept delivery of any motor fuel with  intent to evade the obligation of collecting, remitting or accounting for motor fuel tax to this state, knowing that such fuel was intended to be delivered to a tax exempt entity or to a location outside the state of Kansas</v>
      </c>
      <c r="O2759" s="10" t="str">
        <f t="shared" si="3"/>
        <v>Taxation</v>
      </c>
    </row>
    <row r="2760">
      <c r="A2760" s="7" t="s">
        <v>4937</v>
      </c>
      <c r="B2760" s="8" t="s">
        <v>4938</v>
      </c>
      <c r="C2760" s="8" t="s">
        <v>18</v>
      </c>
      <c r="D2760" s="8" t="s">
        <v>18</v>
      </c>
      <c r="E2760" s="8" t="s">
        <v>19</v>
      </c>
      <c r="F2760" s="8" t="s">
        <v>20</v>
      </c>
      <c r="G2760" s="8" t="s">
        <v>21</v>
      </c>
      <c r="H2760" s="9"/>
      <c r="I2760" s="9"/>
      <c r="J2760" s="10">
        <f t="shared" ref="J2760:M2760" si="1716">ifs(OR($H2760="R",$I2760="N"),"N/A",OR(C2760="A",C2760="B",C2760="C",C2760="U"),3,TRUE,"FLAG")</f>
        <v>3</v>
      </c>
      <c r="K2760" s="10">
        <f t="shared" si="1716"/>
        <v>3</v>
      </c>
      <c r="L2760" s="10">
        <f t="shared" si="1716"/>
        <v>3</v>
      </c>
      <c r="M2760" s="10" t="str">
        <f t="shared" si="1716"/>
        <v>FLAG</v>
      </c>
      <c r="N2760" s="10" t="str">
        <f t="shared" si="2"/>
        <v>79-3464e(a)(4) - Taxation; Motor Vehicle Fuel Taxes; Fail, neglect or refuse to keep and maintain or to make fully and freely accessible during business hours to certain people, all books, papers and records as required</v>
      </c>
      <c r="O2760" s="10" t="str">
        <f t="shared" si="3"/>
        <v>Taxation</v>
      </c>
    </row>
    <row r="2761">
      <c r="A2761" s="7" t="s">
        <v>4939</v>
      </c>
      <c r="B2761" s="8" t="s">
        <v>4940</v>
      </c>
      <c r="C2761" s="8" t="s">
        <v>18</v>
      </c>
      <c r="D2761" s="8" t="s">
        <v>18</v>
      </c>
      <c r="E2761" s="8" t="s">
        <v>19</v>
      </c>
      <c r="F2761" s="8" t="s">
        <v>20</v>
      </c>
      <c r="G2761" s="8" t="s">
        <v>21</v>
      </c>
      <c r="H2761" s="9"/>
      <c r="I2761" s="9"/>
      <c r="J2761" s="10">
        <f t="shared" ref="J2761:M2761" si="1717">ifs(OR($H2761="R",$I2761="N"),"N/A",OR(C2761="A",C2761="B",C2761="C",C2761="U"),3,TRUE,"FLAG")</f>
        <v>3</v>
      </c>
      <c r="K2761" s="10">
        <f t="shared" si="1717"/>
        <v>3</v>
      </c>
      <c r="L2761" s="10">
        <f t="shared" si="1717"/>
        <v>3</v>
      </c>
      <c r="M2761" s="10" t="str">
        <f t="shared" si="1717"/>
        <v>FLAG</v>
      </c>
      <c r="N2761" s="10" t="str">
        <f t="shared" si="2"/>
        <v>79-3464e(a)(3) - Taxation; Motor Vehicle Fuel Taxes; Fail, neglect or refuse to pay the director, any tax, taxes, interest or penalties for which such person is liable, within the time required</v>
      </c>
      <c r="O2761" s="10" t="str">
        <f t="shared" si="3"/>
        <v>Taxation</v>
      </c>
    </row>
    <row r="2762">
      <c r="A2762" s="7" t="s">
        <v>4941</v>
      </c>
      <c r="B2762" s="8" t="s">
        <v>4942</v>
      </c>
      <c r="C2762" s="8" t="s">
        <v>18</v>
      </c>
      <c r="D2762" s="8" t="s">
        <v>18</v>
      </c>
      <c r="E2762" s="8" t="s">
        <v>19</v>
      </c>
      <c r="F2762" s="8" t="s">
        <v>20</v>
      </c>
      <c r="G2762" s="8" t="s">
        <v>21</v>
      </c>
      <c r="H2762" s="9"/>
      <c r="I2762" s="9"/>
      <c r="J2762" s="10">
        <f t="shared" ref="J2762:M2762" si="1718">ifs(OR($H2762="R",$I2762="N"),"N/A",OR(C2762="A",C2762="B",C2762="C",C2762="U"),3,TRUE,"FLAG")</f>
        <v>3</v>
      </c>
      <c r="K2762" s="10">
        <f t="shared" si="1718"/>
        <v>3</v>
      </c>
      <c r="L2762" s="10">
        <f t="shared" si="1718"/>
        <v>3</v>
      </c>
      <c r="M2762" s="10" t="str">
        <f t="shared" si="1718"/>
        <v>FLAG</v>
      </c>
      <c r="N2762" s="10" t="str">
        <f t="shared" si="2"/>
        <v>79-3464e(a)(2) - Taxation; Motor Vehicle Fuel Taxes; Fail, neglect or refuse to render to the director at the director's office, any report or statement required, within the time required</v>
      </c>
      <c r="O2762" s="10" t="str">
        <f t="shared" si="3"/>
        <v>Taxation</v>
      </c>
    </row>
    <row r="2763">
      <c r="A2763" s="7" t="s">
        <v>4943</v>
      </c>
      <c r="B2763" s="8" t="s">
        <v>4944</v>
      </c>
      <c r="C2763" s="8">
        <v>10.0</v>
      </c>
      <c r="D2763" s="8">
        <v>10.0</v>
      </c>
      <c r="E2763" s="8">
        <v>10.0</v>
      </c>
      <c r="F2763" s="8">
        <v>10.0</v>
      </c>
      <c r="G2763" s="8" t="s">
        <v>21</v>
      </c>
      <c r="H2763" s="9"/>
      <c r="I2763" s="9"/>
      <c r="N2763" s="10" t="str">
        <f t="shared" si="2"/>
        <v>79-3464e(a)(14) - Taxation; Motor Vehicle Fuel Taxes; falsify, forge or alter any documents associated with the use, sale, manufacture or delivery of any motor fuels</v>
      </c>
      <c r="O2763" s="10" t="str">
        <f t="shared" si="3"/>
        <v>Taxation</v>
      </c>
    </row>
    <row r="2764">
      <c r="A2764" s="7" t="s">
        <v>4945</v>
      </c>
      <c r="B2764" s="8" t="s">
        <v>4946</v>
      </c>
      <c r="C2764" s="8">
        <v>10.0</v>
      </c>
      <c r="D2764" s="8">
        <v>10.0</v>
      </c>
      <c r="E2764" s="8">
        <v>10.0</v>
      </c>
      <c r="F2764" s="8">
        <v>10.0</v>
      </c>
      <c r="G2764" s="8" t="s">
        <v>21</v>
      </c>
      <c r="H2764" s="9"/>
      <c r="I2764" s="9"/>
      <c r="N2764" s="10" t="str">
        <f t="shared" si="2"/>
        <v>79-3464e(a)(10) - Taxation; Motor Vehicle Fuel Taxes; falsify, forge or willfully conceal any required books, papers, or records</v>
      </c>
      <c r="O2764" s="10" t="str">
        <f t="shared" si="3"/>
        <v>Taxation</v>
      </c>
    </row>
    <row r="2765">
      <c r="A2765" s="7" t="s">
        <v>4947</v>
      </c>
      <c r="B2765" s="8" t="s">
        <v>4948</v>
      </c>
      <c r="C2765" s="8">
        <v>10.0</v>
      </c>
      <c r="D2765" s="8">
        <v>10.0</v>
      </c>
      <c r="E2765" s="8">
        <v>10.0</v>
      </c>
      <c r="F2765" s="8">
        <v>10.0</v>
      </c>
      <c r="G2765" s="8" t="s">
        <v>21</v>
      </c>
      <c r="H2765" s="9"/>
      <c r="I2765" s="9"/>
      <c r="N2765" s="10" t="str">
        <f t="shared" si="2"/>
        <v>79-3464e(a)(12) - Taxation; Motor Vehicle Fuel Taxes; knowingly make any false/forged application for a refund permit or claim for refund; knowingly make any false statement in application for a refund permit, or in any claim for a refund</v>
      </c>
      <c r="O2765" s="10" t="str">
        <f t="shared" si="3"/>
        <v>Taxation</v>
      </c>
    </row>
    <row r="2766">
      <c r="A2766" s="7" t="s">
        <v>4949</v>
      </c>
      <c r="B2766" s="8" t="s">
        <v>4950</v>
      </c>
      <c r="C2766" s="8">
        <v>10.0</v>
      </c>
      <c r="D2766" s="8">
        <v>10.0</v>
      </c>
      <c r="E2766" s="8">
        <v>10.0</v>
      </c>
      <c r="F2766" s="8">
        <v>10.0</v>
      </c>
      <c r="G2766" s="8" t="s">
        <v>21</v>
      </c>
      <c r="H2766" s="9"/>
      <c r="I2766" s="9"/>
      <c r="N2766" s="10" t="str">
        <f t="shared" si="2"/>
        <v>79-3464e(a)(11) - Taxation; Motor Vehicle Fuel Taxes; knowingly submit a false or forged application for licensure</v>
      </c>
      <c r="O2766" s="10" t="str">
        <f t="shared" si="3"/>
        <v>Taxation</v>
      </c>
    </row>
    <row r="2767">
      <c r="A2767" s="7" t="s">
        <v>4951</v>
      </c>
      <c r="B2767" s="8" t="s">
        <v>4952</v>
      </c>
      <c r="C2767" s="8" t="s">
        <v>18</v>
      </c>
      <c r="D2767" s="8" t="s">
        <v>18</v>
      </c>
      <c r="E2767" s="8" t="s">
        <v>19</v>
      </c>
      <c r="F2767" s="8" t="s">
        <v>20</v>
      </c>
      <c r="G2767" s="8" t="s">
        <v>21</v>
      </c>
      <c r="H2767" s="9"/>
      <c r="I2767" s="9"/>
      <c r="J2767" s="10">
        <f t="shared" ref="J2767:M2767" si="1719">ifs(OR($H2767="R",$I2767="N"),"N/A",OR(C2767="A",C2767="B",C2767="C",C2767="U"),3,TRUE,"FLAG")</f>
        <v>3</v>
      </c>
      <c r="K2767" s="10">
        <f t="shared" si="1719"/>
        <v>3</v>
      </c>
      <c r="L2767" s="10">
        <f t="shared" si="1719"/>
        <v>3</v>
      </c>
      <c r="M2767" s="10" t="str">
        <f t="shared" si="1719"/>
        <v>FLAG</v>
      </c>
      <c r="N2767" s="10" t="str">
        <f t="shared" si="2"/>
        <v>79-34,103 - Taxation; Motor Vehicle Fuel Taxes; Penalty for violation of act</v>
      </c>
      <c r="O2767" s="10" t="str">
        <f t="shared" si="3"/>
        <v>Taxation</v>
      </c>
    </row>
    <row r="2768">
      <c r="A2768" s="7" t="s">
        <v>4953</v>
      </c>
      <c r="B2768" s="8" t="s">
        <v>4954</v>
      </c>
      <c r="C2768" s="8">
        <v>10.0</v>
      </c>
      <c r="D2768" s="8">
        <v>10.0</v>
      </c>
      <c r="E2768" s="8">
        <v>10.0</v>
      </c>
      <c r="F2768" s="8">
        <v>10.0</v>
      </c>
      <c r="G2768" s="8" t="s">
        <v>21</v>
      </c>
      <c r="H2768" s="9"/>
      <c r="I2768" s="9"/>
      <c r="N2768" s="10" t="str">
        <f t="shared" si="2"/>
        <v>79-3464e(a)(13) - Taxation; Motor Vehicle Fuel Taxes; Present, or cause to be presented, to the director for credit, or for refund, any false, forged or altered invoice of refund</v>
      </c>
      <c r="O2768" s="10" t="str">
        <f t="shared" si="3"/>
        <v>Taxation</v>
      </c>
    </row>
    <row r="2769">
      <c r="A2769" s="7" t="s">
        <v>4955</v>
      </c>
      <c r="B2769" s="8" t="s">
        <v>4956</v>
      </c>
      <c r="C2769" s="8" t="s">
        <v>18</v>
      </c>
      <c r="D2769" s="8" t="s">
        <v>18</v>
      </c>
      <c r="E2769" s="8" t="s">
        <v>19</v>
      </c>
      <c r="F2769" s="8" t="s">
        <v>20</v>
      </c>
      <c r="G2769" s="8" t="s">
        <v>21</v>
      </c>
      <c r="H2769" s="9"/>
      <c r="I2769" s="9"/>
      <c r="J2769" s="10">
        <f t="shared" ref="J2769:M2769" si="1720">ifs(OR($H2769="R",$I2769="N"),"N/A",OR(C2769="A",C2769="B",C2769="C",C2769="U"),3,TRUE,"FLAG")</f>
        <v>3</v>
      </c>
      <c r="K2769" s="10">
        <f t="shared" si="1720"/>
        <v>3</v>
      </c>
      <c r="L2769" s="10">
        <f t="shared" si="1720"/>
        <v>3</v>
      </c>
      <c r="M2769" s="10" t="str">
        <f t="shared" si="1720"/>
        <v>FLAG</v>
      </c>
      <c r="N2769" s="10" t="str">
        <f t="shared" si="2"/>
        <v>79-3464e(a)(7) - Taxation; Motor Vehicle Fuel Taxes; Sell or hold for sale dyed fuel that such person knows or has reason to know will not be used for a nontaxable purpose</v>
      </c>
      <c r="O2769" s="10" t="str">
        <f t="shared" si="3"/>
        <v>Taxation</v>
      </c>
    </row>
    <row r="2770">
      <c r="A2770" s="7" t="s">
        <v>4957</v>
      </c>
      <c r="B2770" s="8" t="s">
        <v>4958</v>
      </c>
      <c r="C2770" s="8" t="s">
        <v>18</v>
      </c>
      <c r="D2770" s="8" t="s">
        <v>18</v>
      </c>
      <c r="E2770" s="8" t="s">
        <v>19</v>
      </c>
      <c r="F2770" s="8" t="s">
        <v>20</v>
      </c>
      <c r="G2770" s="8" t="s">
        <v>21</v>
      </c>
      <c r="H2770" s="9"/>
      <c r="I2770" s="9"/>
      <c r="J2770" s="10">
        <f t="shared" ref="J2770:M2770" si="1721">ifs(OR($H2770="R",$I2770="N"),"N/A",OR(C2770="A",C2770="B",C2770="C",C2770="U"),3,TRUE,"FLAG")</f>
        <v>3</v>
      </c>
      <c r="K2770" s="10">
        <f t="shared" si="1721"/>
        <v>3</v>
      </c>
      <c r="L2770" s="10">
        <f t="shared" si="1721"/>
        <v>3</v>
      </c>
      <c r="M2770" s="10" t="str">
        <f t="shared" si="1721"/>
        <v>FLAG</v>
      </c>
      <c r="N2770" s="10" t="str">
        <f t="shared" si="2"/>
        <v>79-3464e(a)(6) - Taxation; Motor Vehicle Fuel Taxes; Sell, receive or transport motor fuels without proper and correct manifests</v>
      </c>
      <c r="O2770" s="10" t="str">
        <f t="shared" si="3"/>
        <v>Taxation</v>
      </c>
    </row>
    <row r="2771">
      <c r="A2771" s="7" t="s">
        <v>4959</v>
      </c>
      <c r="B2771" s="8" t="s">
        <v>4960</v>
      </c>
      <c r="C2771" s="8" t="s">
        <v>18</v>
      </c>
      <c r="D2771" s="8" t="s">
        <v>18</v>
      </c>
      <c r="E2771" s="8" t="s">
        <v>19</v>
      </c>
      <c r="F2771" s="8" t="s">
        <v>20</v>
      </c>
      <c r="G2771" s="8" t="s">
        <v>21</v>
      </c>
      <c r="H2771" s="9"/>
      <c r="I2771" s="9"/>
      <c r="J2771" s="10">
        <f t="shared" ref="J2771:M2771" si="1722">ifs(OR($H2771="R",$I2771="N"),"N/A",OR(C2771="A",C2771="B",C2771="C",C2771="U"),3,TRUE,"FLAG")</f>
        <v>3</v>
      </c>
      <c r="K2771" s="10">
        <f t="shared" si="1722"/>
        <v>3</v>
      </c>
      <c r="L2771" s="10">
        <f t="shared" si="1722"/>
        <v>3</v>
      </c>
      <c r="M2771" s="10" t="str">
        <f t="shared" si="1722"/>
        <v>FLAG</v>
      </c>
      <c r="N2771" s="10" t="str">
        <f t="shared" si="2"/>
        <v>79-3464e(a)(5) - Taxation; Motor Vehicle Fuel Taxes; Use any motor fuels purchased as exempt in a taxable manner</v>
      </c>
      <c r="O2771" s="10" t="str">
        <f t="shared" si="3"/>
        <v>Taxation</v>
      </c>
    </row>
    <row r="2772">
      <c r="A2772" s="7" t="s">
        <v>4961</v>
      </c>
      <c r="B2772" s="8" t="s">
        <v>4962</v>
      </c>
      <c r="C2772" s="8">
        <v>10.0</v>
      </c>
      <c r="D2772" s="8">
        <v>10.0</v>
      </c>
      <c r="E2772" s="8">
        <v>10.0</v>
      </c>
      <c r="F2772" s="8">
        <v>10.0</v>
      </c>
      <c r="G2772" s="8" t="s">
        <v>21</v>
      </c>
      <c r="H2772" s="9"/>
      <c r="I2772" s="9"/>
      <c r="N2772" s="10" t="str">
        <f t="shared" si="2"/>
        <v>79-3464e(a)(16) - Taxation; Motor Vehicle Fuel Taxes; use dyed fuel other than for a nontaxable use</v>
      </c>
      <c r="O2772" s="10" t="str">
        <f t="shared" si="3"/>
        <v>Taxation</v>
      </c>
    </row>
    <row r="2773">
      <c r="A2773" s="7" t="s">
        <v>4963</v>
      </c>
      <c r="B2773" s="8" t="s">
        <v>4964</v>
      </c>
      <c r="C2773" s="8" t="s">
        <v>18</v>
      </c>
      <c r="D2773" s="8" t="s">
        <v>18</v>
      </c>
      <c r="E2773" s="8" t="s">
        <v>19</v>
      </c>
      <c r="F2773" s="8" t="s">
        <v>20</v>
      </c>
      <c r="G2773" s="8" t="s">
        <v>21</v>
      </c>
      <c r="H2773" s="9"/>
      <c r="I2773" s="9"/>
      <c r="J2773" s="10">
        <f t="shared" ref="J2773:M2773" si="1723">ifs(OR($H2773="R",$I2773="N"),"N/A",OR(C2773="A",C2773="B",C2773="C",C2773="U"),3,TRUE,"FLAG")</f>
        <v>3</v>
      </c>
      <c r="K2773" s="10">
        <f t="shared" si="1723"/>
        <v>3</v>
      </c>
      <c r="L2773" s="10">
        <f t="shared" si="1723"/>
        <v>3</v>
      </c>
      <c r="M2773" s="10" t="str">
        <f t="shared" si="1723"/>
        <v>FLAG</v>
      </c>
      <c r="N2773" s="10" t="str">
        <f t="shared" si="2"/>
        <v>79-3464e(a)(1) - Taxation; Motor Vehicle Fuel Taxes; Use, sell, manufacture or deliver any motor-vehicle fuels or special fuels at any place without having a valid, unsuspended and unrevoked license</v>
      </c>
      <c r="O2773" s="10" t="str">
        <f t="shared" si="3"/>
        <v>Taxation</v>
      </c>
    </row>
    <row r="2774">
      <c r="A2774" s="7" t="s">
        <v>4965</v>
      </c>
      <c r="B2774" s="8" t="s">
        <v>4966</v>
      </c>
      <c r="C2774" s="8" t="s">
        <v>18</v>
      </c>
      <c r="D2774" s="8" t="s">
        <v>18</v>
      </c>
      <c r="E2774" s="8" t="s">
        <v>19</v>
      </c>
      <c r="F2774" s="8" t="s">
        <v>20</v>
      </c>
      <c r="G2774" s="8" t="s">
        <v>21</v>
      </c>
      <c r="H2774" s="9"/>
      <c r="I2774" s="9"/>
      <c r="J2774" s="10">
        <f t="shared" ref="J2774:M2774" si="1724">ifs(OR($H2774="R",$I2774="N"),"N/A",OR(C2774="A",C2774="B",C2774="C",C2774="U"),3,TRUE,"FLAG")</f>
        <v>3</v>
      </c>
      <c r="K2774" s="10">
        <f t="shared" si="1724"/>
        <v>3</v>
      </c>
      <c r="L2774" s="10">
        <f t="shared" si="1724"/>
        <v>3</v>
      </c>
      <c r="M2774" s="10" t="str">
        <f t="shared" si="1724"/>
        <v>FLAG</v>
      </c>
      <c r="N2774" s="10" t="str">
        <f t="shared" si="2"/>
        <v>79-3464e(a)(8) - Taxation; Motor Vehicle Fuel Taxes; Violate any other provision of this act not specified in this section</v>
      </c>
      <c r="O2774" s="10" t="str">
        <f t="shared" si="3"/>
        <v>Taxation</v>
      </c>
    </row>
    <row r="2775">
      <c r="A2775" s="7" t="s">
        <v>4967</v>
      </c>
      <c r="B2775" s="8" t="s">
        <v>4968</v>
      </c>
      <c r="C2775" s="8">
        <v>10.0</v>
      </c>
      <c r="D2775" s="8">
        <v>10.0</v>
      </c>
      <c r="E2775" s="8">
        <v>10.0</v>
      </c>
      <c r="F2775" s="8">
        <v>10.0</v>
      </c>
      <c r="G2775" s="8" t="s">
        <v>21</v>
      </c>
      <c r="H2775" s="9"/>
      <c r="I2775" s="9"/>
      <c r="N2775" s="10" t="str">
        <f t="shared" si="2"/>
        <v>79-3464e(a)(17) - Taxation; Motor Vehicle Fuel Taxes; willfully alter/attempt to alter, the strength or composition of any dye in any dyed fuel</v>
      </c>
      <c r="O2775" s="10" t="str">
        <f t="shared" si="3"/>
        <v>Taxation</v>
      </c>
    </row>
    <row r="2776">
      <c r="A2776" s="7" t="s">
        <v>4969</v>
      </c>
      <c r="B2776" s="8" t="s">
        <v>4970</v>
      </c>
      <c r="C2776" s="8" t="s">
        <v>18</v>
      </c>
      <c r="D2776" s="8" t="s">
        <v>18</v>
      </c>
      <c r="E2776" s="8" t="s">
        <v>19</v>
      </c>
      <c r="F2776" s="8" t="s">
        <v>20</v>
      </c>
      <c r="G2776" s="8" t="s">
        <v>21</v>
      </c>
      <c r="H2776" s="9"/>
      <c r="I2776" s="9"/>
      <c r="J2776" s="10">
        <f t="shared" ref="J2776:M2776" si="1725">ifs(OR($H2776="R",$I2776="N"),"N/A",OR(C2776="A",C2776="B",C2776="C",C2776="U"),3,TRUE,"FLAG")</f>
        <v>3</v>
      </c>
      <c r="K2776" s="10">
        <f t="shared" si="1725"/>
        <v>3</v>
      </c>
      <c r="L2776" s="10">
        <f t="shared" si="1725"/>
        <v>3</v>
      </c>
      <c r="M2776" s="10" t="str">
        <f t="shared" si="1725"/>
        <v>FLAG</v>
      </c>
      <c r="N2776" s="10" t="str">
        <f t="shared" si="2"/>
        <v>79-34,122 - Taxation; Motor Vehicle Fuel Taxes; Willfully make a false statement or knowingly present a fraudulent receipt for the sale of motor fuel, for the purpose of obtaining or attempting to obtain a credit or refund or reduction of liability for taxes</v>
      </c>
      <c r="O2776" s="10" t="str">
        <f t="shared" si="3"/>
        <v>Taxation</v>
      </c>
    </row>
    <row r="2777">
      <c r="A2777" s="7" t="s">
        <v>4971</v>
      </c>
      <c r="B2777" s="8" t="s">
        <v>4972</v>
      </c>
      <c r="C2777" s="8" t="s">
        <v>18</v>
      </c>
      <c r="D2777" s="8" t="s">
        <v>18</v>
      </c>
      <c r="E2777" s="8" t="s">
        <v>19</v>
      </c>
      <c r="F2777" s="8" t="s">
        <v>20</v>
      </c>
      <c r="G2777" s="8" t="s">
        <v>21</v>
      </c>
      <c r="H2777" s="9"/>
      <c r="I2777" s="9"/>
      <c r="J2777" s="10">
        <f t="shared" ref="J2777:M2777" si="1726">ifs(OR($H2777="R",$I2777="N"),"N/A",OR(C2777="A",C2777="B",C2777="C",C2777="U"),3,TRUE,"FLAG")</f>
        <v>3</v>
      </c>
      <c r="K2777" s="10">
        <f t="shared" si="1726"/>
        <v>3</v>
      </c>
      <c r="L2777" s="10">
        <f t="shared" si="1726"/>
        <v>3</v>
      </c>
      <c r="M2777" s="10" t="str">
        <f t="shared" si="1726"/>
        <v>FLAG</v>
      </c>
      <c r="N2777" s="10" t="str">
        <f t="shared" si="2"/>
        <v>79-5114a - Taxation; Motor Vehicles; failing, with fraudulent intent, to pay the tax imposed pursuant to K.S.A. 79-5101</v>
      </c>
      <c r="O2777" s="10" t="str">
        <f t="shared" si="3"/>
        <v>Taxation</v>
      </c>
    </row>
    <row r="2778">
      <c r="A2778" s="7" t="s">
        <v>4973</v>
      </c>
      <c r="B2778" s="8" t="s">
        <v>4974</v>
      </c>
      <c r="C2778" s="8" t="s">
        <v>178</v>
      </c>
      <c r="D2778" s="8" t="s">
        <v>179</v>
      </c>
      <c r="E2778" s="8" t="s">
        <v>179</v>
      </c>
      <c r="F2778" s="8" t="s">
        <v>179</v>
      </c>
      <c r="G2778" s="8" t="s">
        <v>24</v>
      </c>
      <c r="H2778" s="9"/>
      <c r="I2778" s="9"/>
      <c r="N2778" s="10" t="str">
        <f t="shared" si="2"/>
        <v>21-5421(a)(3) - Terrorism; Commit, attempt, conspire or solicit to commit any felony with intent to affect the operation of any unit of government</v>
      </c>
      <c r="O2778" s="10" t="str">
        <f t="shared" si="3"/>
        <v>Terrorism</v>
      </c>
    </row>
    <row r="2779">
      <c r="A2779" s="7" t="s">
        <v>4975</v>
      </c>
      <c r="B2779" s="8" t="s">
        <v>4976</v>
      </c>
      <c r="C2779" s="8" t="s">
        <v>178</v>
      </c>
      <c r="D2779" s="8" t="s">
        <v>179</v>
      </c>
      <c r="E2779" s="8" t="s">
        <v>179</v>
      </c>
      <c r="F2779" s="8" t="s">
        <v>179</v>
      </c>
      <c r="G2779" s="8" t="s">
        <v>24</v>
      </c>
      <c r="H2779" s="9"/>
      <c r="I2779" s="9"/>
      <c r="N2779" s="10" t="str">
        <f t="shared" si="2"/>
        <v>21-5421(a)(2) - Terrorism; Commit, attempt, conspire or solicit to commit any felony with intent to influence government policy by intimidation or coercion</v>
      </c>
      <c r="O2779" s="10" t="str">
        <f t="shared" si="3"/>
        <v>Terrorism</v>
      </c>
    </row>
    <row r="2780">
      <c r="A2780" s="7" t="s">
        <v>4977</v>
      </c>
      <c r="B2780" s="8" t="s">
        <v>4978</v>
      </c>
      <c r="C2780" s="8" t="s">
        <v>178</v>
      </c>
      <c r="D2780" s="8" t="s">
        <v>179</v>
      </c>
      <c r="E2780" s="8" t="s">
        <v>179</v>
      </c>
      <c r="F2780" s="8" t="s">
        <v>179</v>
      </c>
      <c r="G2780" s="8" t="s">
        <v>24</v>
      </c>
      <c r="H2780" s="9"/>
      <c r="I2780" s="9"/>
      <c r="N2780" s="10" t="str">
        <f t="shared" si="2"/>
        <v>21-5421(a)(1) - Terrorism; Commit, attempt, conspire or solicit to commit any felony with intent to intimidate or coerce civilians</v>
      </c>
      <c r="O2780" s="10" t="str">
        <f t="shared" si="3"/>
        <v>Terrorism</v>
      </c>
    </row>
    <row r="2781">
      <c r="A2781" s="7" t="s">
        <v>4979</v>
      </c>
      <c r="B2781" s="8" t="s">
        <v>4980</v>
      </c>
      <c r="C2781" s="8">
        <v>9.0</v>
      </c>
      <c r="D2781" s="8">
        <v>10.0</v>
      </c>
      <c r="E2781" s="8">
        <v>10.0</v>
      </c>
      <c r="F2781" s="8">
        <v>10.0</v>
      </c>
      <c r="G2781" s="8" t="s">
        <v>21</v>
      </c>
      <c r="H2781" s="9"/>
      <c r="I2781" s="9"/>
      <c r="N2781" s="10" t="str">
        <f t="shared" si="2"/>
        <v>21-5805(a) - Theft Detection Shielding Device; Manufacture or distribute a theft detection shielding device</v>
      </c>
      <c r="O2781" s="10" t="str">
        <f t="shared" si="3"/>
        <v>Theft Detection Shielding Device</v>
      </c>
    </row>
    <row r="2782">
      <c r="A2782" s="7" t="s">
        <v>4981</v>
      </c>
      <c r="B2782" s="8" t="s">
        <v>4982</v>
      </c>
      <c r="C2782" s="8">
        <v>9.0</v>
      </c>
      <c r="D2782" s="8">
        <v>10.0</v>
      </c>
      <c r="E2782" s="8">
        <v>10.0</v>
      </c>
      <c r="F2782" s="8">
        <v>10.0</v>
      </c>
      <c r="G2782" s="8" t="s">
        <v>21</v>
      </c>
      <c r="H2782" s="9"/>
      <c r="I2782" s="9"/>
      <c r="N2782" s="10" t="str">
        <f t="shared" si="2"/>
        <v>21-5805(d) - Theft Detection Shielding Device; Possession of a sales receipt or universal product code label with intent to cheat or defraud retailer</v>
      </c>
      <c r="O2782" s="10" t="str">
        <f t="shared" si="3"/>
        <v>Theft Detection Shielding Device</v>
      </c>
    </row>
    <row r="2783">
      <c r="A2783" s="7" t="s">
        <v>4983</v>
      </c>
      <c r="B2783" s="8" t="s">
        <v>4984</v>
      </c>
      <c r="C2783" s="8">
        <v>9.0</v>
      </c>
      <c r="D2783" s="8">
        <v>10.0</v>
      </c>
      <c r="E2783" s="8">
        <v>10.0</v>
      </c>
      <c r="F2783" s="8">
        <v>10.0</v>
      </c>
      <c r="G2783" s="8" t="s">
        <v>21</v>
      </c>
      <c r="H2783" s="9"/>
      <c r="I2783" s="9"/>
      <c r="N2783" s="10" t="str">
        <f t="shared" si="2"/>
        <v>21-5805(b) - Theft Detection Shielding Device; Possession of a theft detection shielding device with intent to commit theft</v>
      </c>
      <c r="O2783" s="10" t="str">
        <f t="shared" si="3"/>
        <v>Theft Detection Shielding Device</v>
      </c>
    </row>
    <row r="2784">
      <c r="A2784" s="7" t="s">
        <v>4985</v>
      </c>
      <c r="B2784" s="8" t="s">
        <v>4986</v>
      </c>
      <c r="C2784" s="8">
        <v>9.0</v>
      </c>
      <c r="D2784" s="8">
        <v>10.0</v>
      </c>
      <c r="E2784" s="8">
        <v>10.0</v>
      </c>
      <c r="F2784" s="8">
        <v>10.0</v>
      </c>
      <c r="G2784" s="8" t="s">
        <v>21</v>
      </c>
      <c r="H2784" s="9"/>
      <c r="I2784" s="9"/>
      <c r="N2784" s="10" t="str">
        <f t="shared" si="2"/>
        <v>21-5805(c) - Theft Detection Shielding Device; Possession of tool or device to remove a theft detection device without consent</v>
      </c>
      <c r="O2784" s="10" t="str">
        <f t="shared" si="3"/>
        <v>Theft Detection Shielding Device</v>
      </c>
    </row>
    <row r="2785">
      <c r="A2785" s="7" t="s">
        <v>4987</v>
      </c>
      <c r="B2785" s="8" t="s">
        <v>4988</v>
      </c>
      <c r="C2785" s="8">
        <v>5.0</v>
      </c>
      <c r="D2785" s="8">
        <v>7.0</v>
      </c>
      <c r="E2785" s="8">
        <v>7.0</v>
      </c>
      <c r="F2785" s="8">
        <v>8.0</v>
      </c>
      <c r="G2785" s="8" t="s">
        <v>21</v>
      </c>
      <c r="H2785" s="9"/>
      <c r="I2785" s="9"/>
      <c r="N2785" s="10" t="str">
        <f t="shared" si="2"/>
        <v>21-5802(a) - Theft of Property Lost, Mislaid or Delivered by Mistake; By one who knows owner, fails to return property to owner and intends to permanently deprive; Value $100,000 or more</v>
      </c>
      <c r="O2785" s="10" t="str">
        <f t="shared" si="3"/>
        <v>Theft of Property Lost, Mislaid or Delivered by Mistake</v>
      </c>
    </row>
    <row r="2786">
      <c r="A2786" s="7" t="s">
        <v>4989</v>
      </c>
      <c r="B2786" s="8" t="s">
        <v>4988</v>
      </c>
      <c r="C2786" s="8">
        <v>9.0</v>
      </c>
      <c r="D2786" s="8">
        <v>10.0</v>
      </c>
      <c r="E2786" s="8">
        <v>10.0</v>
      </c>
      <c r="F2786" s="8">
        <v>10.0</v>
      </c>
      <c r="G2786" s="8" t="s">
        <v>21</v>
      </c>
      <c r="H2786" s="9"/>
      <c r="I2786" s="9"/>
      <c r="N2786" s="10" t="str">
        <f t="shared" si="2"/>
        <v>21-5802(a) - Theft of Property Lost, Mislaid or Delivered by Mistake; By one who knows owner, fails to return property to owner and intends to permanently deprive; Value at least $1,000 but less than $25,000</v>
      </c>
      <c r="O2786" s="10" t="str">
        <f t="shared" si="3"/>
        <v>Theft of Property Lost, Mislaid or Delivered by Mistake</v>
      </c>
    </row>
    <row r="2787">
      <c r="A2787" s="7" t="s">
        <v>4990</v>
      </c>
      <c r="B2787" s="8" t="s">
        <v>4988</v>
      </c>
      <c r="C2787" s="8">
        <v>7.0</v>
      </c>
      <c r="D2787" s="8">
        <v>9.0</v>
      </c>
      <c r="E2787" s="8">
        <v>9.0</v>
      </c>
      <c r="F2787" s="8">
        <v>10.0</v>
      </c>
      <c r="G2787" s="8" t="s">
        <v>21</v>
      </c>
      <c r="H2787" s="9"/>
      <c r="I2787" s="9"/>
      <c r="N2787" s="10" t="str">
        <f t="shared" si="2"/>
        <v>21-5802(a) - Theft of Property Lost, Mislaid or Delivered by Mistake; By one who knows owner, fails to return property to owner and intends to permanently deprive; Value at least $25,000 but less than $100,000</v>
      </c>
      <c r="O2787" s="10" t="str">
        <f t="shared" si="3"/>
        <v>Theft of Property Lost, Mislaid or Delivered by Mistake</v>
      </c>
    </row>
    <row r="2788">
      <c r="A2788" s="7" t="s">
        <v>4991</v>
      </c>
      <c r="B2788" s="8" t="s">
        <v>4988</v>
      </c>
      <c r="C2788" s="8" t="s">
        <v>27</v>
      </c>
      <c r="D2788" s="8" t="s">
        <v>28</v>
      </c>
      <c r="E2788" s="8" t="s">
        <v>19</v>
      </c>
      <c r="F2788" s="8" t="s">
        <v>20</v>
      </c>
      <c r="G2788" s="8" t="s">
        <v>21</v>
      </c>
      <c r="H2788" s="9"/>
      <c r="I2788" s="9"/>
      <c r="J2788" s="10">
        <f t="shared" ref="J2788:M2788" si="1727">ifs(OR($H2788="R",$I2788="N"),"N/A",OR(C2788="A",C2788="B",C2788="C",C2788="U"),3,TRUE,"FLAG")</f>
        <v>3</v>
      </c>
      <c r="K2788" s="10">
        <f t="shared" si="1727"/>
        <v>3</v>
      </c>
      <c r="L2788" s="10">
        <f t="shared" si="1727"/>
        <v>3</v>
      </c>
      <c r="M2788" s="10" t="str">
        <f t="shared" si="1727"/>
        <v>FLAG</v>
      </c>
      <c r="N2788" s="10" t="str">
        <f t="shared" si="2"/>
        <v>21-5802(a) - Theft of Property Lost, Mislaid or Delivered by Mistake; By one who knows owner, fails to return property to owner and intends to permanently deprive; value less than $1,000</v>
      </c>
      <c r="O2788" s="10" t="str">
        <f t="shared" si="3"/>
        <v>Theft of Property Lost, Mislaid or Delivered by Mistake</v>
      </c>
    </row>
    <row r="2789">
      <c r="A2789" s="7" t="s">
        <v>4992</v>
      </c>
      <c r="B2789" s="8" t="s">
        <v>4993</v>
      </c>
      <c r="C2789" s="8">
        <v>5.0</v>
      </c>
      <c r="D2789" s="8">
        <v>7.0</v>
      </c>
      <c r="E2789" s="8">
        <v>7.0</v>
      </c>
      <c r="F2789" s="8">
        <v>8.0</v>
      </c>
      <c r="G2789" s="8" t="s">
        <v>21</v>
      </c>
      <c r="H2789" s="9"/>
      <c r="I2789" s="9"/>
      <c r="N2789" s="10" t="str">
        <f t="shared" si="2"/>
        <v>21-5801(a)(2) - Theft of Property or Services; By deception; $100,000 or more</v>
      </c>
      <c r="O2789" s="10" t="str">
        <f t="shared" si="3"/>
        <v>Theft of Property or Services</v>
      </c>
    </row>
    <row r="2790">
      <c r="A2790" s="7" t="s">
        <v>4994</v>
      </c>
      <c r="B2790" s="8" t="s">
        <v>4993</v>
      </c>
      <c r="C2790" s="8">
        <v>9.0</v>
      </c>
      <c r="D2790" s="8">
        <v>10.0</v>
      </c>
      <c r="E2790" s="8">
        <v>10.0</v>
      </c>
      <c r="F2790" s="8">
        <v>10.0</v>
      </c>
      <c r="G2790" s="8" t="s">
        <v>21</v>
      </c>
      <c r="H2790" s="9"/>
      <c r="I2790" s="9"/>
      <c r="N2790" s="10" t="str">
        <f t="shared" si="2"/>
        <v>21-5801(a)(2) - Theft of Property or Services; By deception; at least $1,500 but less than $25,000</v>
      </c>
      <c r="O2790" s="10" t="str">
        <f t="shared" si="3"/>
        <v>Theft of Property or Services</v>
      </c>
    </row>
    <row r="2791">
      <c r="A2791" s="7" t="s">
        <v>4995</v>
      </c>
      <c r="B2791" s="8" t="s">
        <v>4993</v>
      </c>
      <c r="C2791" s="8">
        <v>7.0</v>
      </c>
      <c r="D2791" s="8">
        <v>9.0</v>
      </c>
      <c r="E2791" s="8">
        <v>9.0</v>
      </c>
      <c r="F2791" s="8">
        <v>10.0</v>
      </c>
      <c r="G2791" s="8" t="s">
        <v>21</v>
      </c>
      <c r="H2791" s="9"/>
      <c r="I2791" s="9"/>
      <c r="N2791" s="10" t="str">
        <f t="shared" si="2"/>
        <v>21-5801(a)(2) - Theft of Property or Services; By deception; at least $25,000 but less than $100,000</v>
      </c>
      <c r="O2791" s="10" t="str">
        <f t="shared" si="3"/>
        <v>Theft of Property or Services</v>
      </c>
    </row>
    <row r="2792">
      <c r="A2792" s="7" t="s">
        <v>4996</v>
      </c>
      <c r="B2792" s="8" t="s">
        <v>4993</v>
      </c>
      <c r="C2792" s="8">
        <v>9.0</v>
      </c>
      <c r="D2792" s="8">
        <v>10.0</v>
      </c>
      <c r="E2792" s="8">
        <v>10.0</v>
      </c>
      <c r="F2792" s="8">
        <v>10.0</v>
      </c>
      <c r="G2792" s="8" t="s">
        <v>21</v>
      </c>
      <c r="H2792" s="9"/>
      <c r="I2792" s="9"/>
      <c r="N2792" s="10" t="str">
        <f t="shared" si="2"/>
        <v>21-5801(a)(2) - Theft of Property or Services; By deception; property is a firearm of value less than $25,000</v>
      </c>
      <c r="O2792" s="10" t="str">
        <f t="shared" si="3"/>
        <v>Theft of Property or Services</v>
      </c>
    </row>
    <row r="2793">
      <c r="A2793" s="7" t="s">
        <v>4997</v>
      </c>
      <c r="B2793" s="8" t="s">
        <v>4993</v>
      </c>
      <c r="C2793" s="8">
        <v>9.0</v>
      </c>
      <c r="D2793" s="8">
        <v>10.0</v>
      </c>
      <c r="E2793" s="8">
        <v>10.0</v>
      </c>
      <c r="F2793" s="8">
        <v>10.0</v>
      </c>
      <c r="G2793" s="8" t="s">
        <v>21</v>
      </c>
      <c r="H2793" s="9"/>
      <c r="I2793" s="9"/>
      <c r="N2793" s="10" t="str">
        <f t="shared" si="2"/>
        <v>21-5801(a)(2) - Theft of Property or Services; By deception; value less than $1,000 and committed by a person who has been convicted of theft 2 or more times</v>
      </c>
      <c r="O2793" s="10" t="str">
        <f t="shared" si="3"/>
        <v>Theft of Property or Services</v>
      </c>
    </row>
    <row r="2794">
      <c r="A2794" s="7" t="s">
        <v>4998</v>
      </c>
      <c r="B2794" s="8" t="s">
        <v>4993</v>
      </c>
      <c r="C2794" s="8" t="s">
        <v>27</v>
      </c>
      <c r="D2794" s="8" t="s">
        <v>28</v>
      </c>
      <c r="E2794" s="8" t="s">
        <v>19</v>
      </c>
      <c r="F2794" s="8" t="s">
        <v>20</v>
      </c>
      <c r="G2794" s="8" t="s">
        <v>21</v>
      </c>
      <c r="H2794" s="9"/>
      <c r="I2794" s="9"/>
      <c r="J2794" s="10">
        <f t="shared" ref="J2794:M2794" si="1728">ifs(OR($H2794="R",$I2794="N"),"N/A",OR(C2794="A",C2794="B",C2794="C",C2794="U"),3,TRUE,"FLAG")</f>
        <v>3</v>
      </c>
      <c r="K2794" s="10">
        <f t="shared" si="1728"/>
        <v>3</v>
      </c>
      <c r="L2794" s="10">
        <f t="shared" si="1728"/>
        <v>3</v>
      </c>
      <c r="M2794" s="10" t="str">
        <f t="shared" si="1728"/>
        <v>FLAG</v>
      </c>
      <c r="N2794" s="10" t="str">
        <f t="shared" si="2"/>
        <v>21-5801(a)(2) - Theft of Property or Services; By deception; value less than $1,500</v>
      </c>
      <c r="O2794" s="10" t="str">
        <f t="shared" si="3"/>
        <v>Theft of Property or Services</v>
      </c>
    </row>
    <row r="2795">
      <c r="A2795" s="7" t="s">
        <v>4999</v>
      </c>
      <c r="B2795" s="8" t="s">
        <v>4993</v>
      </c>
      <c r="C2795" s="8">
        <v>9.0</v>
      </c>
      <c r="D2795" s="8">
        <v>10.0</v>
      </c>
      <c r="E2795" s="8">
        <v>10.0</v>
      </c>
      <c r="F2795" s="8">
        <v>10.0</v>
      </c>
      <c r="G2795" s="8" t="s">
        <v>21</v>
      </c>
      <c r="H2795" s="9"/>
      <c r="I2795" s="9"/>
      <c r="N2795" s="10" t="str">
        <f t="shared" si="2"/>
        <v>21-5801(a)(2) - Theft of Property or Services; By deception; value less than $1,500 from 3 separate establishments within 72 hours as part of the same act or transaction, or in 2 or more acts, or transactions constituting a common scheme or course of conduct</v>
      </c>
      <c r="O2795" s="10" t="str">
        <f t="shared" si="3"/>
        <v>Theft of Property or Services</v>
      </c>
    </row>
    <row r="2796">
      <c r="A2796" s="7" t="s">
        <v>5000</v>
      </c>
      <c r="B2796" s="8" t="s">
        <v>5001</v>
      </c>
      <c r="C2796" s="8">
        <v>5.0</v>
      </c>
      <c r="D2796" s="8">
        <v>7.0</v>
      </c>
      <c r="E2796" s="8">
        <v>7.0</v>
      </c>
      <c r="F2796" s="8">
        <v>8.0</v>
      </c>
      <c r="G2796" s="8" t="s">
        <v>21</v>
      </c>
      <c r="H2796" s="9"/>
      <c r="I2796" s="9"/>
      <c r="N2796" s="10" t="str">
        <f t="shared" si="2"/>
        <v>21-5801(a)(3) - Theft of Property or Services; By threat; $100,000 or more</v>
      </c>
      <c r="O2796" s="10" t="str">
        <f t="shared" si="3"/>
        <v>Theft of Property or Services</v>
      </c>
    </row>
    <row r="2797">
      <c r="A2797" s="7" t="s">
        <v>5002</v>
      </c>
      <c r="B2797" s="8" t="s">
        <v>5001</v>
      </c>
      <c r="C2797" s="8">
        <v>9.0</v>
      </c>
      <c r="D2797" s="8">
        <v>10.0</v>
      </c>
      <c r="E2797" s="8">
        <v>10.0</v>
      </c>
      <c r="F2797" s="8">
        <v>10.0</v>
      </c>
      <c r="G2797" s="8" t="s">
        <v>21</v>
      </c>
      <c r="H2797" s="9"/>
      <c r="I2797" s="9"/>
      <c r="N2797" s="10" t="str">
        <f t="shared" si="2"/>
        <v>21-5801(a)(3) - Theft of Property or Services; By threat; at least $1,500 but less than $25,000</v>
      </c>
      <c r="O2797" s="10" t="str">
        <f t="shared" si="3"/>
        <v>Theft of Property or Services</v>
      </c>
    </row>
    <row r="2798">
      <c r="A2798" s="7" t="s">
        <v>5003</v>
      </c>
      <c r="B2798" s="8" t="s">
        <v>5001</v>
      </c>
      <c r="C2798" s="8">
        <v>7.0</v>
      </c>
      <c r="D2798" s="8">
        <v>9.0</v>
      </c>
      <c r="E2798" s="8">
        <v>9.0</v>
      </c>
      <c r="F2798" s="8">
        <v>10.0</v>
      </c>
      <c r="G2798" s="8" t="s">
        <v>21</v>
      </c>
      <c r="H2798" s="9"/>
      <c r="I2798" s="9"/>
      <c r="N2798" s="10" t="str">
        <f t="shared" si="2"/>
        <v>21-5801(a)(3) - Theft of Property or Services; By threat; at least $25,000 but less than $100,000</v>
      </c>
      <c r="O2798" s="10" t="str">
        <f t="shared" si="3"/>
        <v>Theft of Property or Services</v>
      </c>
    </row>
    <row r="2799">
      <c r="A2799" s="7" t="s">
        <v>5004</v>
      </c>
      <c r="B2799" s="8" t="s">
        <v>5001</v>
      </c>
      <c r="C2799" s="8">
        <v>9.0</v>
      </c>
      <c r="D2799" s="8">
        <v>10.0</v>
      </c>
      <c r="E2799" s="8">
        <v>10.0</v>
      </c>
      <c r="F2799" s="8">
        <v>10.0</v>
      </c>
      <c r="G2799" s="8" t="s">
        <v>21</v>
      </c>
      <c r="H2799" s="9"/>
      <c r="I2799" s="9"/>
      <c r="N2799" s="10" t="str">
        <f t="shared" si="2"/>
        <v>21-5801(a)(3) - Theft of Property or Services; By threat; property is a firearm of value less than $25,000</v>
      </c>
      <c r="O2799" s="10" t="str">
        <f t="shared" si="3"/>
        <v>Theft of Property or Services</v>
      </c>
    </row>
    <row r="2800">
      <c r="A2800" s="7" t="s">
        <v>5005</v>
      </c>
      <c r="B2800" s="8" t="s">
        <v>5001</v>
      </c>
      <c r="C2800" s="8">
        <v>9.0</v>
      </c>
      <c r="D2800" s="8">
        <v>10.0</v>
      </c>
      <c r="E2800" s="8">
        <v>10.0</v>
      </c>
      <c r="F2800" s="8">
        <v>10.0</v>
      </c>
      <c r="G2800" s="8" t="s">
        <v>21</v>
      </c>
      <c r="H2800" s="9"/>
      <c r="I2800" s="9"/>
      <c r="N2800" s="10" t="str">
        <f t="shared" si="2"/>
        <v>21-5801(a)(3) - Theft of Property or Services; By threat; property of the value of less than $1,500, from 3 separate establishments within 72 hours as part of the same act or transaction or in 2 or more acts, or transactions constituting a common scheme or course of conduct</v>
      </c>
      <c r="O2800" s="10" t="str">
        <f t="shared" si="3"/>
        <v>Theft of Property or Services</v>
      </c>
    </row>
    <row r="2801">
      <c r="A2801" s="7" t="s">
        <v>5006</v>
      </c>
      <c r="B2801" s="8" t="s">
        <v>5001</v>
      </c>
      <c r="C2801" s="8" t="s">
        <v>27</v>
      </c>
      <c r="D2801" s="8" t="s">
        <v>28</v>
      </c>
      <c r="E2801" s="8" t="s">
        <v>19</v>
      </c>
      <c r="F2801" s="8" t="s">
        <v>20</v>
      </c>
      <c r="G2801" s="8" t="s">
        <v>21</v>
      </c>
      <c r="H2801" s="9"/>
      <c r="I2801" s="9"/>
      <c r="J2801" s="10">
        <f t="shared" ref="J2801:M2801" si="1729">ifs(OR($H2801="R",$I2801="N"),"N/A",OR(C2801="A",C2801="B",C2801="C",C2801="U"),3,TRUE,"FLAG")</f>
        <v>3</v>
      </c>
      <c r="K2801" s="10">
        <f t="shared" si="1729"/>
        <v>3</v>
      </c>
      <c r="L2801" s="10">
        <f t="shared" si="1729"/>
        <v>3</v>
      </c>
      <c r="M2801" s="10" t="str">
        <f t="shared" si="1729"/>
        <v>FLAG</v>
      </c>
      <c r="N2801" s="10" t="str">
        <f t="shared" si="2"/>
        <v>21-5801(a)(3) - Theft of Property or Services; By threat; value less than $1,500</v>
      </c>
      <c r="O2801" s="10" t="str">
        <f t="shared" si="3"/>
        <v>Theft of Property or Services</v>
      </c>
    </row>
    <row r="2802">
      <c r="A2802" s="7" t="s">
        <v>5007</v>
      </c>
      <c r="B2802" s="8" t="s">
        <v>5001</v>
      </c>
      <c r="C2802" s="8">
        <v>9.0</v>
      </c>
      <c r="D2802" s="8">
        <v>10.0</v>
      </c>
      <c r="E2802" s="8">
        <v>10.0</v>
      </c>
      <c r="F2802" s="8">
        <v>10.0</v>
      </c>
      <c r="G2802" s="8" t="s">
        <v>21</v>
      </c>
      <c r="H2802" s="9"/>
      <c r="I2802" s="9"/>
      <c r="N2802" s="10" t="str">
        <f t="shared" si="2"/>
        <v>21-5801(a)(3) - Theft of Property or Services; By threat; value less than $1,500 and committed by a person who has within five years immediately preceeding commission of the crime, been convicted of theft 2 or more times</v>
      </c>
      <c r="O2802" s="10" t="str">
        <f t="shared" si="3"/>
        <v>Theft of Property or Services</v>
      </c>
    </row>
    <row r="2803">
      <c r="A2803" s="7" t="s">
        <v>5008</v>
      </c>
      <c r="B2803" s="8" t="s">
        <v>5009</v>
      </c>
      <c r="C2803" s="8">
        <v>5.0</v>
      </c>
      <c r="D2803" s="8">
        <v>7.0</v>
      </c>
      <c r="E2803" s="8">
        <v>7.0</v>
      </c>
      <c r="F2803" s="8">
        <v>8.0</v>
      </c>
      <c r="G2803" s="8" t="s">
        <v>21</v>
      </c>
      <c r="H2803" s="9"/>
      <c r="I2803" s="9"/>
      <c r="N2803" s="10" t="str">
        <f t="shared" si="2"/>
        <v>21-5801(a)(5) - Theft of Property or Services; Knowingly dispensing motor fuel at a retail establishment and leaving without making payment for such fuel; $100,000 or more</v>
      </c>
      <c r="O2803" s="10" t="str">
        <f t="shared" si="3"/>
        <v>Theft of Property or Services</v>
      </c>
    </row>
    <row r="2804">
      <c r="A2804" s="7" t="s">
        <v>5010</v>
      </c>
      <c r="B2804" s="8" t="s">
        <v>5009</v>
      </c>
      <c r="C2804" s="8">
        <v>9.0</v>
      </c>
      <c r="D2804" s="8">
        <v>10.0</v>
      </c>
      <c r="E2804" s="8">
        <v>10.0</v>
      </c>
      <c r="F2804" s="8">
        <v>10.0</v>
      </c>
      <c r="G2804" s="8" t="s">
        <v>21</v>
      </c>
      <c r="H2804" s="9"/>
      <c r="I2804" s="9"/>
      <c r="N2804" s="10" t="str">
        <f t="shared" si="2"/>
        <v>21-5801(a)(5) - Theft of Property or Services; Knowingly dispensing motor fuel at a retail establishment and leaving without making payment for such fuel; at least $1,500 but less than $25,000</v>
      </c>
      <c r="O2804" s="10" t="str">
        <f t="shared" si="3"/>
        <v>Theft of Property or Services</v>
      </c>
    </row>
    <row r="2805">
      <c r="A2805" s="7" t="s">
        <v>5011</v>
      </c>
      <c r="B2805" s="8" t="s">
        <v>5009</v>
      </c>
      <c r="C2805" s="8">
        <v>7.0</v>
      </c>
      <c r="D2805" s="8">
        <v>9.0</v>
      </c>
      <c r="E2805" s="8">
        <v>9.0</v>
      </c>
      <c r="F2805" s="8">
        <v>10.0</v>
      </c>
      <c r="G2805" s="8" t="s">
        <v>21</v>
      </c>
      <c r="H2805" s="9"/>
      <c r="I2805" s="9"/>
      <c r="N2805" s="10" t="str">
        <f t="shared" si="2"/>
        <v>21-5801(a)(5) - Theft of Property or Services; Knowingly dispensing motor fuel at a retail establishment and leaving without making payment for such fuel; at least $25,000 but less than $100,000</v>
      </c>
      <c r="O2805" s="10" t="str">
        <f t="shared" si="3"/>
        <v>Theft of Property or Services</v>
      </c>
    </row>
    <row r="2806">
      <c r="A2806" s="7" t="s">
        <v>5012</v>
      </c>
      <c r="B2806" s="8" t="s">
        <v>5009</v>
      </c>
      <c r="C2806" s="8">
        <v>9.0</v>
      </c>
      <c r="D2806" s="8">
        <v>10.0</v>
      </c>
      <c r="E2806" s="8">
        <v>10.0</v>
      </c>
      <c r="F2806" s="8">
        <v>10.0</v>
      </c>
      <c r="G2806" s="8" t="s">
        <v>21</v>
      </c>
      <c r="H2806" s="9"/>
      <c r="I2806" s="9"/>
      <c r="N2806" s="10" t="str">
        <f t="shared" si="2"/>
        <v>21-5801(a)(5) - Theft of Property or Services; Knowingly dispensing motor fuel at a retail establishment and leaving without making payment for such fuel; value less than $1,500 and committed by a person who has been within five years immediately proceeding comission of the crime, excluding any period of imprisonment, convicted of theft 2 or more times</v>
      </c>
      <c r="O2806" s="10" t="str">
        <f t="shared" si="3"/>
        <v>Theft of Property or Services</v>
      </c>
    </row>
    <row r="2807">
      <c r="A2807" s="7" t="s">
        <v>5013</v>
      </c>
      <c r="B2807" s="8" t="s">
        <v>5009</v>
      </c>
      <c r="C2807" s="8">
        <v>9.0</v>
      </c>
      <c r="D2807" s="8">
        <v>10.0</v>
      </c>
      <c r="E2807" s="8">
        <v>10.0</v>
      </c>
      <c r="F2807" s="8">
        <v>10.0</v>
      </c>
      <c r="G2807" s="8" t="s">
        <v>21</v>
      </c>
      <c r="H2807" s="9"/>
      <c r="I2807" s="9"/>
      <c r="N2807" s="10" t="str">
        <f t="shared" si="2"/>
        <v>21-5801(a)(5) - Theft of Property or Services; Knowingly dispensing motor fuel at a retail establishment and leaving without making payment for such fuel; value of less than $1,500, from three separate establishments within 72 hours as part of the same act or transaction or in 2 or more acts or transactions constituting a common scheme or course of conduct</v>
      </c>
      <c r="O2807" s="10" t="str">
        <f t="shared" si="3"/>
        <v>Theft of Property or Services</v>
      </c>
    </row>
    <row r="2808">
      <c r="A2808" s="7" t="s">
        <v>5014</v>
      </c>
      <c r="B2808" s="8" t="s">
        <v>5015</v>
      </c>
      <c r="C2808" s="8">
        <v>5.0</v>
      </c>
      <c r="D2808" s="8">
        <v>7.0</v>
      </c>
      <c r="E2808" s="8">
        <v>7.0</v>
      </c>
      <c r="F2808" s="8">
        <v>8.0</v>
      </c>
      <c r="G2808" s="8" t="s">
        <v>21</v>
      </c>
      <c r="H2808" s="9"/>
      <c r="I2808" s="9"/>
      <c r="N2808" s="10" t="str">
        <f t="shared" si="2"/>
        <v>21-5801(a)(1) - Theft of Property or Services; Obtain or exert unauthorized control; $100,000 or more</v>
      </c>
      <c r="O2808" s="10" t="str">
        <f t="shared" si="3"/>
        <v>Theft of Property or Services</v>
      </c>
    </row>
    <row r="2809">
      <c r="A2809" s="7" t="s">
        <v>5016</v>
      </c>
      <c r="B2809" s="8" t="s">
        <v>5015</v>
      </c>
      <c r="C2809" s="8">
        <v>9.0</v>
      </c>
      <c r="D2809" s="8">
        <v>10.0</v>
      </c>
      <c r="E2809" s="8">
        <v>10.0</v>
      </c>
      <c r="F2809" s="8">
        <v>10.0</v>
      </c>
      <c r="G2809" s="8" t="s">
        <v>21</v>
      </c>
      <c r="H2809" s="9"/>
      <c r="I2809" s="9"/>
      <c r="N2809" s="10" t="str">
        <f t="shared" si="2"/>
        <v>21-5801(a)(1) - Theft of Property or Services; Obtain or exert unauthorized control; at least $1,500 but less than $25,000</v>
      </c>
      <c r="O2809" s="10" t="str">
        <f t="shared" si="3"/>
        <v>Theft of Property or Services</v>
      </c>
    </row>
    <row r="2810">
      <c r="A2810" s="7" t="s">
        <v>5017</v>
      </c>
      <c r="B2810" s="8" t="s">
        <v>5015</v>
      </c>
      <c r="C2810" s="8">
        <v>7.0</v>
      </c>
      <c r="D2810" s="8">
        <v>9.0</v>
      </c>
      <c r="E2810" s="8">
        <v>9.0</v>
      </c>
      <c r="F2810" s="8">
        <v>10.0</v>
      </c>
      <c r="G2810" s="8" t="s">
        <v>21</v>
      </c>
      <c r="H2810" s="9"/>
      <c r="I2810" s="9"/>
      <c r="N2810" s="10" t="str">
        <f t="shared" si="2"/>
        <v>21-5801(a)(1) - Theft of Property or Services; Obtain or exert unauthorized control; at least $25,000 but less than $100,000</v>
      </c>
      <c r="O2810" s="10" t="str">
        <f t="shared" si="3"/>
        <v>Theft of Property or Services</v>
      </c>
    </row>
    <row r="2811">
      <c r="A2811" s="7" t="s">
        <v>5018</v>
      </c>
      <c r="B2811" s="8" t="s">
        <v>5015</v>
      </c>
      <c r="C2811" s="8">
        <v>9.0</v>
      </c>
      <c r="D2811" s="8">
        <v>10.0</v>
      </c>
      <c r="E2811" s="8">
        <v>10.0</v>
      </c>
      <c r="F2811" s="8">
        <v>10.0</v>
      </c>
      <c r="G2811" s="8" t="s">
        <v>21</v>
      </c>
      <c r="H2811" s="9"/>
      <c r="I2811" s="9"/>
      <c r="N2811" s="10" t="str">
        <f t="shared" si="2"/>
        <v>21-5801(a)(1) - Theft of Property or Services; Obtain or exert unauthorized control; property is a firearm of value less than $25,000</v>
      </c>
      <c r="O2811" s="10" t="str">
        <f t="shared" si="3"/>
        <v>Theft of Property or Services</v>
      </c>
    </row>
    <row r="2812">
      <c r="A2812" s="7" t="s">
        <v>5019</v>
      </c>
      <c r="B2812" s="8" t="s">
        <v>5015</v>
      </c>
      <c r="C2812" s="8" t="s">
        <v>27</v>
      </c>
      <c r="D2812" s="8" t="s">
        <v>28</v>
      </c>
      <c r="E2812" s="8" t="s">
        <v>19</v>
      </c>
      <c r="F2812" s="8" t="s">
        <v>20</v>
      </c>
      <c r="G2812" s="8" t="s">
        <v>21</v>
      </c>
      <c r="H2812" s="9"/>
      <c r="I2812" s="9"/>
      <c r="J2812" s="10">
        <f t="shared" ref="J2812:M2812" si="1730">ifs(OR($H2812="R",$I2812="N"),"N/A",OR(C2812="A",C2812="B",C2812="C",C2812="U"),3,TRUE,"FLAG")</f>
        <v>3</v>
      </c>
      <c r="K2812" s="10">
        <f t="shared" si="1730"/>
        <v>3</v>
      </c>
      <c r="L2812" s="10">
        <f t="shared" si="1730"/>
        <v>3</v>
      </c>
      <c r="M2812" s="10" t="str">
        <f t="shared" si="1730"/>
        <v>FLAG</v>
      </c>
      <c r="N2812" s="10" t="str">
        <f t="shared" si="2"/>
        <v>21-5801(a)(1) - Theft of Property or Services; Obtain or exert unauthorized control; value less than $1,500</v>
      </c>
      <c r="O2812" s="10" t="str">
        <f t="shared" si="3"/>
        <v>Theft of Property or Services</v>
      </c>
    </row>
    <row r="2813">
      <c r="A2813" s="7" t="s">
        <v>5020</v>
      </c>
      <c r="B2813" s="8" t="s">
        <v>5015</v>
      </c>
      <c r="C2813" s="8">
        <v>9.0</v>
      </c>
      <c r="D2813" s="8">
        <v>10.0</v>
      </c>
      <c r="E2813" s="8">
        <v>10.0</v>
      </c>
      <c r="F2813" s="8">
        <v>10.0</v>
      </c>
      <c r="G2813" s="8" t="s">
        <v>21</v>
      </c>
      <c r="H2813" s="9"/>
      <c r="I2813" s="9"/>
      <c r="N2813" s="10" t="str">
        <f t="shared" si="2"/>
        <v>21-5801(a)(1) - Theft of Property or Services; Obtain or exert unauthorized control; value less than $1,500 and committed by a person who has within five years immediately preceding commission of the crime; excluding any period of imprisonment, been convicted of theft 2 or more times</v>
      </c>
      <c r="O2813" s="10" t="str">
        <f t="shared" si="3"/>
        <v>Theft of Property or Services</v>
      </c>
    </row>
    <row r="2814">
      <c r="A2814" s="7" t="s">
        <v>5021</v>
      </c>
      <c r="B2814" s="8" t="s">
        <v>5015</v>
      </c>
      <c r="C2814" s="8">
        <v>9.0</v>
      </c>
      <c r="D2814" s="8">
        <v>10.0</v>
      </c>
      <c r="E2814" s="8">
        <v>10.0</v>
      </c>
      <c r="F2814" s="8">
        <v>10.0</v>
      </c>
      <c r="G2814" s="8" t="s">
        <v>21</v>
      </c>
      <c r="H2814" s="9"/>
      <c r="I2814" s="9"/>
      <c r="N2814" s="10" t="str">
        <f t="shared" si="2"/>
        <v>21-5801(a)(1) - Theft of Property or Services; Obtain or exert unauthorized control; value less than $1,500, from 3 establishments within 72 hours as part of the same act or transaction or, in 2 or more acts or transactions, constituting a common scheme or course of conduct</v>
      </c>
      <c r="O2814" s="10" t="str">
        <f t="shared" si="3"/>
        <v>Theft of Property or Services</v>
      </c>
    </row>
    <row r="2815">
      <c r="A2815" s="7" t="s">
        <v>5022</v>
      </c>
      <c r="B2815" s="8" t="s">
        <v>5009</v>
      </c>
      <c r="C2815" s="8" t="s">
        <v>27</v>
      </c>
      <c r="D2815" s="8" t="s">
        <v>28</v>
      </c>
      <c r="E2815" s="8" t="s">
        <v>19</v>
      </c>
      <c r="F2815" s="8" t="s">
        <v>20</v>
      </c>
      <c r="G2815" s="8" t="s">
        <v>21</v>
      </c>
      <c r="H2815" s="9"/>
      <c r="I2815" s="9"/>
      <c r="J2815" s="10">
        <f t="shared" ref="J2815:M2815" si="1731">ifs(OR($H2815="R",$I2815="N"),"N/A",OR(C2815="A",C2815="B",C2815="C",C2815="U"),3,TRUE,"FLAG")</f>
        <v>3</v>
      </c>
      <c r="K2815" s="10">
        <f t="shared" si="1731"/>
        <v>3</v>
      </c>
      <c r="L2815" s="10">
        <f t="shared" si="1731"/>
        <v>3</v>
      </c>
      <c r="M2815" s="10" t="str">
        <f t="shared" si="1731"/>
        <v>FLAG</v>
      </c>
      <c r="N2815" s="10" t="str">
        <f t="shared" si="2"/>
        <v>21-5801(a)(5) - Theft of Property or Services; Of motor fuel; value less than $1,500</v>
      </c>
      <c r="O2815" s="10" t="str">
        <f t="shared" si="3"/>
        <v>Theft of Property or Services</v>
      </c>
    </row>
    <row r="2816">
      <c r="A2816" s="7" t="s">
        <v>5023</v>
      </c>
      <c r="B2816" s="8" t="s">
        <v>5024</v>
      </c>
      <c r="C2816" s="8" t="s">
        <v>27</v>
      </c>
      <c r="D2816" s="8" t="s">
        <v>28</v>
      </c>
      <c r="E2816" s="8" t="s">
        <v>19</v>
      </c>
      <c r="F2816" s="8" t="s">
        <v>20</v>
      </c>
      <c r="G2816" s="8" t="s">
        <v>21</v>
      </c>
      <c r="H2816" s="9"/>
      <c r="I2816" s="9"/>
      <c r="J2816" s="10">
        <f t="shared" ref="J2816:M2816" si="1732">ifs(OR($H2816="R",$I2816="N"),"N/A",OR(C2816="A",C2816="B",C2816="C",C2816="U"),3,TRUE,"FLAG")</f>
        <v>3</v>
      </c>
      <c r="K2816" s="10">
        <f t="shared" si="1732"/>
        <v>3</v>
      </c>
      <c r="L2816" s="10">
        <f t="shared" si="1732"/>
        <v>3</v>
      </c>
      <c r="M2816" s="10" t="str">
        <f t="shared" si="1732"/>
        <v>FLAG</v>
      </c>
      <c r="N2816" s="10" t="str">
        <f t="shared" si="2"/>
        <v>21-5801(a)(4) - Theft of Property or Services; Possession of stolen property or services; value less than $1,500</v>
      </c>
      <c r="O2816" s="10" t="str">
        <f t="shared" si="3"/>
        <v>Theft of Property or Services</v>
      </c>
    </row>
    <row r="2817">
      <c r="A2817" s="7" t="s">
        <v>5025</v>
      </c>
      <c r="B2817" s="8" t="s">
        <v>5024</v>
      </c>
      <c r="C2817" s="8">
        <v>5.0</v>
      </c>
      <c r="D2817" s="8">
        <v>7.0</v>
      </c>
      <c r="E2817" s="8">
        <v>7.0</v>
      </c>
      <c r="F2817" s="8">
        <v>8.0</v>
      </c>
      <c r="G2817" s="8" t="s">
        <v>21</v>
      </c>
      <c r="H2817" s="9"/>
      <c r="I2817" s="9"/>
      <c r="N2817" s="10" t="str">
        <f t="shared" si="2"/>
        <v>21-5801(a)(4) - Theft of Property or Services; Stolen property; knowing the property to have been stolen by another; $100,000 or more</v>
      </c>
      <c r="O2817" s="10" t="str">
        <f t="shared" si="3"/>
        <v>Theft of Property or Services</v>
      </c>
    </row>
    <row r="2818">
      <c r="A2818" s="7" t="s">
        <v>5026</v>
      </c>
      <c r="B2818" s="8" t="s">
        <v>5024</v>
      </c>
      <c r="C2818" s="8">
        <v>9.0</v>
      </c>
      <c r="D2818" s="8">
        <v>10.0</v>
      </c>
      <c r="E2818" s="8">
        <v>10.0</v>
      </c>
      <c r="F2818" s="8">
        <v>10.0</v>
      </c>
      <c r="G2818" s="8" t="s">
        <v>21</v>
      </c>
      <c r="H2818" s="9"/>
      <c r="I2818" s="9"/>
      <c r="N2818" s="10" t="str">
        <f t="shared" si="2"/>
        <v>21-5801(a)(4) - Theft of Property or Services; Stolen property; knowing the property to have been stolen by another; at least $1,500 but less than $25,000</v>
      </c>
      <c r="O2818" s="10" t="str">
        <f t="shared" si="3"/>
        <v>Theft of Property or Services</v>
      </c>
    </row>
    <row r="2819">
      <c r="A2819" s="7" t="s">
        <v>5027</v>
      </c>
      <c r="B2819" s="8" t="s">
        <v>5024</v>
      </c>
      <c r="C2819" s="8">
        <v>7.0</v>
      </c>
      <c r="D2819" s="8">
        <v>9.0</v>
      </c>
      <c r="E2819" s="8">
        <v>9.0</v>
      </c>
      <c r="F2819" s="8">
        <v>10.0</v>
      </c>
      <c r="G2819" s="8" t="s">
        <v>21</v>
      </c>
      <c r="H2819" s="9"/>
      <c r="I2819" s="9"/>
      <c r="N2819" s="10" t="str">
        <f t="shared" si="2"/>
        <v>21-5801(a)(4) - Theft of Property or Services; Stolen property; knowing the property to have been stolen by another; at least $25,000 but less than $100,000</v>
      </c>
      <c r="O2819" s="10" t="str">
        <f t="shared" si="3"/>
        <v>Theft of Property or Services</v>
      </c>
    </row>
    <row r="2820">
      <c r="A2820" s="7" t="s">
        <v>5028</v>
      </c>
      <c r="B2820" s="8" t="s">
        <v>5024</v>
      </c>
      <c r="C2820" s="8">
        <v>9.0</v>
      </c>
      <c r="D2820" s="8">
        <v>10.0</v>
      </c>
      <c r="E2820" s="8">
        <v>10.0</v>
      </c>
      <c r="F2820" s="8">
        <v>10.0</v>
      </c>
      <c r="G2820" s="8" t="s">
        <v>21</v>
      </c>
      <c r="H2820" s="9"/>
      <c r="I2820" s="9"/>
      <c r="N2820" s="10" t="str">
        <f t="shared" si="2"/>
        <v>21-5801(a)(4) - Theft of Property or Services; Stolen property; knowing the property to have been stolen by another; property is a firearm of value less than $25,000</v>
      </c>
      <c r="O2820" s="10" t="str">
        <f t="shared" si="3"/>
        <v>Theft of Property or Services</v>
      </c>
    </row>
    <row r="2821">
      <c r="A2821" s="7" t="s">
        <v>5029</v>
      </c>
      <c r="B2821" s="8" t="s">
        <v>5024</v>
      </c>
      <c r="C2821" s="8">
        <v>9.0</v>
      </c>
      <c r="D2821" s="8">
        <v>10.0</v>
      </c>
      <c r="E2821" s="8">
        <v>10.0</v>
      </c>
      <c r="F2821" s="8">
        <v>10.0</v>
      </c>
      <c r="G2821" s="8" t="s">
        <v>21</v>
      </c>
      <c r="H2821" s="9"/>
      <c r="I2821" s="9"/>
      <c r="N2821" s="10" t="str">
        <f t="shared" si="2"/>
        <v>21-5801(a)(4) - Theft of Property or Services; Stolen property; knowing the property to have been stolen by another; property of the value of less than $1,500, from 3 separate establishments within 72 hours as part of the same act or transaction or in 2 or more acts or transactions constituting a common scheme or course of conduct</v>
      </c>
      <c r="O2821" s="10" t="str">
        <f t="shared" si="3"/>
        <v>Theft of Property or Services</v>
      </c>
    </row>
    <row r="2822">
      <c r="A2822" s="7" t="s">
        <v>5030</v>
      </c>
      <c r="B2822" s="8" t="s">
        <v>5024</v>
      </c>
      <c r="C2822" s="8">
        <v>9.0</v>
      </c>
      <c r="D2822" s="8">
        <v>10.0</v>
      </c>
      <c r="E2822" s="8">
        <v>10.0</v>
      </c>
      <c r="F2822" s="8">
        <v>10.0</v>
      </c>
      <c r="G2822" s="8" t="s">
        <v>21</v>
      </c>
      <c r="H2822" s="9"/>
      <c r="I2822" s="9"/>
      <c r="N2822" s="10" t="str">
        <f t="shared" si="2"/>
        <v>21-5801(a)(4) - Theft of Property or Services; Stolen property; knowing the property to have been stolen by another; value less than $1,500 and committed by a person who has within five years immediately proceeding commission of the crime, excluding any period of imprisonment, been convicted of theft 2 or more times</v>
      </c>
      <c r="O2822" s="10" t="str">
        <f t="shared" si="3"/>
        <v>Theft of Property or Services</v>
      </c>
    </row>
    <row r="2823">
      <c r="A2823" s="7" t="s">
        <v>5031</v>
      </c>
      <c r="B2823" s="8" t="s">
        <v>5032</v>
      </c>
      <c r="C2823" s="8" t="s">
        <v>27</v>
      </c>
      <c r="D2823" s="8" t="s">
        <v>28</v>
      </c>
      <c r="E2823" s="8" t="s">
        <v>19</v>
      </c>
      <c r="F2823" s="8" t="s">
        <v>20</v>
      </c>
      <c r="G2823" s="8" t="s">
        <v>21</v>
      </c>
      <c r="H2823" s="9"/>
      <c r="I2823" s="9"/>
      <c r="J2823" s="10">
        <f t="shared" ref="J2823:M2823" si="1733">ifs(OR($H2823="R",$I2823="N"),"N/A",OR(C2823="A",C2823="B",C2823="C",C2823="U"),3,TRUE,"FLAG")</f>
        <v>3</v>
      </c>
      <c r="K2823" s="10">
        <f t="shared" si="1733"/>
        <v>3</v>
      </c>
      <c r="L2823" s="10">
        <f t="shared" si="1733"/>
        <v>3</v>
      </c>
      <c r="M2823" s="10" t="str">
        <f t="shared" si="1733"/>
        <v>FLAG</v>
      </c>
      <c r="N2823" s="10" t="str">
        <f t="shared" si="2"/>
        <v>21-5819(a)(2) - Throwing or Casting Rocks; Recklessly throw/push/pitch or cast any rock, stone or other objects onto street, road, highway or railroad right-of-way or  upon any vehicle, train or any other conveyance thereon causing damage to vehicle or train or other conveyance</v>
      </c>
      <c r="O2823" s="10" t="str">
        <f t="shared" si="3"/>
        <v>Throwing or Casting Rocks</v>
      </c>
    </row>
    <row r="2824">
      <c r="A2824" s="7" t="s">
        <v>5033</v>
      </c>
      <c r="B2824" s="8" t="s">
        <v>5034</v>
      </c>
      <c r="C2824" s="8" t="s">
        <v>28</v>
      </c>
      <c r="D2824" s="8" t="s">
        <v>19</v>
      </c>
      <c r="E2824" s="8" t="s">
        <v>19</v>
      </c>
      <c r="F2824" s="8" t="s">
        <v>20</v>
      </c>
      <c r="G2824" s="8" t="s">
        <v>21</v>
      </c>
      <c r="H2824" s="9"/>
      <c r="I2824" s="9"/>
      <c r="J2824" s="10">
        <f t="shared" ref="J2824:M2824" si="1734">ifs(OR($H2824="R",$I2824="N"),"N/A",OR(C2824="A",C2824="B",C2824="C",C2824="U"),3,TRUE,"FLAG")</f>
        <v>3</v>
      </c>
      <c r="K2824" s="10">
        <f t="shared" si="1734"/>
        <v>3</v>
      </c>
      <c r="L2824" s="10">
        <f t="shared" si="1734"/>
        <v>3</v>
      </c>
      <c r="M2824" s="10" t="str">
        <f t="shared" si="1734"/>
        <v>FLAG</v>
      </c>
      <c r="N2824" s="10" t="str">
        <f t="shared" si="2"/>
        <v>21-5819(a)(1) - Throwing or Casting Rocks; Recklessly throw/push/pitch or cast any rock, stone or other objects onto street, road, highway or railroad right-of-way or  upon any vehicle, train or any other conveyance thereon- no damage results</v>
      </c>
      <c r="O2824" s="10" t="str">
        <f t="shared" si="3"/>
        <v>Throwing or Casting Rocks</v>
      </c>
    </row>
    <row r="2825">
      <c r="A2825" s="7" t="s">
        <v>5035</v>
      </c>
      <c r="B2825" s="8" t="s">
        <v>5036</v>
      </c>
      <c r="C2825" s="8">
        <v>7.0</v>
      </c>
      <c r="D2825" s="8">
        <v>9.0</v>
      </c>
      <c r="E2825" s="8">
        <v>9.0</v>
      </c>
      <c r="F2825" s="8">
        <v>10.0</v>
      </c>
      <c r="G2825" s="8" t="s">
        <v>24</v>
      </c>
      <c r="H2825" s="9"/>
      <c r="I2825" s="9"/>
      <c r="N2825" s="10" t="str">
        <f t="shared" si="2"/>
        <v>21-5819(a)(3) - Throwing or Casting Rocks; Recklessly throw/push/pitch/or cast any rock, stone or other objects onto street, road, highway or railroad right-of-way or upon any vehicle, train or any other conveyance thereon; causing injury to another person upon such street, road, highway or railroad right-of-way</v>
      </c>
      <c r="O2825" s="10" t="str">
        <f t="shared" si="3"/>
        <v>Throwing or Casting Rocks</v>
      </c>
    </row>
    <row r="2826">
      <c r="A2826" s="7" t="s">
        <v>5037</v>
      </c>
      <c r="B2826" s="8" t="s">
        <v>5038</v>
      </c>
      <c r="C2826" s="8">
        <v>6.0</v>
      </c>
      <c r="D2826" s="8">
        <v>8.0</v>
      </c>
      <c r="E2826" s="8">
        <v>8.0</v>
      </c>
      <c r="F2826" s="8">
        <v>9.0</v>
      </c>
      <c r="G2826" s="8" t="s">
        <v>24</v>
      </c>
      <c r="H2826" s="9"/>
      <c r="I2826" s="9"/>
      <c r="N2826" s="10" t="str">
        <f t="shared" si="2"/>
        <v>21-5819(a)(4) - Throwing or Casting Rocks; Recklessly throw/push/pitch/or cast any rock, stone or other objects onto street, road, highway or railroad right-of-way or upon any vehicle, train or any other conveyance thereon; damaging a vehicle/train or other conveyance thereon and injuring a person as a result of the cast or thrown object or as a result of damage to the vehicle in which a person was a passenger when struck by such object</v>
      </c>
      <c r="O2826" s="10" t="str">
        <f t="shared" si="3"/>
        <v>Throwing or Casting Rocks</v>
      </c>
    </row>
    <row r="2827">
      <c r="A2827" s="7" t="s">
        <v>5039</v>
      </c>
      <c r="B2827" s="8" t="s">
        <v>5040</v>
      </c>
      <c r="C2827" s="8" t="s">
        <v>18</v>
      </c>
      <c r="D2827" s="8" t="s">
        <v>18</v>
      </c>
      <c r="E2827" s="8" t="s">
        <v>19</v>
      </c>
      <c r="F2827" s="8" t="s">
        <v>20</v>
      </c>
      <c r="G2827" s="8" t="s">
        <v>21</v>
      </c>
      <c r="H2827" s="9"/>
      <c r="I2827" s="9"/>
      <c r="J2827" s="10">
        <f t="shared" ref="J2827:M2827" si="1735">ifs(OR($H2827="R",$I2827="N"),"N/A",OR(C2827="A",C2827="B",C2827="C",C2827="U"),3,TRUE,"FLAG")</f>
        <v>3</v>
      </c>
      <c r="K2827" s="10">
        <f t="shared" si="1735"/>
        <v>3</v>
      </c>
      <c r="L2827" s="10">
        <f t="shared" si="1735"/>
        <v>3</v>
      </c>
      <c r="M2827" s="10" t="str">
        <f t="shared" si="1735"/>
        <v>FLAG</v>
      </c>
      <c r="N2827" s="10" t="str">
        <f t="shared" si="2"/>
        <v>80-408 - Townships &amp; Township Officers; Penalty for failure of treasurer or trustee to make statement or to perform duty</v>
      </c>
      <c r="O2827" s="10" t="str">
        <f t="shared" si="3"/>
        <v>Townships &amp; Township Officers</v>
      </c>
    </row>
    <row r="2828">
      <c r="A2828" s="7" t="s">
        <v>5041</v>
      </c>
      <c r="B2828" s="8" t="s">
        <v>5042</v>
      </c>
      <c r="C2828" s="8" t="s">
        <v>18</v>
      </c>
      <c r="D2828" s="8" t="s">
        <v>18</v>
      </c>
      <c r="E2828" s="8" t="s">
        <v>19</v>
      </c>
      <c r="F2828" s="8" t="s">
        <v>20</v>
      </c>
      <c r="G2828" s="8" t="s">
        <v>21</v>
      </c>
      <c r="H2828" s="9"/>
      <c r="I2828" s="9"/>
      <c r="J2828" s="10">
        <f t="shared" ref="J2828:M2828" si="1736">ifs(OR($H2828="R",$I2828="N"),"N/A",OR(C2828="A",C2828="B",C2828="C",C2828="U"),3,TRUE,"FLAG")</f>
        <v>3</v>
      </c>
      <c r="K2828" s="10">
        <f t="shared" si="1736"/>
        <v>3</v>
      </c>
      <c r="L2828" s="10">
        <f t="shared" si="1736"/>
        <v>3</v>
      </c>
      <c r="M2828" s="10" t="str">
        <f t="shared" si="1736"/>
        <v>FLAG</v>
      </c>
      <c r="N2828" s="10" t="str">
        <f t="shared" si="2"/>
        <v>80-409 - Townships &amp; Township Officers; Penalty for taking down or destroying statement</v>
      </c>
      <c r="O2828" s="10" t="str">
        <f t="shared" si="3"/>
        <v>Townships &amp; Township Officers</v>
      </c>
    </row>
    <row r="2829">
      <c r="A2829" s="7" t="s">
        <v>5043</v>
      </c>
      <c r="B2829" s="8" t="s">
        <v>5044</v>
      </c>
      <c r="C2829" s="8" t="s">
        <v>18</v>
      </c>
      <c r="D2829" s="8" t="s">
        <v>18</v>
      </c>
      <c r="E2829" s="8" t="s">
        <v>19</v>
      </c>
      <c r="F2829" s="8" t="s">
        <v>20</v>
      </c>
      <c r="G2829" s="8" t="s">
        <v>21</v>
      </c>
      <c r="H2829" s="9"/>
      <c r="I2829" s="9"/>
      <c r="J2829" s="10">
        <f t="shared" ref="J2829:M2829" si="1737">ifs(OR($H2829="R",$I2829="N"),"N/A",OR(C2829="A",C2829="B",C2829="C",C2829="U"),3,TRUE,"FLAG")</f>
        <v>3</v>
      </c>
      <c r="K2829" s="10">
        <f t="shared" si="1737"/>
        <v>3</v>
      </c>
      <c r="L2829" s="10">
        <f t="shared" si="1737"/>
        <v>3</v>
      </c>
      <c r="M2829" s="10" t="str">
        <f t="shared" si="1737"/>
        <v>FLAG</v>
      </c>
      <c r="N2829" s="10" t="str">
        <f t="shared" si="2"/>
        <v>80-411 - Townships &amp; Township Officers; Penalty for violation of act</v>
      </c>
      <c r="O2829" s="10" t="str">
        <f t="shared" si="3"/>
        <v>Townships &amp; Township Officers</v>
      </c>
    </row>
    <row r="2830">
      <c r="A2830" s="7" t="s">
        <v>5045</v>
      </c>
      <c r="B2830" s="8" t="s">
        <v>5046</v>
      </c>
      <c r="C2830" s="8" t="s">
        <v>18</v>
      </c>
      <c r="D2830" s="8" t="s">
        <v>18</v>
      </c>
      <c r="E2830" s="8" t="s">
        <v>19</v>
      </c>
      <c r="F2830" s="8" t="s">
        <v>20</v>
      </c>
      <c r="G2830" s="8" t="s">
        <v>21</v>
      </c>
      <c r="H2830" s="9"/>
      <c r="I2830" s="9"/>
      <c r="J2830" s="10">
        <f t="shared" ref="J2830:M2830" si="1738">ifs(OR($H2830="R",$I2830="N"),"N/A",OR(C2830="A",C2830="B",C2830="C",C2830="U"),3,TRUE,"FLAG")</f>
        <v>3</v>
      </c>
      <c r="K2830" s="10">
        <f t="shared" si="1738"/>
        <v>3</v>
      </c>
      <c r="L2830" s="10">
        <f t="shared" si="1738"/>
        <v>3</v>
      </c>
      <c r="M2830" s="10" t="str">
        <f t="shared" si="1738"/>
        <v>FLAG</v>
      </c>
      <c r="N2830" s="10" t="str">
        <f t="shared" si="2"/>
        <v>80-1208 - Townships &amp; Township Officers; Prairie Dogs, Moles &amp; Gophers; penalty for trustee or board of county commissioners failure to perform duties</v>
      </c>
      <c r="O2830" s="10" t="str">
        <f t="shared" si="3"/>
        <v>Townships &amp; Township Officers</v>
      </c>
    </row>
    <row r="2831">
      <c r="A2831" s="7" t="s">
        <v>5047</v>
      </c>
      <c r="B2831" s="8" t="s">
        <v>5048</v>
      </c>
      <c r="C2831" s="8" t="s">
        <v>18</v>
      </c>
      <c r="D2831" s="8" t="s">
        <v>18</v>
      </c>
      <c r="E2831" s="8" t="s">
        <v>19</v>
      </c>
      <c r="F2831" s="8" t="s">
        <v>20</v>
      </c>
      <c r="G2831" s="8" t="s">
        <v>21</v>
      </c>
      <c r="H2831" s="9"/>
      <c r="I2831" s="9"/>
      <c r="J2831" s="10">
        <f t="shared" ref="J2831:M2831" si="1739">ifs(OR($H2831="R",$I2831="N"),"N/A",OR(C2831="A",C2831="B",C2831="C",C2831="U"),3,TRUE,"FLAG")</f>
        <v>3</v>
      </c>
      <c r="K2831" s="10">
        <f t="shared" si="1739"/>
        <v>3</v>
      </c>
      <c r="L2831" s="10">
        <f t="shared" si="1739"/>
        <v>3</v>
      </c>
      <c r="M2831" s="10" t="str">
        <f t="shared" si="1739"/>
        <v>FLAG</v>
      </c>
      <c r="N2831" s="10" t="str">
        <f t="shared" si="2"/>
        <v>21-2802 - Trading Stamps; Redeeming for cash prohibited</v>
      </c>
      <c r="O2831" s="10" t="str">
        <f t="shared" si="3"/>
        <v>Trading Stamps</v>
      </c>
    </row>
    <row r="2832">
      <c r="A2832" s="7" t="s">
        <v>5049</v>
      </c>
      <c r="B2832" s="8" t="s">
        <v>5050</v>
      </c>
      <c r="C2832" s="8" t="s">
        <v>18</v>
      </c>
      <c r="D2832" s="8" t="s">
        <v>18</v>
      </c>
      <c r="E2832" s="8" t="s">
        <v>19</v>
      </c>
      <c r="F2832" s="8" t="s">
        <v>20</v>
      </c>
      <c r="G2832" s="8" t="s">
        <v>21</v>
      </c>
      <c r="H2832" s="9"/>
      <c r="I2832" s="9"/>
      <c r="J2832" s="10">
        <f t="shared" ref="J2832:M2832" si="1740">ifs(OR($H2832="R",$I2832="N"),"N/A",OR(C2832="A",C2832="B",C2832="C",C2832="U"),3,TRUE,"FLAG")</f>
        <v>3</v>
      </c>
      <c r="K2832" s="10">
        <f t="shared" si="1740"/>
        <v>3</v>
      </c>
      <c r="L2832" s="10">
        <f t="shared" si="1740"/>
        <v>3</v>
      </c>
      <c r="M2832" s="10" t="str">
        <f t="shared" si="1740"/>
        <v>FLAG</v>
      </c>
      <c r="N2832" s="10" t="str">
        <f t="shared" si="2"/>
        <v>21-2801 - Trading Stamps; Redeeming for merchandise prohibited</v>
      </c>
      <c r="O2832" s="10" t="str">
        <f t="shared" si="3"/>
        <v>Trading Stamps</v>
      </c>
    </row>
    <row r="2833">
      <c r="A2833" s="7" t="s">
        <v>5051</v>
      </c>
      <c r="B2833" s="8" t="s">
        <v>5052</v>
      </c>
      <c r="C2833" s="8">
        <v>9.0</v>
      </c>
      <c r="D2833" s="8">
        <v>10.0</v>
      </c>
      <c r="E2833" s="8">
        <v>10.0</v>
      </c>
      <c r="F2833" s="8">
        <v>10.0</v>
      </c>
      <c r="G2833" s="8" t="s">
        <v>24</v>
      </c>
      <c r="H2833" s="9"/>
      <c r="I2833" s="9"/>
      <c r="N2833" s="10" t="str">
        <f t="shared" si="2"/>
        <v>21-6324(a)(4) - Traffic Control Signal Preemption Device; Knowing and unauthorized purchase of device</v>
      </c>
      <c r="O2833" s="10" t="str">
        <f t="shared" si="3"/>
        <v>Traffic Control Signal Preemption Device</v>
      </c>
    </row>
    <row r="2834">
      <c r="A2834" s="7" t="s">
        <v>5053</v>
      </c>
      <c r="B2834" s="8" t="s">
        <v>5054</v>
      </c>
      <c r="C2834" s="8">
        <v>9.0</v>
      </c>
      <c r="D2834" s="8">
        <v>10.0</v>
      </c>
      <c r="E2834" s="8">
        <v>10.0</v>
      </c>
      <c r="F2834" s="8">
        <v>10.0</v>
      </c>
      <c r="G2834" s="8" t="s">
        <v>24</v>
      </c>
      <c r="H2834" s="9"/>
      <c r="I2834" s="9"/>
      <c r="N2834" s="10" t="str">
        <f t="shared" si="2"/>
        <v>21-6324(a)(3) - Traffic Control Signal Preemption Device; Knowing and unauthorized sale of device</v>
      </c>
      <c r="O2834" s="10" t="str">
        <f t="shared" si="3"/>
        <v>Traffic Control Signal Preemption Device</v>
      </c>
    </row>
    <row r="2835">
      <c r="A2835" s="7" t="s">
        <v>5055</v>
      </c>
      <c r="B2835" s="8" t="s">
        <v>5056</v>
      </c>
      <c r="C2835" s="8">
        <v>9.0</v>
      </c>
      <c r="D2835" s="8">
        <v>10.0</v>
      </c>
      <c r="E2835" s="8">
        <v>10.0</v>
      </c>
      <c r="F2835" s="8">
        <v>10.0</v>
      </c>
      <c r="G2835" s="8" t="s">
        <v>21</v>
      </c>
      <c r="H2835" s="9"/>
      <c r="I2835" s="9"/>
      <c r="N2835" s="10" t="str">
        <f t="shared" si="2"/>
        <v>21-6324(a)(2) - Traffic Control Signal Preemption Device; Knowing and unauthorized use of device</v>
      </c>
      <c r="O2835" s="10" t="str">
        <f t="shared" si="3"/>
        <v>Traffic Control Signal Preemption Device</v>
      </c>
    </row>
    <row r="2836">
      <c r="A2836" s="7" t="s">
        <v>5057</v>
      </c>
      <c r="B2836" s="8" t="s">
        <v>5056</v>
      </c>
      <c r="C2836" s="8">
        <v>5.0</v>
      </c>
      <c r="D2836" s="8">
        <v>7.0</v>
      </c>
      <c r="E2836" s="8">
        <v>7.0</v>
      </c>
      <c r="F2836" s="8">
        <v>8.0</v>
      </c>
      <c r="G2836" s="8" t="s">
        <v>24</v>
      </c>
      <c r="H2836" s="9"/>
      <c r="I2836" s="9"/>
      <c r="N2836" s="10" t="str">
        <f t="shared" si="2"/>
        <v>21-6324(a)(2) - Traffic Control Signal Preemption Device; Knowing and unauthorized use of device; resulting in traffic accident causing death</v>
      </c>
      <c r="O2836" s="10" t="str">
        <f t="shared" si="3"/>
        <v>Traffic Control Signal Preemption Device</v>
      </c>
    </row>
    <row r="2837">
      <c r="A2837" s="7" t="s">
        <v>5058</v>
      </c>
      <c r="B2837" s="8" t="s">
        <v>5056</v>
      </c>
      <c r="C2837" s="8">
        <v>7.0</v>
      </c>
      <c r="D2837" s="8">
        <v>9.0</v>
      </c>
      <c r="E2837" s="8">
        <v>9.0</v>
      </c>
      <c r="F2837" s="8">
        <v>10.0</v>
      </c>
      <c r="G2837" s="8" t="s">
        <v>24</v>
      </c>
      <c r="H2837" s="9"/>
      <c r="I2837" s="9"/>
      <c r="N2837" s="10" t="str">
        <f t="shared" si="2"/>
        <v>21-6324(a)(2) - Traffic Control Signal Preemption Device; Knowing and unauthorized use of device; resulting in traffic accident causing injury to any person or damage to any vehicle or other property</v>
      </c>
      <c r="O2837" s="10" t="str">
        <f t="shared" si="3"/>
        <v>Traffic Control Signal Preemption Device</v>
      </c>
    </row>
    <row r="2838">
      <c r="A2838" s="7" t="s">
        <v>5059</v>
      </c>
      <c r="B2838" s="8" t="s">
        <v>5060</v>
      </c>
      <c r="C2838" s="8">
        <v>5.0</v>
      </c>
      <c r="D2838" s="8">
        <v>7.0</v>
      </c>
      <c r="E2838" s="8">
        <v>7.0</v>
      </c>
      <c r="F2838" s="8">
        <v>8.0</v>
      </c>
      <c r="G2838" s="8" t="s">
        <v>21</v>
      </c>
      <c r="H2838" s="9"/>
      <c r="I2838" s="9"/>
      <c r="N2838" s="10" t="str">
        <f t="shared" si="2"/>
        <v>21-5914(a)(4) - Trafficking in Contraband in Correctional Institution or Care and Treatment Facility; Distribute any firearm, ammunition, explosive or controlled substance within any correctional institution or care and treatment facility</v>
      </c>
      <c r="O2838" s="10" t="str">
        <f t="shared" si="3"/>
        <v>Trafficking in Contraband in Correctional Institution or Care and Treatment Facility</v>
      </c>
    </row>
    <row r="2839">
      <c r="A2839" s="7" t="s">
        <v>5061</v>
      </c>
      <c r="B2839" s="8" t="s">
        <v>5060</v>
      </c>
      <c r="C2839" s="8">
        <v>4.0</v>
      </c>
      <c r="D2839" s="8">
        <v>6.0</v>
      </c>
      <c r="E2839" s="8">
        <v>6.0</v>
      </c>
      <c r="F2839" s="8">
        <v>7.0</v>
      </c>
      <c r="G2839" s="8" t="s">
        <v>21</v>
      </c>
      <c r="H2839" s="9"/>
      <c r="I2839" s="9"/>
      <c r="N2839" s="10" t="str">
        <f t="shared" si="2"/>
        <v>21-5914(a)(4) - Trafficking in Contraband in Correctional Institution or Care and Treatment Facility; Distribute any firearm, ammunition, explosive or controlled substance within any correctional institution or care and treatment facility; if done by employee of such institution or facility</v>
      </c>
      <c r="O2839" s="10" t="str">
        <f t="shared" si="3"/>
        <v>Trafficking in Contraband in Correctional Institution or Care and Treatment Facility</v>
      </c>
    </row>
    <row r="2840">
      <c r="A2840" s="7" t="s">
        <v>5062</v>
      </c>
      <c r="B2840" s="8" t="s">
        <v>5060</v>
      </c>
      <c r="C2840" s="8">
        <v>5.0</v>
      </c>
      <c r="D2840" s="8">
        <v>7.0</v>
      </c>
      <c r="E2840" s="8">
        <v>7.0</v>
      </c>
      <c r="F2840" s="8">
        <v>8.0</v>
      </c>
      <c r="G2840" s="8" t="s">
        <v>21</v>
      </c>
      <c r="H2840" s="9"/>
      <c r="I2840" s="9"/>
      <c r="N2840" s="10" t="str">
        <f t="shared" si="2"/>
        <v>21-5914(a)(4) - Trafficking in Contraband in Correctional Institution or Care and Treatment Facility; Distribute any item defined as contraband by commissioner of juvenile justice authority within any juvenile correctional facility; if done by employee of such facility</v>
      </c>
      <c r="O2840" s="10" t="str">
        <f t="shared" si="3"/>
        <v>Trafficking in Contraband in Correctional Institution or Care and Treatment Facility</v>
      </c>
    </row>
    <row r="2841">
      <c r="A2841" s="7" t="s">
        <v>5063</v>
      </c>
      <c r="B2841" s="8" t="s">
        <v>5060</v>
      </c>
      <c r="C2841" s="8">
        <v>5.0</v>
      </c>
      <c r="D2841" s="8">
        <v>7.0</v>
      </c>
      <c r="E2841" s="8">
        <v>7.0</v>
      </c>
      <c r="F2841" s="8">
        <v>8.0</v>
      </c>
      <c r="G2841" s="8" t="s">
        <v>21</v>
      </c>
      <c r="H2841" s="9"/>
      <c r="I2841" s="9"/>
      <c r="N2841" s="10" t="str">
        <f t="shared" si="2"/>
        <v>21-5914(a)(4) - Trafficking in Contraband in Correctional Institution or Care and Treatment Facility; Distribute any item defined as contraband by secretary of corrections within any state correctional institution or facility; if done by employee such institution or facility</v>
      </c>
      <c r="O2841" s="10" t="str">
        <f t="shared" si="3"/>
        <v>Trafficking in Contraband in Correctional Institution or Care and Treatment Facility</v>
      </c>
    </row>
    <row r="2842">
      <c r="A2842" s="7" t="s">
        <v>5064</v>
      </c>
      <c r="B2842" s="8" t="s">
        <v>5060</v>
      </c>
      <c r="C2842" s="8">
        <v>5.0</v>
      </c>
      <c r="D2842" s="8">
        <v>7.0</v>
      </c>
      <c r="E2842" s="8">
        <v>7.0</v>
      </c>
      <c r="F2842" s="8">
        <v>8.0</v>
      </c>
      <c r="G2842" s="8" t="s">
        <v>21</v>
      </c>
      <c r="H2842" s="9"/>
      <c r="I2842" s="9"/>
      <c r="N2842" s="10" t="str">
        <f t="shared" si="2"/>
        <v>21-5914(a)(4) - Trafficking in Contraband in Correctional Institution or Care and Treatment Facility; Distribute any item defined as contraband by secretary of SRS within any care and treatment facility; if done by employee of such facility</v>
      </c>
      <c r="O2842" s="10" t="str">
        <f t="shared" si="3"/>
        <v>Trafficking in Contraband in Correctional Institution or Care and Treatment Facility</v>
      </c>
    </row>
    <row r="2843">
      <c r="A2843" s="7" t="s">
        <v>5065</v>
      </c>
      <c r="B2843" s="8" t="s">
        <v>5060</v>
      </c>
      <c r="C2843" s="8">
        <v>6.0</v>
      </c>
      <c r="D2843" s="8">
        <v>8.0</v>
      </c>
      <c r="E2843" s="8">
        <v>8.0</v>
      </c>
      <c r="F2843" s="8">
        <v>9.0</v>
      </c>
      <c r="G2843" s="8" t="s">
        <v>21</v>
      </c>
      <c r="H2843" s="9"/>
      <c r="I2843" s="9"/>
      <c r="N2843" s="10" t="str">
        <f t="shared" si="2"/>
        <v>21-5914(a)(4) - Trafficking in Contraband in Correctional Institution or Care and Treatment Facility; Distribute any item within any correctional institution or care and treatment facility</v>
      </c>
      <c r="O2843" s="10" t="str">
        <f t="shared" si="3"/>
        <v>Trafficking in Contraband in Correctional Institution or Care and Treatment Facility</v>
      </c>
    </row>
    <row r="2844">
      <c r="A2844" s="7" t="s">
        <v>5066</v>
      </c>
      <c r="B2844" s="8" t="s">
        <v>5067</v>
      </c>
      <c r="C2844" s="8">
        <v>6.0</v>
      </c>
      <c r="D2844" s="8">
        <v>8.0</v>
      </c>
      <c r="E2844" s="8">
        <v>8.0</v>
      </c>
      <c r="F2844" s="8">
        <v>9.0</v>
      </c>
      <c r="G2844" s="8" t="s">
        <v>21</v>
      </c>
      <c r="H2844" s="9"/>
      <c r="I2844" s="9"/>
      <c r="N2844" s="10" t="str">
        <f t="shared" si="2"/>
        <v>21-5914(a)(6) - Trafficking in Contraband in Correctional Institution or Care and Treatment Facility; Introduce into an institution in which a person is confined any object or thing adapted or designed for use in making an escape</v>
      </c>
      <c r="O2844" s="10" t="str">
        <f t="shared" si="3"/>
        <v>Trafficking in Contraband in Correctional Institution or Care and Treatment Facility</v>
      </c>
    </row>
    <row r="2845">
      <c r="A2845" s="7" t="s">
        <v>5068</v>
      </c>
      <c r="B2845" s="8" t="s">
        <v>5067</v>
      </c>
      <c r="C2845" s="8">
        <v>4.0</v>
      </c>
      <c r="D2845" s="8">
        <v>6.0</v>
      </c>
      <c r="E2845" s="8">
        <v>6.0</v>
      </c>
      <c r="F2845" s="8">
        <v>7.0</v>
      </c>
      <c r="G2845" s="8" t="s">
        <v>21</v>
      </c>
      <c r="H2845" s="9"/>
      <c r="I2845" s="9"/>
      <c r="N2845" s="10" t="str">
        <f t="shared" si="2"/>
        <v>21-5914(a)(6) - Trafficking in Contraband in Correctional Institution or Care and Treatment Facility; Introduce into an institution in which a person is confined any object or thing adapted or designed for use in making an escape; If introduced by employee or volunteer of the department of corrections, or employee or volunteer of a contractor under contract to provide services to the department of corrections</v>
      </c>
      <c r="O2845" s="10" t="str">
        <f t="shared" si="3"/>
        <v>Trafficking in Contraband in Correctional Institution or Care and Treatment Facility</v>
      </c>
    </row>
    <row r="2846">
      <c r="A2846" s="7" t="s">
        <v>5069</v>
      </c>
      <c r="B2846" s="8" t="s">
        <v>5067</v>
      </c>
      <c r="C2846" s="8">
        <v>5.0</v>
      </c>
      <c r="D2846" s="8">
        <v>7.0</v>
      </c>
      <c r="E2846" s="8">
        <v>7.0</v>
      </c>
      <c r="F2846" s="8">
        <v>8.0</v>
      </c>
      <c r="G2846" s="8" t="s">
        <v>21</v>
      </c>
      <c r="H2846" s="9"/>
      <c r="I2846" s="9"/>
      <c r="N2846" s="10" t="str">
        <f t="shared" si="2"/>
        <v>21-5914(a)(6) - Trafficking in Contraband in Correctional Institution or Care and Treatment Facility; Introduce into an institution in which a person is confined any object or thing adapted or designed for use in making an escape; If item defined as contraband by commissioner of juvenile justice authority into a juvenile correctional facility by an employee of such facility</v>
      </c>
      <c r="O2846" s="10" t="str">
        <f t="shared" si="3"/>
        <v>Trafficking in Contraband in Correctional Institution or Care and Treatment Facility</v>
      </c>
    </row>
    <row r="2847">
      <c r="A2847" s="7" t="s">
        <v>5070</v>
      </c>
      <c r="B2847" s="8" t="s">
        <v>5067</v>
      </c>
      <c r="C2847" s="8">
        <v>5.0</v>
      </c>
      <c r="D2847" s="8">
        <v>7.0</v>
      </c>
      <c r="E2847" s="8">
        <v>7.0</v>
      </c>
      <c r="F2847" s="8">
        <v>8.0</v>
      </c>
      <c r="G2847" s="8" t="s">
        <v>21</v>
      </c>
      <c r="H2847" s="9"/>
      <c r="I2847" s="9"/>
      <c r="N2847" s="10" t="str">
        <f t="shared" si="2"/>
        <v>21-5914(a)(6) - Trafficking in Contraband in Correctional Institution or Care and Treatment Facility; Introduce into an institution in which a person is confined any object or thing adapted or designed for use in making an escape; If item defined as contraband by secretary of corrections in a state correctional institution or facility and introduced by employee of such institution or facility</v>
      </c>
      <c r="O2847" s="10" t="str">
        <f t="shared" si="3"/>
        <v>Trafficking in Contraband in Correctional Institution or Care and Treatment Facility</v>
      </c>
    </row>
    <row r="2848">
      <c r="A2848" s="7" t="s">
        <v>5071</v>
      </c>
      <c r="B2848" s="8" t="s">
        <v>5067</v>
      </c>
      <c r="C2848" s="8">
        <v>5.0</v>
      </c>
      <c r="D2848" s="8">
        <v>7.0</v>
      </c>
      <c r="E2848" s="8">
        <v>7.0</v>
      </c>
      <c r="F2848" s="8">
        <v>8.0</v>
      </c>
      <c r="G2848" s="8" t="s">
        <v>21</v>
      </c>
      <c r="H2848" s="9"/>
      <c r="I2848" s="9"/>
      <c r="N2848" s="10" t="str">
        <f t="shared" si="2"/>
        <v>21-5914(a)(6) - Trafficking in Contraband in Correctional Institution or Care and Treatment Facility; Introduce into an institution in which a person is confined any object or thing adapted or designed for use in making an escape; If item defined as contraband by secretary of SRS in a care and treatment facility and introduced by employee of such facility</v>
      </c>
      <c r="O2848" s="10" t="str">
        <f t="shared" si="3"/>
        <v>Trafficking in Contraband in Correctional Institution or Care and Treatment Facility</v>
      </c>
    </row>
    <row r="2849">
      <c r="A2849" s="7" t="s">
        <v>5072</v>
      </c>
      <c r="B2849" s="8" t="s">
        <v>5067</v>
      </c>
      <c r="C2849" s="8">
        <v>5.0</v>
      </c>
      <c r="D2849" s="8">
        <v>7.0</v>
      </c>
      <c r="E2849" s="8">
        <v>7.0</v>
      </c>
      <c r="F2849" s="8">
        <v>8.0</v>
      </c>
      <c r="G2849" s="8" t="s">
        <v>21</v>
      </c>
      <c r="H2849" s="9"/>
      <c r="I2849" s="9"/>
      <c r="N2849" s="10" t="str">
        <f t="shared" si="2"/>
        <v>21-5914(a)(6) - Trafficking in Contraband in Correctional Institution or Care and Treatment Facility; Introduce into an institution in which a person is confined any object or thing adapted or designed for use in making an escape; If such is a firearm, ammunition, explosive or controlled substance</v>
      </c>
      <c r="O2849" s="10" t="str">
        <f t="shared" si="3"/>
        <v>Trafficking in Contraband in Correctional Institution or Care and Treatment Facility</v>
      </c>
    </row>
    <row r="2850">
      <c r="A2850" s="7" t="s">
        <v>5073</v>
      </c>
      <c r="B2850" s="8" t="s">
        <v>5067</v>
      </c>
      <c r="C2850" s="8">
        <v>4.0</v>
      </c>
      <c r="D2850" s="8">
        <v>6.0</v>
      </c>
      <c r="E2850" s="8">
        <v>6.0</v>
      </c>
      <c r="F2850" s="8">
        <v>7.0</v>
      </c>
      <c r="G2850" s="8" t="s">
        <v>21</v>
      </c>
      <c r="H2850" s="9"/>
      <c r="I2850" s="9"/>
      <c r="N2850" s="10" t="str">
        <f t="shared" si="2"/>
        <v>21-5914(a)(6) - Trafficking in Contraband in Correctional Institution or Care and Treatment Facility; Introduce into an institution in which a person is confined any object or thing adapted or designed for use in making an escape; if such item is a firearm, ammunition, explosive or controlled substance in a correctional institution or care and treatment facility and introduced by employee of such institution or facility</v>
      </c>
      <c r="O2850" s="10" t="str">
        <f t="shared" si="3"/>
        <v>Trafficking in Contraband in Correctional Institution or Care and Treatment Facility</v>
      </c>
    </row>
    <row r="2851">
      <c r="A2851" s="7" t="s">
        <v>5074</v>
      </c>
      <c r="B2851" s="8" t="s">
        <v>5075</v>
      </c>
      <c r="C2851" s="8">
        <v>5.0</v>
      </c>
      <c r="D2851" s="8">
        <v>7.0</v>
      </c>
      <c r="E2851" s="8">
        <v>7.0</v>
      </c>
      <c r="F2851" s="8">
        <v>8.0</v>
      </c>
      <c r="G2851" s="8" t="s">
        <v>21</v>
      </c>
      <c r="H2851" s="9"/>
      <c r="I2851" s="9"/>
      <c r="N2851" s="10" t="str">
        <f t="shared" si="2"/>
        <v>21-5914(a)(1) - Trafficking in Contraband in Correctional Institution or Care and Treatment Facility; Introduce or attempt to introduce any firearms, ammunition, explosives or controlled substance</v>
      </c>
      <c r="O2851" s="10" t="str">
        <f t="shared" si="3"/>
        <v>Trafficking in Contraband in Correctional Institution or Care and Treatment Facility</v>
      </c>
    </row>
    <row r="2852">
      <c r="A2852" s="7" t="s">
        <v>5076</v>
      </c>
      <c r="B2852" s="8" t="s">
        <v>5075</v>
      </c>
      <c r="C2852" s="8">
        <v>4.0</v>
      </c>
      <c r="D2852" s="8">
        <v>6.0</v>
      </c>
      <c r="E2852" s="8">
        <v>6.0</v>
      </c>
      <c r="F2852" s="8">
        <v>7.0</v>
      </c>
      <c r="G2852" s="8" t="s">
        <v>21</v>
      </c>
      <c r="H2852" s="9"/>
      <c r="I2852" s="9"/>
      <c r="N2852" s="10" t="str">
        <f t="shared" si="2"/>
        <v>21-5914(a)(1) - Trafficking in Contraband in Correctional Institution or Care and Treatment Facility; Introduce or attempt to introduce any firearms, ammunition, explosives or controlled substance; introduced by employee of correctional institution or in a care and treatment facility by employee of such</v>
      </c>
      <c r="O2852" s="10" t="str">
        <f t="shared" si="3"/>
        <v>Trafficking in Contraband in Correctional Institution or Care and Treatment Facility</v>
      </c>
    </row>
    <row r="2853">
      <c r="A2853" s="7" t="s">
        <v>5077</v>
      </c>
      <c r="B2853" s="8" t="s">
        <v>5075</v>
      </c>
      <c r="C2853" s="8">
        <v>5.0</v>
      </c>
      <c r="D2853" s="8">
        <v>7.0</v>
      </c>
      <c r="E2853" s="8">
        <v>7.0</v>
      </c>
      <c r="F2853" s="8">
        <v>8.0</v>
      </c>
      <c r="G2853" s="8" t="s">
        <v>21</v>
      </c>
      <c r="H2853" s="9"/>
      <c r="I2853" s="9"/>
      <c r="N2853" s="10" t="str">
        <f t="shared" si="2"/>
        <v>21-5914(a)(1) - Trafficking in Contraband in Correctional Institution or Care and Treatment Facility; Introduce or attempt to introduce any item defined as contraband by commissioner of juvenile justice authority into a juvenile correctional facility by an employee of such facility</v>
      </c>
      <c r="O2853" s="10" t="str">
        <f t="shared" si="3"/>
        <v>Trafficking in Contraband in Correctional Institution or Care and Treatment Facility</v>
      </c>
    </row>
    <row r="2854">
      <c r="A2854" s="7" t="s">
        <v>5078</v>
      </c>
      <c r="B2854" s="8" t="s">
        <v>5075</v>
      </c>
      <c r="C2854" s="8">
        <v>5.0</v>
      </c>
      <c r="D2854" s="8">
        <v>7.0</v>
      </c>
      <c r="E2854" s="8">
        <v>7.0</v>
      </c>
      <c r="F2854" s="8">
        <v>8.0</v>
      </c>
      <c r="G2854" s="8" t="s">
        <v>21</v>
      </c>
      <c r="H2854" s="9"/>
      <c r="I2854" s="9"/>
      <c r="N2854" s="10" t="str">
        <f t="shared" si="2"/>
        <v>21-5914(a)(1) - Trafficking in Contraband in Correctional Institution or Care and Treatment Facility; Introduce or attempt to introduce any item defined as contraband by secretary of corrections into a state correctional institution or facility by an employee of such institution or facility</v>
      </c>
      <c r="O2854" s="10" t="str">
        <f t="shared" si="3"/>
        <v>Trafficking in Contraband in Correctional Institution or Care and Treatment Facility</v>
      </c>
    </row>
    <row r="2855">
      <c r="A2855" s="7" t="s">
        <v>5079</v>
      </c>
      <c r="B2855" s="8" t="s">
        <v>5075</v>
      </c>
      <c r="C2855" s="8">
        <v>5.0</v>
      </c>
      <c r="D2855" s="8">
        <v>7.0</v>
      </c>
      <c r="E2855" s="8">
        <v>7.0</v>
      </c>
      <c r="F2855" s="8">
        <v>8.0</v>
      </c>
      <c r="G2855" s="8" t="s">
        <v>21</v>
      </c>
      <c r="H2855" s="9"/>
      <c r="I2855" s="9"/>
      <c r="N2855" s="10" t="str">
        <f t="shared" si="2"/>
        <v>21-5914(a)(1) - Trafficking in Contraband in Correctional Institution or Care and Treatment Facility; Introduce or attempt to introduce any item defined as contraband by secretary of SRS into a care and treatment facility by an employee of such facility</v>
      </c>
      <c r="O2855" s="10" t="str">
        <f t="shared" si="3"/>
        <v>Trafficking in Contraband in Correctional Institution or Care and Treatment Facility</v>
      </c>
    </row>
    <row r="2856">
      <c r="A2856" s="7" t="s">
        <v>5080</v>
      </c>
      <c r="B2856" s="8" t="s">
        <v>5075</v>
      </c>
      <c r="C2856" s="8">
        <v>6.0</v>
      </c>
      <c r="D2856" s="8">
        <v>8.0</v>
      </c>
      <c r="E2856" s="8">
        <v>8.0</v>
      </c>
      <c r="F2856" s="8">
        <v>9.0</v>
      </c>
      <c r="G2856" s="8" t="s">
        <v>21</v>
      </c>
      <c r="H2856" s="9"/>
      <c r="I2856" s="9"/>
      <c r="N2856" s="10" t="str">
        <f t="shared" si="2"/>
        <v>21-5914(a)(1) - Trafficking in Contraband in Correctional Institution or Care and Treatment Facility; Introduce or attempt to introduce any item into or upon the grounds of institution or facility</v>
      </c>
      <c r="O2856" s="10" t="str">
        <f t="shared" si="3"/>
        <v>Trafficking in Contraband in Correctional Institution or Care and Treatment Facility</v>
      </c>
    </row>
    <row r="2857">
      <c r="A2857" s="7" t="s">
        <v>5081</v>
      </c>
      <c r="B2857" s="8" t="s">
        <v>5082</v>
      </c>
      <c r="C2857" s="8">
        <v>6.0</v>
      </c>
      <c r="D2857" s="8">
        <v>8.0</v>
      </c>
      <c r="E2857" s="8">
        <v>8.0</v>
      </c>
      <c r="F2857" s="8">
        <v>9.0</v>
      </c>
      <c r="G2857" s="8" t="s">
        <v>21</v>
      </c>
      <c r="H2857" s="9"/>
      <c r="I2857" s="9"/>
      <c r="N2857" s="10" t="str">
        <f t="shared" si="2"/>
        <v>21-5914(a)(5) - Trafficking in Contraband in Correctional Institution or Care and Treatment Facility; Supplying to another who is in lawful custody any object or thing adapted or designed for use in making an escape</v>
      </c>
      <c r="O2857" s="10" t="str">
        <f t="shared" si="3"/>
        <v>Trafficking in Contraband in Correctional Institution or Care and Treatment Facility</v>
      </c>
    </row>
    <row r="2858">
      <c r="A2858" s="7" t="s">
        <v>5083</v>
      </c>
      <c r="B2858" s="8" t="s">
        <v>5082</v>
      </c>
      <c r="C2858" s="8">
        <v>5.0</v>
      </c>
      <c r="D2858" s="8">
        <v>7.0</v>
      </c>
      <c r="E2858" s="8">
        <v>7.0</v>
      </c>
      <c r="F2858" s="8">
        <v>8.0</v>
      </c>
      <c r="G2858" s="8" t="s">
        <v>21</v>
      </c>
      <c r="H2858" s="9"/>
      <c r="I2858" s="9"/>
      <c r="N2858" s="10" t="str">
        <f t="shared" si="2"/>
        <v>21-5914(a)(5) - Trafficking in Contraband in Correctional Institution or Care and Treatment Facility; Supplying to another who is in lawful custody any object or thing adapted or designed for use in making an escape; if item defined as contraband by commissioner of juvenile justice authority in a juvenile correctional facility and supplied by employee of such facility</v>
      </c>
      <c r="O2858" s="10" t="str">
        <f t="shared" si="3"/>
        <v>Trafficking in Contraband in Correctional Institution or Care and Treatment Facility</v>
      </c>
    </row>
    <row r="2859">
      <c r="A2859" s="7" t="s">
        <v>5084</v>
      </c>
      <c r="B2859" s="8" t="s">
        <v>5082</v>
      </c>
      <c r="C2859" s="8">
        <v>5.0</v>
      </c>
      <c r="D2859" s="8">
        <v>7.0</v>
      </c>
      <c r="E2859" s="8">
        <v>7.0</v>
      </c>
      <c r="F2859" s="8">
        <v>8.0</v>
      </c>
      <c r="G2859" s="8" t="s">
        <v>21</v>
      </c>
      <c r="H2859" s="9"/>
      <c r="I2859" s="9"/>
      <c r="N2859" s="10" t="str">
        <f t="shared" si="2"/>
        <v>21-5914(a)(5) - Trafficking in Contraband in Correctional Institution or Care and Treatment Facility; Supplying to another who is in lawful custody any object or thing adapted or designed for use in making an escape; if item defined as contraband by secretary of corrections in a state correctional institution or facility and supplied by employee of such institution or facility</v>
      </c>
      <c r="O2859" s="10" t="str">
        <f t="shared" si="3"/>
        <v>Trafficking in Contraband in Correctional Institution or Care and Treatment Facility</v>
      </c>
    </row>
    <row r="2860">
      <c r="A2860" s="7" t="s">
        <v>5085</v>
      </c>
      <c r="B2860" s="8" t="s">
        <v>5082</v>
      </c>
      <c r="C2860" s="8">
        <v>5.0</v>
      </c>
      <c r="D2860" s="8">
        <v>7.0</v>
      </c>
      <c r="E2860" s="8">
        <v>7.0</v>
      </c>
      <c r="F2860" s="8">
        <v>8.0</v>
      </c>
      <c r="G2860" s="8" t="s">
        <v>21</v>
      </c>
      <c r="H2860" s="9"/>
      <c r="I2860" s="9"/>
      <c r="N2860" s="10" t="str">
        <f t="shared" si="2"/>
        <v>21-5914(a)(5) - Trafficking in Contraband in Correctional Institution or Care and Treatment Facility; Supplying to another who is in lawful custody any object or thing adapted or designed for use in making an escape; if item defined as contraband by secretary of SRS in a care and treatment facility and supplied by employee of such facility</v>
      </c>
      <c r="O2860" s="10" t="str">
        <f t="shared" si="3"/>
        <v>Trafficking in Contraband in Correctional Institution or Care and Treatment Facility</v>
      </c>
    </row>
    <row r="2861">
      <c r="A2861" s="7" t="s">
        <v>5086</v>
      </c>
      <c r="B2861" s="8" t="s">
        <v>5082</v>
      </c>
      <c r="C2861" s="8">
        <v>5.0</v>
      </c>
      <c r="D2861" s="8">
        <v>7.0</v>
      </c>
      <c r="E2861" s="8">
        <v>7.0</v>
      </c>
      <c r="F2861" s="8">
        <v>8.0</v>
      </c>
      <c r="G2861" s="8" t="s">
        <v>21</v>
      </c>
      <c r="H2861" s="9"/>
      <c r="I2861" s="9"/>
      <c r="N2861" s="10" t="str">
        <f t="shared" si="2"/>
        <v>21-5914(a)(5) - Trafficking in Contraband in Correctional Institution or Care and Treatment Facility; Supplying to another who is in lawful custody any object or thing adapted or designed for use in making an escape; if such item is a firearm, ammunition, explosive or controlled substance</v>
      </c>
      <c r="O2861" s="10" t="str">
        <f t="shared" si="3"/>
        <v>Trafficking in Contraband in Correctional Institution or Care and Treatment Facility</v>
      </c>
    </row>
    <row r="2862">
      <c r="A2862" s="7" t="s">
        <v>5087</v>
      </c>
      <c r="B2862" s="8" t="s">
        <v>5082</v>
      </c>
      <c r="C2862" s="8">
        <v>4.0</v>
      </c>
      <c r="D2862" s="8">
        <v>6.0</v>
      </c>
      <c r="E2862" s="8">
        <v>6.0</v>
      </c>
      <c r="F2862" s="8">
        <v>7.0</v>
      </c>
      <c r="G2862" s="8" t="s">
        <v>21</v>
      </c>
      <c r="H2862" s="9"/>
      <c r="I2862" s="9"/>
      <c r="N2862" s="10" t="str">
        <f t="shared" si="2"/>
        <v>21-5914(a)(5) - Trafficking in Contraband in Correctional Institution or Care and Treatment Facility; Supplying to another who is in lawful custody any object or thing adapted or designed for use in making an escape; if such item is a firearm, ammunition, explosive or controlled substance in a correctional institution or care and treatment facility and supplied by employee of such institution or facility</v>
      </c>
      <c r="O2862" s="10" t="str">
        <f t="shared" si="3"/>
        <v>Trafficking in Contraband in Correctional Institution or Care and Treatment Facility</v>
      </c>
    </row>
    <row r="2863">
      <c r="A2863" s="7" t="s">
        <v>5088</v>
      </c>
      <c r="B2863" s="8" t="s">
        <v>5082</v>
      </c>
      <c r="C2863" s="8">
        <v>4.0</v>
      </c>
      <c r="D2863" s="8">
        <v>6.0</v>
      </c>
      <c r="E2863" s="8">
        <v>6.0</v>
      </c>
      <c r="F2863" s="8">
        <v>7.0</v>
      </c>
      <c r="G2863" s="8" t="s">
        <v>21</v>
      </c>
      <c r="H2863" s="9"/>
      <c r="I2863" s="9"/>
      <c r="N2863" s="10" t="str">
        <f t="shared" si="2"/>
        <v>21-5914(a)(5) - Trafficking in Contraband in Correctional Institution or Care and Treatment Facility; Supplying to another who is in lawful custody any object or thing adapted or designed for use in making an escape; if supplied by employee or volunteer of the department of corrections, or employee or volunteer of a contractor under contract to provide services to the department of corrections</v>
      </c>
      <c r="O2863" s="10" t="str">
        <f t="shared" si="3"/>
        <v>Trafficking in Contraband in Correctional Institution or Care and Treatment Facility</v>
      </c>
    </row>
    <row r="2864">
      <c r="A2864" s="7" t="s">
        <v>5089</v>
      </c>
      <c r="B2864" s="8" t="s">
        <v>5090</v>
      </c>
      <c r="C2864" s="8">
        <v>4.0</v>
      </c>
      <c r="D2864" s="8">
        <v>6.0</v>
      </c>
      <c r="E2864" s="8">
        <v>6.0</v>
      </c>
      <c r="F2864" s="8">
        <v>7.0</v>
      </c>
      <c r="G2864" s="8" t="s">
        <v>21</v>
      </c>
      <c r="H2864" s="9"/>
      <c r="I2864" s="9"/>
      <c r="N2864" s="10" t="str">
        <f t="shared" si="2"/>
        <v>21-5914(a)(2) - Trafficking in Contraband in Correctional Institution or Care and Treatment Facility; Taking, sending or attempting to take or send a firearm, ammunition, explosive or controlled substance from correctional institution or care and treatment facility; if done by employee of such facility</v>
      </c>
      <c r="O2864" s="10" t="str">
        <f t="shared" si="3"/>
        <v>Trafficking in Contraband in Correctional Institution or Care and Treatment Facility</v>
      </c>
    </row>
    <row r="2865">
      <c r="A2865" s="7" t="s">
        <v>5091</v>
      </c>
      <c r="B2865" s="8" t="s">
        <v>5090</v>
      </c>
      <c r="C2865" s="8">
        <v>5.0</v>
      </c>
      <c r="D2865" s="8">
        <v>7.0</v>
      </c>
      <c r="E2865" s="8">
        <v>7.0</v>
      </c>
      <c r="F2865" s="8">
        <v>8.0</v>
      </c>
      <c r="G2865" s="8" t="s">
        <v>21</v>
      </c>
      <c r="H2865" s="9"/>
      <c r="I2865" s="9"/>
      <c r="N2865" s="10" t="str">
        <f t="shared" si="2"/>
        <v>21-5914(a)(2) - Trafficking in Contraband in Correctional Institution or Care and Treatment Facility; Taking, sending or attempting to take or send any item defined as contraband by commissioner of juvenile justice authority from juvenile correctional facility; if done by employee of such facility</v>
      </c>
      <c r="O2865" s="10" t="str">
        <f t="shared" si="3"/>
        <v>Trafficking in Contraband in Correctional Institution or Care and Treatment Facility</v>
      </c>
    </row>
    <row r="2866">
      <c r="A2866" s="7" t="s">
        <v>5092</v>
      </c>
      <c r="B2866" s="8" t="s">
        <v>5090</v>
      </c>
      <c r="C2866" s="8">
        <v>5.0</v>
      </c>
      <c r="D2866" s="8">
        <v>7.0</v>
      </c>
      <c r="E2866" s="8">
        <v>7.0</v>
      </c>
      <c r="F2866" s="8">
        <v>8.0</v>
      </c>
      <c r="G2866" s="8" t="s">
        <v>21</v>
      </c>
      <c r="H2866" s="9"/>
      <c r="I2866" s="9"/>
      <c r="N2866" s="10" t="str">
        <f t="shared" si="2"/>
        <v>21-5914(a)(2) - Trafficking in Contraband in Correctional Institution or Care and Treatment Facility; Taking, sending or attempting to take or send any item defined as contraband by secretary of corrections from state correctional institution or facility; if done by employee of such institution or facility</v>
      </c>
      <c r="O2866" s="10" t="str">
        <f t="shared" si="3"/>
        <v>Trafficking in Contraband in Correctional Institution or Care and Treatment Facility</v>
      </c>
    </row>
    <row r="2867">
      <c r="A2867" s="7" t="s">
        <v>5093</v>
      </c>
      <c r="B2867" s="8" t="s">
        <v>5090</v>
      </c>
      <c r="C2867" s="8">
        <v>5.0</v>
      </c>
      <c r="D2867" s="8">
        <v>7.0</v>
      </c>
      <c r="E2867" s="8">
        <v>7.0</v>
      </c>
      <c r="F2867" s="8">
        <v>8.0</v>
      </c>
      <c r="G2867" s="8" t="s">
        <v>21</v>
      </c>
      <c r="H2867" s="9"/>
      <c r="I2867" s="9"/>
      <c r="N2867" s="10" t="str">
        <f t="shared" si="2"/>
        <v>21-5914(a)(2) - Trafficking in Contraband in Correctional Institution or Care and Treatment Facility; Taking, sending or attempting to take or send any item defined as contraband by secretary of SRS from care or treatment facility; if done by employee of such facility</v>
      </c>
      <c r="O2867" s="10" t="str">
        <f t="shared" si="3"/>
        <v>Trafficking in Contraband in Correctional Institution or Care and Treatment Facility</v>
      </c>
    </row>
    <row r="2868">
      <c r="A2868" s="7" t="s">
        <v>5094</v>
      </c>
      <c r="B2868" s="8" t="s">
        <v>5090</v>
      </c>
      <c r="C2868" s="8">
        <v>6.0</v>
      </c>
      <c r="D2868" s="8">
        <v>8.0</v>
      </c>
      <c r="E2868" s="8">
        <v>8.0</v>
      </c>
      <c r="F2868" s="8">
        <v>9.0</v>
      </c>
      <c r="G2868" s="8" t="s">
        <v>21</v>
      </c>
      <c r="H2868" s="9"/>
      <c r="I2868" s="9"/>
      <c r="N2868" s="10" t="str">
        <f t="shared" si="2"/>
        <v>21-5914(a)(2) - Trafficking in Contraband in Correctional Institution or Care and Treatment Facility; Taking, sending or attempting to take or send any item from institution or facility</v>
      </c>
      <c r="O2868" s="10" t="str">
        <f t="shared" si="3"/>
        <v>Trafficking in Contraband in Correctional Institution or Care and Treatment Facility</v>
      </c>
    </row>
    <row r="2869">
      <c r="A2869" s="7" t="s">
        <v>5095</v>
      </c>
      <c r="B2869" s="8" t="s">
        <v>5090</v>
      </c>
      <c r="C2869" s="8">
        <v>5.0</v>
      </c>
      <c r="D2869" s="8">
        <v>7.0</v>
      </c>
      <c r="E2869" s="8">
        <v>7.0</v>
      </c>
      <c r="F2869" s="8">
        <v>8.0</v>
      </c>
      <c r="G2869" s="8" t="s">
        <v>21</v>
      </c>
      <c r="H2869" s="9"/>
      <c r="I2869" s="9"/>
      <c r="N2869" s="10" t="str">
        <f t="shared" si="2"/>
        <v>21-5914(a)(2) - Trafficking in Contraband in Correctional Institution or Care and Treatment Facility; Taking, sending or attempting to take or send firearm, ammunition, explosive or controlled substance from institution or facility</v>
      </c>
      <c r="O2869" s="10" t="str">
        <f t="shared" si="3"/>
        <v>Trafficking in Contraband in Correctional Institution or Care and Treatment Facility</v>
      </c>
    </row>
    <row r="2870">
      <c r="A2870" s="7" t="s">
        <v>5096</v>
      </c>
      <c r="B2870" s="8" t="s">
        <v>5097</v>
      </c>
      <c r="C2870" s="8">
        <v>5.0</v>
      </c>
      <c r="D2870" s="8">
        <v>7.0</v>
      </c>
      <c r="E2870" s="8">
        <v>7.0</v>
      </c>
      <c r="F2870" s="8">
        <v>8.0</v>
      </c>
      <c r="G2870" s="8" t="s">
        <v>21</v>
      </c>
      <c r="H2870" s="9"/>
      <c r="I2870" s="9"/>
      <c r="N2870" s="10" t="str">
        <f t="shared" si="2"/>
        <v>21-5914(a)(3) - Trafficking in Contraband in Correctional Institution or Care and Treatment Facility; Unauthorized possession of any firearm, ammunition, explosive or controlled substance while in any correctional institution or care and treatment facility</v>
      </c>
      <c r="O2870" s="10" t="str">
        <f t="shared" si="3"/>
        <v>Trafficking in Contraband in Correctional Institution or Care and Treatment Facility</v>
      </c>
    </row>
    <row r="2871">
      <c r="A2871" s="7" t="s">
        <v>5098</v>
      </c>
      <c r="B2871" s="8" t="s">
        <v>5097</v>
      </c>
      <c r="C2871" s="8">
        <v>4.0</v>
      </c>
      <c r="D2871" s="8">
        <v>6.0</v>
      </c>
      <c r="E2871" s="8">
        <v>6.0</v>
      </c>
      <c r="F2871" s="8">
        <v>7.0</v>
      </c>
      <c r="G2871" s="8" t="s">
        <v>21</v>
      </c>
      <c r="H2871" s="9"/>
      <c r="I2871" s="9"/>
      <c r="N2871" s="10" t="str">
        <f t="shared" si="2"/>
        <v>21-5914(a)(3) - Trafficking in Contraband in Correctional Institution or Care and Treatment Facility; Unauthorized possession of any firearm, ammunition, explosive or controlled substance while in any correctional institution or care and treatment facility; if done by employee of such facility</v>
      </c>
      <c r="O2871" s="10" t="str">
        <f t="shared" si="3"/>
        <v>Trafficking in Contraband in Correctional Institution or Care and Treatment Facility</v>
      </c>
    </row>
    <row r="2872">
      <c r="A2872" s="7" t="s">
        <v>5099</v>
      </c>
      <c r="B2872" s="8" t="s">
        <v>5097</v>
      </c>
      <c r="C2872" s="8">
        <v>5.0</v>
      </c>
      <c r="D2872" s="8">
        <v>7.0</v>
      </c>
      <c r="E2872" s="8">
        <v>7.0</v>
      </c>
      <c r="F2872" s="8">
        <v>8.0</v>
      </c>
      <c r="G2872" s="8" t="s">
        <v>21</v>
      </c>
      <c r="H2872" s="9"/>
      <c r="I2872" s="9"/>
      <c r="N2872" s="10" t="str">
        <f t="shared" si="2"/>
        <v>21-5914(a)(3) - Trafficking in Contraband in Correctional Institution or Care and Treatment Facility; Unauthorized possession of any item defined as contraband by commissioner of juvenile justice authority while in any juvenile correctional facility; if done by employee of such facility</v>
      </c>
      <c r="O2872" s="10" t="str">
        <f t="shared" si="3"/>
        <v>Trafficking in Contraband in Correctional Institution or Care and Treatment Facility</v>
      </c>
    </row>
    <row r="2873">
      <c r="A2873" s="7" t="s">
        <v>5100</v>
      </c>
      <c r="B2873" s="8" t="s">
        <v>5097</v>
      </c>
      <c r="C2873" s="8">
        <v>5.0</v>
      </c>
      <c r="D2873" s="8">
        <v>7.0</v>
      </c>
      <c r="E2873" s="8">
        <v>7.0</v>
      </c>
      <c r="F2873" s="8">
        <v>8.0</v>
      </c>
      <c r="G2873" s="8" t="s">
        <v>21</v>
      </c>
      <c r="H2873" s="9"/>
      <c r="I2873" s="9"/>
      <c r="N2873" s="10" t="str">
        <f t="shared" si="2"/>
        <v>21-5914(a)(3) - Trafficking in Contraband in Correctional Institution or Care and Treatment Facility; Unauthorized possession of any item defined as contraband by secretary of corrections while in any correctional institution or facility; if done by employee of such facility</v>
      </c>
      <c r="O2873" s="10" t="str">
        <f t="shared" si="3"/>
        <v>Trafficking in Contraband in Correctional Institution or Care and Treatment Facility</v>
      </c>
    </row>
    <row r="2874">
      <c r="A2874" s="7" t="s">
        <v>5101</v>
      </c>
      <c r="B2874" s="8" t="s">
        <v>5097</v>
      </c>
      <c r="C2874" s="8">
        <v>5.0</v>
      </c>
      <c r="D2874" s="8">
        <v>7.0</v>
      </c>
      <c r="E2874" s="8">
        <v>7.0</v>
      </c>
      <c r="F2874" s="8">
        <v>8.0</v>
      </c>
      <c r="G2874" s="8" t="s">
        <v>21</v>
      </c>
      <c r="H2874" s="9"/>
      <c r="I2874" s="9"/>
      <c r="N2874" s="10" t="str">
        <f t="shared" si="2"/>
        <v>21-5914(a)(3) - Trafficking in Contraband in Correctional Institution or Care and Treatment Facility; Unauthorized possession of any item defined as contraband by secretary of SRS while in care and treatment facility; if done by employee of such facility</v>
      </c>
      <c r="O2874" s="10" t="str">
        <f t="shared" si="3"/>
        <v>Trafficking in Contraband in Correctional Institution or Care and Treatment Facility</v>
      </c>
    </row>
    <row r="2875">
      <c r="A2875" s="7" t="s">
        <v>5102</v>
      </c>
      <c r="B2875" s="8" t="s">
        <v>5097</v>
      </c>
      <c r="C2875" s="8">
        <v>6.0</v>
      </c>
      <c r="D2875" s="8">
        <v>8.0</v>
      </c>
      <c r="E2875" s="8">
        <v>8.0</v>
      </c>
      <c r="F2875" s="8">
        <v>9.0</v>
      </c>
      <c r="G2875" s="8" t="s">
        <v>21</v>
      </c>
      <c r="H2875" s="9"/>
      <c r="I2875" s="9"/>
      <c r="N2875" s="10" t="str">
        <f t="shared" si="2"/>
        <v>21-5914(a)(3) - Trafficking in Contraband in Correctional Institution or Care and Treatment Facility; Unauthorized possession of any item while in any correctional institution or care and treatment facility</v>
      </c>
      <c r="O2875" s="10" t="str">
        <f t="shared" si="3"/>
        <v>Trafficking in Contraband in Correctional Institution or Care and Treatment Facility</v>
      </c>
    </row>
    <row r="2876">
      <c r="A2876" s="7" t="s">
        <v>5103</v>
      </c>
      <c r="B2876" s="8" t="s">
        <v>5104</v>
      </c>
      <c r="C2876" s="8">
        <v>7.0</v>
      </c>
      <c r="D2876" s="8">
        <v>9.0</v>
      </c>
      <c r="E2876" s="8">
        <v>9.0</v>
      </c>
      <c r="F2876" s="8">
        <v>10.0</v>
      </c>
      <c r="G2876" s="8" t="s">
        <v>21</v>
      </c>
      <c r="H2876" s="9"/>
      <c r="I2876" s="9"/>
      <c r="N2876" s="10" t="str">
        <f t="shared" si="2"/>
        <v>65-4167(a) - Trafficking; Counterfeit Drugs; value $25,000 or more</v>
      </c>
      <c r="O2876" s="10" t="str">
        <f t="shared" si="3"/>
        <v>Trafficking</v>
      </c>
    </row>
    <row r="2877">
      <c r="A2877" s="7" t="s">
        <v>5105</v>
      </c>
      <c r="B2877" s="8" t="s">
        <v>5104</v>
      </c>
      <c r="C2877" s="8">
        <v>9.0</v>
      </c>
      <c r="D2877" s="8">
        <v>10.0</v>
      </c>
      <c r="E2877" s="8">
        <v>10.0</v>
      </c>
      <c r="F2877" s="8">
        <v>10.0</v>
      </c>
      <c r="G2877" s="8" t="s">
        <v>21</v>
      </c>
      <c r="H2877" s="9"/>
      <c r="I2877" s="9"/>
      <c r="N2877" s="10" t="str">
        <f t="shared" si="2"/>
        <v>65-4167(a) - Trafficking; Counterfeit Drugs; value at least $500 but less than $25,000</v>
      </c>
      <c r="O2877" s="10" t="str">
        <f t="shared" si="3"/>
        <v>Trafficking</v>
      </c>
    </row>
    <row r="2878">
      <c r="A2878" s="7" t="s">
        <v>5106</v>
      </c>
      <c r="B2878" s="8" t="s">
        <v>5104</v>
      </c>
      <c r="C2878" s="8" t="s">
        <v>27</v>
      </c>
      <c r="D2878" s="8" t="s">
        <v>28</v>
      </c>
      <c r="E2878" s="8" t="s">
        <v>19</v>
      </c>
      <c r="F2878" s="8" t="s">
        <v>20</v>
      </c>
      <c r="G2878" s="8" t="s">
        <v>21</v>
      </c>
      <c r="H2878" s="9"/>
      <c r="I2878" s="9"/>
      <c r="J2878" s="10">
        <f t="shared" ref="J2878:M2878" si="1741">ifs(OR($H2878="R",$I2878="N"),"N/A",OR(C2878="A",C2878="B",C2878="C",C2878="U"),3,TRUE,"FLAG")</f>
        <v>3</v>
      </c>
      <c r="K2878" s="10">
        <f t="shared" si="1741"/>
        <v>3</v>
      </c>
      <c r="L2878" s="10">
        <f t="shared" si="1741"/>
        <v>3</v>
      </c>
      <c r="M2878" s="10" t="str">
        <f t="shared" si="1741"/>
        <v>FLAG</v>
      </c>
      <c r="N2878" s="10" t="str">
        <f t="shared" si="2"/>
        <v>65-4167(a) - Trafficking; Counterfeit Drugs; value less than $500</v>
      </c>
      <c r="O2878" s="10" t="str">
        <f t="shared" si="3"/>
        <v>Trafficking</v>
      </c>
    </row>
    <row r="2879">
      <c r="A2879" s="7" t="s">
        <v>5107</v>
      </c>
      <c r="B2879" s="8" t="s">
        <v>5108</v>
      </c>
      <c r="C2879" s="8" t="s">
        <v>178</v>
      </c>
      <c r="D2879" s="8">
        <v>1.0</v>
      </c>
      <c r="E2879" s="8">
        <v>2.0</v>
      </c>
      <c r="F2879" s="8">
        <v>3.0</v>
      </c>
      <c r="G2879" s="8" t="s">
        <v>24</v>
      </c>
      <c r="H2879" s="8" t="s">
        <v>109</v>
      </c>
      <c r="I2879" s="9"/>
      <c r="N2879" s="10" t="str">
        <f t="shared" si="2"/>
        <v>21-5901(a) - Treason; Levying war against the state, adhering to its enemies, or giving them aid and comfort</v>
      </c>
      <c r="O2879" s="10" t="str">
        <f t="shared" si="3"/>
        <v>Treason</v>
      </c>
    </row>
    <row r="2880">
      <c r="A2880" s="7" t="s">
        <v>5109</v>
      </c>
      <c r="B2880" s="8" t="s">
        <v>5110</v>
      </c>
      <c r="C2880" s="8" t="s">
        <v>27</v>
      </c>
      <c r="D2880" s="8" t="s">
        <v>28</v>
      </c>
      <c r="E2880" s="8" t="s">
        <v>19</v>
      </c>
      <c r="F2880" s="8" t="s">
        <v>20</v>
      </c>
      <c r="G2880" s="8" t="s">
        <v>21</v>
      </c>
      <c r="H2880" s="9"/>
      <c r="I2880" s="9"/>
      <c r="J2880" s="10">
        <f t="shared" ref="J2880:M2880" si="1742">ifs(OR($H2880="R",$I2880="N"),"N/A",OR(C2880="A",C2880="B",C2880="C",C2880="U"),3,TRUE,"FLAG")</f>
        <v>3</v>
      </c>
      <c r="K2880" s="10">
        <f t="shared" si="1742"/>
        <v>3</v>
      </c>
      <c r="L2880" s="10">
        <f t="shared" si="1742"/>
        <v>3</v>
      </c>
      <c r="M2880" s="10" t="str">
        <f t="shared" si="1742"/>
        <v>FLAG</v>
      </c>
      <c r="N2880" s="10" t="str">
        <f t="shared" si="2"/>
        <v>21-5809(a)(1) - Trespass on Railroad Property; Entering or remaining on property without consent of owner</v>
      </c>
      <c r="O2880" s="10" t="str">
        <f t="shared" si="3"/>
        <v>Trespass on Railroad Property</v>
      </c>
    </row>
    <row r="2881">
      <c r="A2881" s="7" t="s">
        <v>5111</v>
      </c>
      <c r="B2881" s="8" t="s">
        <v>5110</v>
      </c>
      <c r="C2881" s="8">
        <v>8.0</v>
      </c>
      <c r="D2881" s="8">
        <v>10.0</v>
      </c>
      <c r="E2881" s="8">
        <v>10.0</v>
      </c>
      <c r="F2881" s="8">
        <v>10.0</v>
      </c>
      <c r="G2881" s="8" t="s">
        <v>21</v>
      </c>
      <c r="H2881" s="9"/>
      <c r="I2881" s="9"/>
      <c r="N2881" s="10" t="str">
        <f t="shared" si="2"/>
        <v>21-5809(a)(1) - Trespass on Railroad Property; Knowingly trespass on railroad property without consent; damage more than $1,500</v>
      </c>
      <c r="O2881" s="10" t="str">
        <f t="shared" si="3"/>
        <v>Trespass on Railroad Property</v>
      </c>
    </row>
    <row r="2882">
      <c r="A2882" s="7" t="s">
        <v>5112</v>
      </c>
      <c r="B2882" s="8" t="s">
        <v>1717</v>
      </c>
      <c r="C2882" s="8">
        <v>8.0</v>
      </c>
      <c r="D2882" s="8">
        <v>10.0</v>
      </c>
      <c r="E2882" s="8">
        <v>10.0</v>
      </c>
      <c r="F2882" s="8">
        <v>10.0</v>
      </c>
      <c r="G2882" s="8" t="s">
        <v>21</v>
      </c>
      <c r="H2882" s="9"/>
      <c r="I2882" s="9"/>
      <c r="N2882" s="10" t="str">
        <f t="shared" si="2"/>
        <v>21-5809(a)(2) - Trespass on Railroad Property; Recklessly causing derailment of a train, railroad car or rail-mounted work equipment; damage more than $1,500</v>
      </c>
      <c r="O2882" s="10" t="str">
        <f t="shared" si="3"/>
        <v>Trespass on Railroad Property</v>
      </c>
    </row>
    <row r="2883">
      <c r="A2883" s="7" t="s">
        <v>5113</v>
      </c>
      <c r="B2883" s="8" t="s">
        <v>5114</v>
      </c>
      <c r="C2883" s="8" t="s">
        <v>18</v>
      </c>
      <c r="D2883" s="8" t="s">
        <v>18</v>
      </c>
      <c r="E2883" s="8" t="s">
        <v>19</v>
      </c>
      <c r="F2883" s="8" t="s">
        <v>20</v>
      </c>
      <c r="G2883" s="8" t="s">
        <v>21</v>
      </c>
      <c r="H2883" s="9"/>
      <c r="I2883" s="9"/>
      <c r="J2883" s="10">
        <f t="shared" ref="J2883:M2883" si="1743">ifs(OR($H2883="R",$I2883="N"),"N/A",OR(C2883="A",C2883="B",C2883="C",C2883="U"),3,TRUE,"FLAG")</f>
        <v>3</v>
      </c>
      <c r="K2883" s="10">
        <f t="shared" si="1743"/>
        <v>3</v>
      </c>
      <c r="L2883" s="10">
        <f t="shared" si="1743"/>
        <v>3</v>
      </c>
      <c r="M2883" s="10" t="str">
        <f t="shared" si="1743"/>
        <v>FLAG</v>
      </c>
      <c r="N2883" s="10" t="str">
        <f t="shared" si="2"/>
        <v>2-140 - Trespassing; On fairgrounds</v>
      </c>
      <c r="O2883" s="10" t="str">
        <f t="shared" si="3"/>
        <v>Trespassing</v>
      </c>
    </row>
    <row r="2884">
      <c r="A2884" s="7" t="s">
        <v>5115</v>
      </c>
      <c r="B2884" s="8" t="s">
        <v>5116</v>
      </c>
      <c r="C2884" s="8" t="s">
        <v>27</v>
      </c>
      <c r="D2884" s="8" t="s">
        <v>28</v>
      </c>
      <c r="E2884" s="8" t="s">
        <v>19</v>
      </c>
      <c r="F2884" s="8" t="s">
        <v>20</v>
      </c>
      <c r="G2884" s="8" t="s">
        <v>21</v>
      </c>
      <c r="H2884" s="9"/>
      <c r="I2884" s="9"/>
      <c r="J2884" s="10">
        <f t="shared" ref="J2884:M2884" si="1744">ifs(OR($H2884="R",$I2884="N"),"N/A",OR(C2884="A",C2884="B",C2884="C",C2884="U"),3,TRUE,"FLAG")</f>
        <v>3</v>
      </c>
      <c r="K2884" s="10">
        <f t="shared" si="1744"/>
        <v>3</v>
      </c>
      <c r="L2884" s="10">
        <f t="shared" si="1744"/>
        <v>3</v>
      </c>
      <c r="M2884" s="10" t="str">
        <f t="shared" si="1744"/>
        <v>FLAG</v>
      </c>
      <c r="N2884" s="10" t="str">
        <f t="shared" si="2"/>
        <v>74-9809(b)(3) - Tribal Gaming Oversight; Executive director or employee of the state gaming agency knowingly accepting compensation, gift, loan, entertainment, favor or service from person or entity licensed pursuant to a tribal-state gaming compact, unless exception applies</v>
      </c>
      <c r="O2884" s="10" t="str">
        <f t="shared" si="3"/>
        <v>Tribal Gaming Oversight</v>
      </c>
    </row>
    <row r="2885">
      <c r="A2885" s="7" t="s">
        <v>5117</v>
      </c>
      <c r="B2885" s="8" t="s">
        <v>5118</v>
      </c>
      <c r="C2885" s="8" t="s">
        <v>27</v>
      </c>
      <c r="D2885" s="8" t="s">
        <v>28</v>
      </c>
      <c r="E2885" s="8" t="s">
        <v>19</v>
      </c>
      <c r="F2885" s="8" t="s">
        <v>20</v>
      </c>
      <c r="G2885" s="8" t="s">
        <v>21</v>
      </c>
      <c r="H2885" s="9"/>
      <c r="I2885" s="9"/>
      <c r="J2885" s="10">
        <f t="shared" ref="J2885:M2885" si="1745">ifs(OR($H2885="R",$I2885="N"),"N/A",OR(C2885="A",C2885="B",C2885="C",C2885="U"),3,TRUE,"FLAG")</f>
        <v>3</v>
      </c>
      <c r="K2885" s="10">
        <f t="shared" si="1745"/>
        <v>3</v>
      </c>
      <c r="L2885" s="10">
        <f t="shared" si="1745"/>
        <v>3</v>
      </c>
      <c r="M2885" s="10" t="str">
        <f t="shared" si="1745"/>
        <v>FLAG</v>
      </c>
      <c r="N2885" s="10" t="str">
        <f t="shared" si="2"/>
        <v>74-9809(b)(2) - Tribal Gaming Oversight; Executive director or employee of the state gaming agency knowingly participating as an owner, operator, manager or consultant in tribal gaming in Kansas</v>
      </c>
      <c r="O2885" s="10" t="str">
        <f t="shared" si="3"/>
        <v>Tribal Gaming Oversight</v>
      </c>
    </row>
    <row r="2886">
      <c r="A2886" s="7" t="s">
        <v>5119</v>
      </c>
      <c r="B2886" s="8" t="s">
        <v>5120</v>
      </c>
      <c r="C2886" s="8" t="s">
        <v>27</v>
      </c>
      <c r="D2886" s="8" t="s">
        <v>28</v>
      </c>
      <c r="E2886" s="8" t="s">
        <v>19</v>
      </c>
      <c r="F2886" s="8" t="s">
        <v>20</v>
      </c>
      <c r="G2886" s="8" t="s">
        <v>21</v>
      </c>
      <c r="H2886" s="9"/>
      <c r="I2886" s="9"/>
      <c r="J2886" s="10">
        <f t="shared" ref="J2886:M2886" si="1746">ifs(OR($H2886="R",$I2886="N"),"N/A",OR(C2886="A",C2886="B",C2886="C",C2886="U"),3,TRUE,"FLAG")</f>
        <v>3</v>
      </c>
      <c r="K2886" s="10">
        <f t="shared" si="1746"/>
        <v>3</v>
      </c>
      <c r="L2886" s="10">
        <f t="shared" si="1746"/>
        <v>3</v>
      </c>
      <c r="M2886" s="10" t="str">
        <f t="shared" si="1746"/>
        <v>FLAG</v>
      </c>
      <c r="N2886" s="10" t="str">
        <f t="shared" si="2"/>
        <v>74-9809(b)(1) - Tribal Gaming Oversight; Executive director or employee of the state gaming agency knowingly placing a wager or betting or playing an electronic game of chance at a tribal gaming facility</v>
      </c>
      <c r="O2886" s="10" t="str">
        <f t="shared" si="3"/>
        <v>Tribal Gaming Oversight</v>
      </c>
    </row>
    <row r="2887">
      <c r="A2887" s="7" t="s">
        <v>5121</v>
      </c>
      <c r="B2887" s="8" t="s">
        <v>5122</v>
      </c>
      <c r="C2887" s="8" t="s">
        <v>27</v>
      </c>
      <c r="D2887" s="8" t="s">
        <v>28</v>
      </c>
      <c r="E2887" s="8" t="s">
        <v>19</v>
      </c>
      <c r="F2887" s="8" t="s">
        <v>20</v>
      </c>
      <c r="G2887" s="8" t="s">
        <v>21</v>
      </c>
      <c r="H2887" s="9"/>
      <c r="I2887" s="9"/>
      <c r="J2887" s="10">
        <f t="shared" ref="J2887:M2887" si="1747">ifs(OR($H2887="R",$I2887="N"),"N/A",OR(C2887="A",C2887="B",C2887="C",C2887="U"),3,TRUE,"FLAG")</f>
        <v>3</v>
      </c>
      <c r="K2887" s="10">
        <f t="shared" si="1747"/>
        <v>3</v>
      </c>
      <c r="L2887" s="10">
        <f t="shared" si="1747"/>
        <v>3</v>
      </c>
      <c r="M2887" s="10" t="str">
        <f t="shared" si="1747"/>
        <v>FLAG</v>
      </c>
      <c r="N2887" s="10" t="str">
        <f t="shared" si="2"/>
        <v>74-9809(c)(2) - Tribal Gaming Oversight; Executive director or employee of the state gaming agency, or certain relatives thereof, entering into any business dealing, venture or contract with owner/operator of a tribal gaming facility other than as required to complete duties of the compact</v>
      </c>
      <c r="O2887" s="10" t="str">
        <f t="shared" si="3"/>
        <v>Tribal Gaming Oversight</v>
      </c>
    </row>
    <row r="2888">
      <c r="A2888" s="7" t="s">
        <v>5123</v>
      </c>
      <c r="B2888" s="8" t="s">
        <v>5124</v>
      </c>
      <c r="C2888" s="8" t="s">
        <v>27</v>
      </c>
      <c r="D2888" s="8" t="s">
        <v>28</v>
      </c>
      <c r="E2888" s="8" t="s">
        <v>19</v>
      </c>
      <c r="F2888" s="8" t="s">
        <v>20</v>
      </c>
      <c r="G2888" s="8" t="s">
        <v>21</v>
      </c>
      <c r="H2888" s="9"/>
      <c r="I2888" s="9"/>
      <c r="J2888" s="10">
        <f t="shared" ref="J2888:M2888" si="1748">ifs(OR($H2888="R",$I2888="N"),"N/A",OR(C2888="A",C2888="B",C2888="C",C2888="U"),3,TRUE,"FLAG")</f>
        <v>3</v>
      </c>
      <c r="K2888" s="10">
        <f t="shared" si="1748"/>
        <v>3</v>
      </c>
      <c r="L2888" s="10">
        <f t="shared" si="1748"/>
        <v>3</v>
      </c>
      <c r="M2888" s="10" t="str">
        <f t="shared" si="1748"/>
        <v>FLAG</v>
      </c>
      <c r="N2888" s="10" t="str">
        <f t="shared" si="2"/>
        <v>74-9809(c)(1) - Tribal Gaming Oversight; Executive director or employee of the state gaming agency, or certain relatives thereof, holding any license issued pursuant to a tribal-state gaming compact</v>
      </c>
      <c r="O2888" s="10" t="str">
        <f t="shared" si="3"/>
        <v>Tribal Gaming Oversight</v>
      </c>
    </row>
    <row r="2889">
      <c r="A2889" s="7" t="s">
        <v>5125</v>
      </c>
      <c r="B2889" s="8" t="s">
        <v>5126</v>
      </c>
      <c r="C2889" s="8" t="s">
        <v>27</v>
      </c>
      <c r="D2889" s="8" t="s">
        <v>28</v>
      </c>
      <c r="E2889" s="8" t="s">
        <v>19</v>
      </c>
      <c r="F2889" s="8" t="s">
        <v>20</v>
      </c>
      <c r="G2889" s="8" t="s">
        <v>21</v>
      </c>
      <c r="H2889" s="9"/>
      <c r="I2889" s="9"/>
      <c r="J2889" s="10">
        <f t="shared" ref="J2889:M2889" si="1749">ifs(OR($H2889="R",$I2889="N"),"N/A",OR(C2889="A",C2889="B",C2889="C",C2889="U"),3,TRUE,"FLAG")</f>
        <v>3</v>
      </c>
      <c r="K2889" s="10">
        <f t="shared" si="1749"/>
        <v>3</v>
      </c>
      <c r="L2889" s="10">
        <f t="shared" si="1749"/>
        <v>3</v>
      </c>
      <c r="M2889" s="10" t="str">
        <f t="shared" si="1749"/>
        <v>FLAG</v>
      </c>
      <c r="N2889" s="10" t="str">
        <f t="shared" si="2"/>
        <v>74-9809(a) - Tribal Gaming Oversight; Having financial interest in tribal gaming while the executive director or employee of the state gaming agency or during 5 yrs immediately following termination of such employment</v>
      </c>
      <c r="O2889" s="10" t="str">
        <f t="shared" si="3"/>
        <v>Tribal Gaming Oversight</v>
      </c>
    </row>
    <row r="2890">
      <c r="A2890" s="7" t="s">
        <v>5127</v>
      </c>
      <c r="B2890" s="8" t="s">
        <v>5128</v>
      </c>
      <c r="C2890" s="8" t="s">
        <v>27</v>
      </c>
      <c r="D2890" s="8" t="s">
        <v>28</v>
      </c>
      <c r="E2890" s="8" t="s">
        <v>19</v>
      </c>
      <c r="F2890" s="8" t="s">
        <v>20</v>
      </c>
      <c r="G2890" s="8" t="s">
        <v>21</v>
      </c>
      <c r="H2890" s="9"/>
      <c r="I2890" s="9"/>
      <c r="J2890" s="10">
        <f t="shared" ref="J2890:M2890" si="1750">ifs(OR($H2890="R",$I2890="N"),"N/A",OR(C2890="A",C2890="B",C2890="C",C2890="U"),3,TRUE,"FLAG")</f>
        <v>3</v>
      </c>
      <c r="K2890" s="10">
        <f t="shared" si="1750"/>
        <v>3</v>
      </c>
      <c r="L2890" s="10">
        <f t="shared" si="1750"/>
        <v>3</v>
      </c>
      <c r="M2890" s="10" t="str">
        <f t="shared" si="1750"/>
        <v>FLAG</v>
      </c>
      <c r="N2890" s="10" t="str">
        <f t="shared" si="2"/>
        <v>74-9809(d) - Tribal Gaming Oversight; Holder of a license issued pursuant to a tribal-state gaming compact allowing any person, to place a wager or play any class III game, gaming device or electronic game of chance at a tribal gaming facility, knowing such person to be under 21 yrs of age</v>
      </c>
      <c r="O2890" s="10" t="str">
        <f t="shared" si="3"/>
        <v>Tribal Gaming Oversight</v>
      </c>
    </row>
    <row r="2891">
      <c r="A2891" s="7" t="s">
        <v>5129</v>
      </c>
      <c r="B2891" s="8" t="s">
        <v>5130</v>
      </c>
      <c r="C2891" s="8">
        <v>8.0</v>
      </c>
      <c r="D2891" s="8">
        <v>10.0</v>
      </c>
      <c r="E2891" s="8">
        <v>10.0</v>
      </c>
      <c r="F2891" s="8">
        <v>10.0</v>
      </c>
      <c r="G2891" s="8" t="s">
        <v>21</v>
      </c>
      <c r="H2891" s="9"/>
      <c r="I2891" s="9"/>
      <c r="N2891" s="10" t="str">
        <f t="shared" si="2"/>
        <v>74-9809(k)(1) - Tribal Gaming Oversight; Knowingly conduct, carry on, operate, deal or allow to be conducted, carried on or dealt, any cheating or thieving class III game or device</v>
      </c>
      <c r="O2891" s="10" t="str">
        <f t="shared" si="3"/>
        <v>Tribal Gaming Oversight</v>
      </c>
    </row>
    <row r="2892">
      <c r="A2892" s="7" t="s">
        <v>5131</v>
      </c>
      <c r="B2892" s="8" t="s">
        <v>5132</v>
      </c>
      <c r="C2892" s="8">
        <v>8.0</v>
      </c>
      <c r="D2892" s="8">
        <v>10.0</v>
      </c>
      <c r="E2892" s="8">
        <v>10.0</v>
      </c>
      <c r="F2892" s="8">
        <v>10.0</v>
      </c>
      <c r="G2892" s="8" t="s">
        <v>21</v>
      </c>
      <c r="H2892" s="9"/>
      <c r="I2892" s="9"/>
      <c r="N2892" s="10" t="str">
        <f t="shared" si="2"/>
        <v>74-9809(k)(2) - Tribal Gaming Oversight; Knowingly deal, conduct, carry on, operate or expose for play, any class III game or games played with cards, dice or any mechanical or electronic device, or any combination of such, which have been marked or tampered with, placed in a condition, or operated in a manner, which results in public deception, or alters normal chance or results of the game</v>
      </c>
      <c r="O2892" s="10" t="str">
        <f t="shared" si="3"/>
        <v>Tribal Gaming Oversight</v>
      </c>
    </row>
    <row r="2893">
      <c r="A2893" s="7" t="s">
        <v>5133</v>
      </c>
      <c r="B2893" s="8" t="s">
        <v>5134</v>
      </c>
      <c r="C2893" s="8">
        <v>8.0</v>
      </c>
      <c r="D2893" s="8">
        <v>10.0</v>
      </c>
      <c r="E2893" s="8">
        <v>10.0</v>
      </c>
      <c r="F2893" s="8">
        <v>10.0</v>
      </c>
      <c r="G2893" s="8" t="s">
        <v>21</v>
      </c>
      <c r="H2893" s="9"/>
      <c r="I2893" s="9"/>
      <c r="N2893" s="10" t="str">
        <f t="shared" si="2"/>
        <v>74-9809(h)(1) - Tribal Gaming Oversight; Knowingly use bogus or counterfeit chips or gaming billets; knowingly substitute and use in any game, cards or dice that have been marked, loaded or tampered with</v>
      </c>
      <c r="O2893" s="10" t="str">
        <f t="shared" si="3"/>
        <v>Tribal Gaming Oversight</v>
      </c>
    </row>
    <row r="2894">
      <c r="A2894" s="7" t="s">
        <v>5135</v>
      </c>
      <c r="B2894" s="8" t="s">
        <v>5136</v>
      </c>
      <c r="C2894" s="8">
        <v>8.0</v>
      </c>
      <c r="D2894" s="8">
        <v>10.0</v>
      </c>
      <c r="E2894" s="8">
        <v>10.0</v>
      </c>
      <c r="F2894" s="8">
        <v>10.0</v>
      </c>
      <c r="G2894" s="8" t="s">
        <v>21</v>
      </c>
      <c r="H2894" s="9"/>
      <c r="I2894" s="9"/>
      <c r="N2894" s="10" t="str">
        <f t="shared" si="2"/>
        <v>74-9809(l) - Tribal Gaming Oversight; Knowingly use or possess any marked cards, loaded dice, plugged or tampered with machines or devices</v>
      </c>
      <c r="O2894" s="10" t="str">
        <f t="shared" si="3"/>
        <v>Tribal Gaming Oversight</v>
      </c>
    </row>
    <row r="2895">
      <c r="A2895" s="7" t="s">
        <v>5137</v>
      </c>
      <c r="B2895" s="8" t="s">
        <v>5138</v>
      </c>
      <c r="C2895" s="8">
        <v>8.0</v>
      </c>
      <c r="D2895" s="8">
        <v>10.0</v>
      </c>
      <c r="E2895" s="8">
        <v>10.0</v>
      </c>
      <c r="F2895" s="8">
        <v>10.0</v>
      </c>
      <c r="G2895" s="8" t="s">
        <v>21</v>
      </c>
      <c r="H2895" s="9"/>
      <c r="I2895" s="9"/>
      <c r="N2895" s="10" t="str">
        <f t="shared" si="2"/>
        <v>74-9809(h)(2) - Tribal Gaming Oversight; Knowingly use other than a lawful coin or legal tender of the U.S.A., or one of a denomination not intended to be used in an electronic game of chance</v>
      </c>
      <c r="O2895" s="10" t="str">
        <f t="shared" si="3"/>
        <v>Tribal Gaming Oversight</v>
      </c>
    </row>
    <row r="2896">
      <c r="A2896" s="7" t="s">
        <v>5139</v>
      </c>
      <c r="B2896" s="8" t="s">
        <v>5140</v>
      </c>
      <c r="C2896" s="8">
        <v>8.0</v>
      </c>
      <c r="D2896" s="8">
        <v>10.0</v>
      </c>
      <c r="E2896" s="8">
        <v>10.0</v>
      </c>
      <c r="F2896" s="8">
        <v>10.0</v>
      </c>
      <c r="G2896" s="8" t="s">
        <v>21</v>
      </c>
      <c r="H2896" s="9"/>
      <c r="I2896" s="9"/>
      <c r="N2896" s="10" t="str">
        <f t="shared" si="2"/>
        <v>74-9809(m) - Tribal Gaming Oversight; Possess any device, equipment or material known to have been manufactured, distributed, sold, tampered with or serviced in violation of the provisions of a tribal-state gaming compact</v>
      </c>
      <c r="O2896" s="10" t="str">
        <f t="shared" si="3"/>
        <v>Tribal Gaming Oversight</v>
      </c>
    </row>
    <row r="2897">
      <c r="A2897" s="7" t="s">
        <v>5141</v>
      </c>
      <c r="B2897" s="8" t="s">
        <v>5142</v>
      </c>
      <c r="C2897" s="8" t="s">
        <v>27</v>
      </c>
      <c r="D2897" s="8" t="s">
        <v>28</v>
      </c>
      <c r="E2897" s="8" t="s">
        <v>19</v>
      </c>
      <c r="F2897" s="8" t="s">
        <v>20</v>
      </c>
      <c r="G2897" s="8" t="s">
        <v>21</v>
      </c>
      <c r="H2897" s="9"/>
      <c r="I2897" s="9"/>
      <c r="J2897" s="10">
        <f t="shared" ref="J2897:M2897" si="1751">ifs(OR($H2897="R",$I2897="N"),"N/A",OR(C2897="A",C2897="B",C2897="C",C2897="U"),3,TRUE,"FLAG")</f>
        <v>3</v>
      </c>
      <c r="K2897" s="10">
        <f t="shared" si="1751"/>
        <v>3</v>
      </c>
      <c r="L2897" s="10">
        <f t="shared" si="1751"/>
        <v>3</v>
      </c>
      <c r="M2897" s="10" t="str">
        <f t="shared" si="1751"/>
        <v>FLAG</v>
      </c>
      <c r="N2897" s="10" t="str">
        <f t="shared" si="2"/>
        <v>74-9805(m)(3) - Tribal Gaming Oversight; Unauthorized disclosure of confidential information</v>
      </c>
      <c r="O2897" s="10" t="str">
        <f t="shared" si="3"/>
        <v>Tribal Gaming Oversight</v>
      </c>
    </row>
    <row r="2898">
      <c r="A2898" s="7" t="s">
        <v>5143</v>
      </c>
      <c r="B2898" s="8" t="s">
        <v>5144</v>
      </c>
      <c r="C2898" s="8">
        <v>8.0</v>
      </c>
      <c r="D2898" s="8">
        <v>10.0</v>
      </c>
      <c r="E2898" s="8">
        <v>10.0</v>
      </c>
      <c r="F2898" s="8">
        <v>10.0</v>
      </c>
      <c r="G2898" s="8" t="s">
        <v>21</v>
      </c>
      <c r="H2898" s="9"/>
      <c r="I2898" s="9"/>
      <c r="N2898" s="10" t="str">
        <f t="shared" si="2"/>
        <v>74-9809(i) - Tribal Gaming Oversight; Unauthorized possession or use of any cheating or thieving device</v>
      </c>
      <c r="O2898" s="10" t="str">
        <f t="shared" si="3"/>
        <v>Tribal Gaming Oversight</v>
      </c>
    </row>
    <row r="2899">
      <c r="A2899" s="7" t="s">
        <v>5145</v>
      </c>
      <c r="B2899" s="8" t="s">
        <v>5146</v>
      </c>
      <c r="C2899" s="8">
        <v>8.0</v>
      </c>
      <c r="D2899" s="8">
        <v>10.0</v>
      </c>
      <c r="E2899" s="8">
        <v>10.0</v>
      </c>
      <c r="F2899" s="8">
        <v>10.0</v>
      </c>
      <c r="G2899" s="8" t="s">
        <v>21</v>
      </c>
      <c r="H2899" s="9"/>
      <c r="I2899" s="9"/>
      <c r="N2899" s="10" t="str">
        <f t="shared" si="2"/>
        <v>74-9809(j) - Tribal Gaming Oversight; Unauthorized possession or use of any key or device designed for the purpose of or suitable for opening or entering any electronic game of chance or similar gaming device or drop box</v>
      </c>
      <c r="O2899" s="10" t="str">
        <f t="shared" si="3"/>
        <v>Tribal Gaming Oversight</v>
      </c>
    </row>
    <row r="2900">
      <c r="A2900" s="7" t="s">
        <v>5147</v>
      </c>
      <c r="B2900" s="8" t="s">
        <v>5148</v>
      </c>
      <c r="C2900" s="8">
        <v>8.0</v>
      </c>
      <c r="D2900" s="8">
        <v>10.0</v>
      </c>
      <c r="E2900" s="8">
        <v>10.0</v>
      </c>
      <c r="F2900" s="8">
        <v>10.0</v>
      </c>
      <c r="G2900" s="8" t="s">
        <v>21</v>
      </c>
      <c r="H2900" s="9"/>
      <c r="I2900" s="9"/>
      <c r="N2900" s="10" t="str">
        <f t="shared" si="2"/>
        <v>74-9809(e) - Tribal Gaming Oversight; Use or conspire to use any device for the purpose of effecting the outcome of game</v>
      </c>
      <c r="O2900" s="10" t="str">
        <f t="shared" si="3"/>
        <v>Tribal Gaming Oversight</v>
      </c>
    </row>
    <row r="2901">
      <c r="A2901" s="7" t="s">
        <v>5149</v>
      </c>
      <c r="B2901" s="8" t="s">
        <v>5150</v>
      </c>
      <c r="C2901" s="8" t="s">
        <v>27</v>
      </c>
      <c r="D2901" s="8" t="s">
        <v>28</v>
      </c>
      <c r="E2901" s="8" t="s">
        <v>19</v>
      </c>
      <c r="F2901" s="8" t="s">
        <v>20</v>
      </c>
      <c r="G2901" s="8" t="s">
        <v>21</v>
      </c>
      <c r="H2901" s="9"/>
      <c r="I2901" s="9"/>
      <c r="J2901" s="10">
        <f t="shared" ref="J2901:M2901" si="1752">ifs(OR($H2901="R",$I2901="N"),"N/A",OR(C2901="A",C2901="B",C2901="C",C2901="U"),3,TRUE,"FLAG")</f>
        <v>3</v>
      </c>
      <c r="K2901" s="10">
        <f t="shared" si="1752"/>
        <v>3</v>
      </c>
      <c r="L2901" s="10">
        <f t="shared" si="1752"/>
        <v>3</v>
      </c>
      <c r="M2901" s="10" t="str">
        <f t="shared" si="1752"/>
        <v>FLAG</v>
      </c>
      <c r="N2901" s="10" t="str">
        <f t="shared" si="2"/>
        <v>74-9809(n) - Tribal Gaming Oversight; Win money, property or representative of either, by any trick or sleight of hand performance, or by fraud or fraudulent scheme, cards, dice or device; or reduce or attempt to reduce a losing wager, in connection with tribal gaming in a value of less than $100</v>
      </c>
      <c r="O2901" s="10" t="str">
        <f t="shared" si="3"/>
        <v>Tribal Gaming Oversight</v>
      </c>
    </row>
    <row r="2902">
      <c r="A2902" s="7" t="s">
        <v>5151</v>
      </c>
      <c r="B2902" s="8" t="s">
        <v>5152</v>
      </c>
      <c r="C2902" s="8">
        <v>8.0</v>
      </c>
      <c r="D2902" s="8">
        <v>10.0</v>
      </c>
      <c r="E2902" s="8">
        <v>10.0</v>
      </c>
      <c r="F2902" s="8">
        <v>10.0</v>
      </c>
      <c r="G2902" s="8" t="s">
        <v>21</v>
      </c>
      <c r="H2902" s="9"/>
      <c r="I2902" s="9"/>
      <c r="N2902" s="10" t="str">
        <f t="shared" si="2"/>
        <v>74-9809(h)(3) - Tribal Gaming Oversight; Win or attempt to win by any trick or sleight of hand performance, or by a fraud or fraudulent scheme, cards, dice or device, money or property or a representative of either, or reduce or attempt to reduce a losing wager, in connection with tribal gaming in a value of $100 or greater</v>
      </c>
      <c r="O2902" s="10" t="str">
        <f t="shared" si="3"/>
        <v>Tribal Gaming Oversight</v>
      </c>
    </row>
    <row r="2903">
      <c r="A2903" s="7" t="s">
        <v>5153</v>
      </c>
      <c r="B2903" s="8" t="s">
        <v>5154</v>
      </c>
      <c r="C2903" s="8" t="s">
        <v>27</v>
      </c>
      <c r="D2903" s="8" t="s">
        <v>28</v>
      </c>
      <c r="E2903" s="8" t="s">
        <v>19</v>
      </c>
      <c r="F2903" s="8" t="s">
        <v>20</v>
      </c>
      <c r="G2903" s="8" t="s">
        <v>21</v>
      </c>
      <c r="H2903" s="9"/>
      <c r="I2903" s="9"/>
      <c r="J2903" s="10">
        <f t="shared" ref="J2903:M2903" si="1753">ifs(OR($H2903="R",$I2903="N"),"N/A",OR(C2903="A",C2903="B",C2903="C",C2903="U"),3,TRUE,"FLAG")</f>
        <v>3</v>
      </c>
      <c r="K2903" s="10">
        <f t="shared" si="1753"/>
        <v>3</v>
      </c>
      <c r="L2903" s="10">
        <f t="shared" si="1753"/>
        <v>3</v>
      </c>
      <c r="M2903" s="10" t="str">
        <f t="shared" si="1753"/>
        <v>FLAG</v>
      </c>
      <c r="N2903" s="10" t="str">
        <f t="shared" si="2"/>
        <v>74-9809(g) - Tribal Gaming; Person 18 or older but less than 21 yrs of age, placing any wager or playing any class III game, gaming device or electronic game of chance at a tribal gaming facility</v>
      </c>
      <c r="O2903" s="10" t="str">
        <f t="shared" si="3"/>
        <v>Tribal Gaming</v>
      </c>
    </row>
    <row r="2904">
      <c r="A2904" s="7" t="s">
        <v>5155</v>
      </c>
      <c r="B2904" s="8" t="s">
        <v>5156</v>
      </c>
      <c r="C2904" s="8" t="s">
        <v>27</v>
      </c>
      <c r="D2904" s="8" t="s">
        <v>28</v>
      </c>
      <c r="E2904" s="8" t="s">
        <v>19</v>
      </c>
      <c r="F2904" s="8" t="s">
        <v>20</v>
      </c>
      <c r="G2904" s="8" t="s">
        <v>21</v>
      </c>
      <c r="H2904" s="9"/>
      <c r="I2904" s="9"/>
      <c r="J2904" s="10">
        <f t="shared" ref="J2904:M2904" si="1754">ifs(OR($H2904="R",$I2904="N"),"N/A",OR(C2904="A",C2904="B",C2904="C",C2904="U"),3,TRUE,"FLAG")</f>
        <v>3</v>
      </c>
      <c r="K2904" s="10">
        <f t="shared" si="1754"/>
        <v>3</v>
      </c>
      <c r="L2904" s="10">
        <f t="shared" si="1754"/>
        <v>3</v>
      </c>
      <c r="M2904" s="10" t="str">
        <f t="shared" si="1754"/>
        <v>FLAG</v>
      </c>
      <c r="N2904" s="10" t="str">
        <f t="shared" si="2"/>
        <v>21-5832(a) - Unauthorized Delivery of Stored Goods</v>
      </c>
      <c r="O2904" s="10" t="str">
        <f t="shared" si="3"/>
        <v>Unauthorized Delivery of Stored Goods</v>
      </c>
    </row>
    <row r="2905">
      <c r="A2905" s="7" t="s">
        <v>5157</v>
      </c>
      <c r="B2905" s="8" t="s">
        <v>5158</v>
      </c>
      <c r="C2905" s="8" t="s">
        <v>18</v>
      </c>
      <c r="D2905" s="8" t="s">
        <v>18</v>
      </c>
      <c r="E2905" s="8" t="s">
        <v>19</v>
      </c>
      <c r="F2905" s="8" t="s">
        <v>20</v>
      </c>
      <c r="G2905" s="8" t="s">
        <v>21</v>
      </c>
      <c r="H2905" s="9"/>
      <c r="I2905" s="9"/>
      <c r="J2905" s="10">
        <f t="shared" ref="J2905:M2905" si="1755">ifs(OR($H2905="R",$I2905="N"),"N/A",OR(C2905="A",C2905="B",C2905="C",C2905="U"),3,TRUE,"FLAG")</f>
        <v>3</v>
      </c>
      <c r="K2905" s="10">
        <f t="shared" si="1755"/>
        <v>3</v>
      </c>
      <c r="L2905" s="10">
        <f t="shared" si="1755"/>
        <v>3</v>
      </c>
      <c r="M2905" s="10" t="str">
        <f t="shared" si="1755"/>
        <v>FLAG</v>
      </c>
      <c r="N2905" s="10" t="str">
        <f t="shared" si="2"/>
        <v>50-503(h) - Unfair Trade &amp; Consumer Protection; Extend credit to a retail dealer beyond the normal periods of payment commonly prevailing in the business territory of the sale</v>
      </c>
      <c r="O2905" s="10" t="str">
        <f t="shared" si="3"/>
        <v>Unfair Trade &amp; Consumer Protection</v>
      </c>
    </row>
    <row r="2906">
      <c r="A2906" s="7" t="s">
        <v>5159</v>
      </c>
      <c r="B2906" s="8" t="s">
        <v>5160</v>
      </c>
      <c r="C2906" s="8" t="s">
        <v>18</v>
      </c>
      <c r="D2906" s="8" t="s">
        <v>18</v>
      </c>
      <c r="E2906" s="8" t="s">
        <v>19</v>
      </c>
      <c r="F2906" s="8" t="s">
        <v>20</v>
      </c>
      <c r="G2906" s="8" t="s">
        <v>21</v>
      </c>
      <c r="H2906" s="9"/>
      <c r="I2906" s="9"/>
      <c r="J2906" s="10">
        <f t="shared" ref="J2906:M2906" si="1756">ifs(OR($H2906="R",$I2906="N"),"N/A",OR(C2906="A",C2906="B",C2906="C",C2906="U"),3,TRUE,"FLAG")</f>
        <v>3</v>
      </c>
      <c r="K2906" s="10">
        <f t="shared" si="1756"/>
        <v>3</v>
      </c>
      <c r="L2906" s="10">
        <f t="shared" si="1756"/>
        <v>3</v>
      </c>
      <c r="M2906" s="10" t="str">
        <f t="shared" si="1756"/>
        <v>FLAG</v>
      </c>
      <c r="N2906" s="10" t="str">
        <f t="shared" si="2"/>
        <v>50-503(d) - Unfair Trade &amp; Consumer Protection; Fail, neglect, or refuse to remove, repossess or institute an appropriate replevin action to recover any fixture or equipment sold to any retail dealer or consumer under a conditional sales contract or secured by chattel mortgage as authorized by the provisions of this act, if such retail dealer or consumer has been in default of any payment for more than 90 days</v>
      </c>
      <c r="O2906" s="10" t="str">
        <f t="shared" si="3"/>
        <v>Unfair Trade &amp; Consumer Protection</v>
      </c>
    </row>
    <row r="2907">
      <c r="A2907" s="7" t="s">
        <v>5161</v>
      </c>
      <c r="B2907" s="8" t="s">
        <v>5162</v>
      </c>
      <c r="C2907" s="8" t="s">
        <v>18</v>
      </c>
      <c r="D2907" s="8" t="s">
        <v>18</v>
      </c>
      <c r="E2907" s="8" t="s">
        <v>19</v>
      </c>
      <c r="F2907" s="8" t="s">
        <v>20</v>
      </c>
      <c r="G2907" s="8" t="s">
        <v>21</v>
      </c>
      <c r="H2907" s="9"/>
      <c r="I2907" s="9"/>
      <c r="J2907" s="10">
        <f t="shared" ref="J2907:M2907" si="1757">ifs(OR($H2907="R",$I2907="N"),"N/A",OR(C2907="A",C2907="B",C2907="C",C2907="U"),3,TRUE,"FLAG")</f>
        <v>3</v>
      </c>
      <c r="K2907" s="10">
        <f t="shared" si="1757"/>
        <v>3</v>
      </c>
      <c r="L2907" s="10">
        <f t="shared" si="1757"/>
        <v>3</v>
      </c>
      <c r="M2907" s="10" t="str">
        <f t="shared" si="1757"/>
        <v>FLAG</v>
      </c>
      <c r="N2907" s="10" t="str">
        <f t="shared" si="2"/>
        <v>50-503(c) - Unfair Trade &amp; Consumer Protection; Furnish or provide for the mechanical or electrical servicing of any fixtures or equipment used in connection with the sale or consumption of dairy products by a retail dealer or consumer</v>
      </c>
      <c r="O2907" s="10" t="str">
        <f t="shared" si="3"/>
        <v>Unfair Trade &amp; Consumer Protection</v>
      </c>
    </row>
    <row r="2908">
      <c r="A2908" s="7" t="s">
        <v>5163</v>
      </c>
      <c r="B2908" s="8" t="s">
        <v>5164</v>
      </c>
      <c r="C2908" s="8" t="s">
        <v>18</v>
      </c>
      <c r="D2908" s="8" t="s">
        <v>18</v>
      </c>
      <c r="E2908" s="8" t="s">
        <v>19</v>
      </c>
      <c r="F2908" s="8" t="s">
        <v>20</v>
      </c>
      <c r="G2908" s="8" t="s">
        <v>21</v>
      </c>
      <c r="H2908" s="9"/>
      <c r="I2908" s="9"/>
      <c r="J2908" s="10">
        <f t="shared" ref="J2908:M2908" si="1758">ifs(OR($H2908="R",$I2908="N"),"N/A",OR(C2908="A",C2908="B",C2908="C",C2908="U"),3,TRUE,"FLAG")</f>
        <v>3</v>
      </c>
      <c r="K2908" s="10">
        <f t="shared" si="1758"/>
        <v>3</v>
      </c>
      <c r="L2908" s="10">
        <f t="shared" si="1758"/>
        <v>3</v>
      </c>
      <c r="M2908" s="10" t="str">
        <f t="shared" si="1758"/>
        <v>FLAG</v>
      </c>
      <c r="N2908" s="10" t="str">
        <f t="shared" si="2"/>
        <v>50-503(a) - Unfair Trade &amp; Consumer Protection; Furnish, give, rent, lease, or lend to a retail dealer any money, equipment, fixtures, ice cream cabinets or bulk milk dispensers, supplies, or other things having a real or substantial value, or any expendable supplies commonly provided in connection with sales of dairy products to the consumer</v>
      </c>
      <c r="O2908" s="10" t="str">
        <f t="shared" si="3"/>
        <v>Unfair Trade &amp; Consumer Protection</v>
      </c>
    </row>
    <row r="2909">
      <c r="A2909" s="7" t="s">
        <v>5165</v>
      </c>
      <c r="B2909" s="8" t="s">
        <v>5166</v>
      </c>
      <c r="C2909" s="8" t="s">
        <v>18</v>
      </c>
      <c r="D2909" s="8" t="s">
        <v>18</v>
      </c>
      <c r="E2909" s="8" t="s">
        <v>19</v>
      </c>
      <c r="F2909" s="8" t="s">
        <v>20</v>
      </c>
      <c r="G2909" s="8" t="s">
        <v>21</v>
      </c>
      <c r="H2909" s="9"/>
      <c r="I2909" s="9"/>
      <c r="J2909" s="10">
        <f t="shared" ref="J2909:M2909" si="1759">ifs(OR($H2909="R",$I2909="N"),"N/A",OR(C2909="A",C2909="B",C2909="C",C2909="U"),3,TRUE,"FLAG")</f>
        <v>3</v>
      </c>
      <c r="K2909" s="10">
        <f t="shared" si="1759"/>
        <v>3</v>
      </c>
      <c r="L2909" s="10">
        <f t="shared" si="1759"/>
        <v>3</v>
      </c>
      <c r="M2909" s="10" t="str">
        <f t="shared" si="1759"/>
        <v>FLAG</v>
      </c>
      <c r="N2909" s="10" t="str">
        <f t="shared" si="2"/>
        <v>50-503(m) - Unfair Trade &amp; Consumer Protection; Grant to any retail dealer any secret discount, make any rebate, or permit any deviation from the price at which such person furnishes dairy products of the same quality, brand and quantity to other retail dealers in the same city, unincorporated town, or immediate vicinity thereof</v>
      </c>
      <c r="O2909" s="10" t="str">
        <f t="shared" si="3"/>
        <v>Unfair Trade &amp; Consumer Protection</v>
      </c>
    </row>
    <row r="2910">
      <c r="A2910" s="7" t="s">
        <v>5167</v>
      </c>
      <c r="B2910" s="8" t="s">
        <v>5168</v>
      </c>
      <c r="C2910" s="8" t="s">
        <v>18</v>
      </c>
      <c r="D2910" s="8" t="s">
        <v>18</v>
      </c>
      <c r="E2910" s="8" t="s">
        <v>19</v>
      </c>
      <c r="F2910" s="8" t="s">
        <v>20</v>
      </c>
      <c r="G2910" s="8" t="s">
        <v>21</v>
      </c>
      <c r="H2910" s="9"/>
      <c r="I2910" s="9"/>
      <c r="J2910" s="10">
        <f t="shared" ref="J2910:M2910" si="1760">ifs(OR($H2910="R",$I2910="N"),"N/A",OR(C2910="A",C2910="B",C2910="C",C2910="U"),3,TRUE,"FLAG")</f>
        <v>3</v>
      </c>
      <c r="K2910" s="10">
        <f t="shared" si="1760"/>
        <v>3</v>
      </c>
      <c r="L2910" s="10">
        <f t="shared" si="1760"/>
        <v>3</v>
      </c>
      <c r="M2910" s="10" t="str">
        <f t="shared" si="1760"/>
        <v>FLAG</v>
      </c>
      <c r="N2910" s="10" t="str">
        <f t="shared" si="2"/>
        <v>50-503(g) - Unfair Trade &amp; Consumer Protection; Make, guarantee or procure another to guarantee any loan or the payment of any financial obligation of a retail dealer</v>
      </c>
      <c r="O2910" s="10" t="str">
        <f t="shared" si="3"/>
        <v>Unfair Trade &amp; Consumer Protection</v>
      </c>
    </row>
    <row r="2911">
      <c r="A2911" s="7" t="s">
        <v>5169</v>
      </c>
      <c r="B2911" s="8" t="s">
        <v>5170</v>
      </c>
      <c r="C2911" s="8" t="s">
        <v>18</v>
      </c>
      <c r="D2911" s="8" t="s">
        <v>18</v>
      </c>
      <c r="E2911" s="8" t="s">
        <v>19</v>
      </c>
      <c r="F2911" s="8" t="s">
        <v>20</v>
      </c>
      <c r="G2911" s="8" t="s">
        <v>21</v>
      </c>
      <c r="H2911" s="9"/>
      <c r="I2911" s="9"/>
      <c r="J2911" s="10">
        <f t="shared" ref="J2911:M2911" si="1761">ifs(OR($H2911="R",$I2911="N"),"N/A",OR(C2911="A",C2911="B",C2911="C",C2911="U"),3,TRUE,"FLAG")</f>
        <v>3</v>
      </c>
      <c r="K2911" s="10">
        <f t="shared" si="1761"/>
        <v>3</v>
      </c>
      <c r="L2911" s="10">
        <f t="shared" si="1761"/>
        <v>3</v>
      </c>
      <c r="M2911" s="10" t="str">
        <f t="shared" si="1761"/>
        <v>FLAG</v>
      </c>
      <c r="N2911" s="10" t="str">
        <f t="shared" si="2"/>
        <v>50-503(i) - Unfair Trade &amp; Consumer Protection; Offer or give any bonus, premium, or compensation to a retail dealer, directly or indirectly, through or to an officer, employee, associate, relative or representative of a retail dealer</v>
      </c>
      <c r="O2911" s="10" t="str">
        <f t="shared" si="3"/>
        <v>Unfair Trade &amp; Consumer Protection</v>
      </c>
    </row>
    <row r="2912">
      <c r="A2912" s="7" t="s">
        <v>5171</v>
      </c>
      <c r="B2912" s="8" t="s">
        <v>5172</v>
      </c>
      <c r="C2912" s="8" t="s">
        <v>18</v>
      </c>
      <c r="D2912" s="8" t="s">
        <v>18</v>
      </c>
      <c r="E2912" s="8" t="s">
        <v>19</v>
      </c>
      <c r="F2912" s="8" t="s">
        <v>20</v>
      </c>
      <c r="G2912" s="8" t="s">
        <v>21</v>
      </c>
      <c r="H2912" s="9"/>
      <c r="I2912" s="9"/>
      <c r="J2912" s="10">
        <f t="shared" ref="J2912:M2912" si="1762">ifs(OR($H2912="R",$I2912="N"),"N/A",OR(C2912="A",C2912="B",C2912="C",C2912="U"),3,TRUE,"FLAG")</f>
        <v>3</v>
      </c>
      <c r="K2912" s="10">
        <f t="shared" si="1762"/>
        <v>3</v>
      </c>
      <c r="L2912" s="10">
        <f t="shared" si="1762"/>
        <v>3</v>
      </c>
      <c r="M2912" s="10" t="str">
        <f t="shared" si="1762"/>
        <v>FLAG</v>
      </c>
      <c r="N2912" s="10" t="str">
        <f t="shared" si="2"/>
        <v>50-503(f) - Unfair Trade &amp; Consumer Protection; Pay or credit a retail dealer for the use of any floor space, shelf space or equipment within or at such person's place of business</v>
      </c>
      <c r="O2912" s="10" t="str">
        <f t="shared" si="3"/>
        <v>Unfair Trade &amp; Consumer Protection</v>
      </c>
    </row>
    <row r="2913">
      <c r="A2913" s="7" t="s">
        <v>5173</v>
      </c>
      <c r="B2913" s="8" t="s">
        <v>5174</v>
      </c>
      <c r="C2913" s="8" t="s">
        <v>18</v>
      </c>
      <c r="D2913" s="8" t="s">
        <v>18</v>
      </c>
      <c r="E2913" s="8" t="s">
        <v>19</v>
      </c>
      <c r="F2913" s="8" t="s">
        <v>20</v>
      </c>
      <c r="G2913" s="8" t="s">
        <v>21</v>
      </c>
      <c r="H2913" s="9"/>
      <c r="I2913" s="9"/>
      <c r="J2913" s="10">
        <f t="shared" ref="J2913:M2913" si="1763">ifs(OR($H2913="R",$I2913="N"),"N/A",OR(C2913="A",C2913="B",C2913="C",C2913="U"),3,TRUE,"FLAG")</f>
        <v>3</v>
      </c>
      <c r="K2913" s="10">
        <f t="shared" si="1763"/>
        <v>3</v>
      </c>
      <c r="L2913" s="10">
        <f t="shared" si="1763"/>
        <v>3</v>
      </c>
      <c r="M2913" s="10" t="str">
        <f t="shared" si="1763"/>
        <v>FLAG</v>
      </c>
      <c r="N2913" s="10" t="str">
        <f t="shared" si="2"/>
        <v>50-503(e) - Unfair Trade &amp; Consumer Protection; Pay to or credit a retail dealer or pay for or on behalf of or for the benefit of a retail dealer for any advertising, display or distribution service, unless exception herein applies</v>
      </c>
      <c r="O2913" s="10" t="str">
        <f t="shared" si="3"/>
        <v>Unfair Trade &amp; Consumer Protection</v>
      </c>
    </row>
    <row r="2914">
      <c r="A2914" s="7" t="s">
        <v>5175</v>
      </c>
      <c r="B2914" s="8" t="s">
        <v>5176</v>
      </c>
      <c r="C2914" s="8" t="s">
        <v>18</v>
      </c>
      <c r="D2914" s="8" t="s">
        <v>18</v>
      </c>
      <c r="E2914" s="8" t="s">
        <v>19</v>
      </c>
      <c r="F2914" s="8" t="s">
        <v>20</v>
      </c>
      <c r="G2914" s="8" t="s">
        <v>21</v>
      </c>
      <c r="H2914" s="9"/>
      <c r="I2914" s="9"/>
      <c r="J2914" s="10">
        <f t="shared" ref="J2914:M2914" si="1764">ifs(OR($H2914="R",$I2914="N"),"N/A",OR(C2914="A",C2914="B",C2914="C",C2914="U"),3,TRUE,"FLAG")</f>
        <v>3</v>
      </c>
      <c r="K2914" s="10">
        <f t="shared" si="1764"/>
        <v>3</v>
      </c>
      <c r="L2914" s="10">
        <f t="shared" si="1764"/>
        <v>3</v>
      </c>
      <c r="M2914" s="10" t="str">
        <f t="shared" si="1764"/>
        <v>FLAG</v>
      </c>
      <c r="N2914" s="10" t="str">
        <f t="shared" si="2"/>
        <v>50-503(n) - Unfair Trade &amp; Consumer Protection; Permit any retail dealer to do for or on behalf of such wholesaler, processor or distributor any of the acts hereby made unlawful to be done</v>
      </c>
      <c r="O2914" s="10" t="str">
        <f t="shared" si="3"/>
        <v>Unfair Trade &amp; Consumer Protection</v>
      </c>
    </row>
    <row r="2915">
      <c r="A2915" s="7" t="s">
        <v>5177</v>
      </c>
      <c r="B2915" s="8" t="s">
        <v>5178</v>
      </c>
      <c r="C2915" s="8" t="s">
        <v>18</v>
      </c>
      <c r="D2915" s="8" t="s">
        <v>18</v>
      </c>
      <c r="E2915" s="8" t="s">
        <v>19</v>
      </c>
      <c r="F2915" s="8" t="s">
        <v>20</v>
      </c>
      <c r="G2915" s="8" t="s">
        <v>21</v>
      </c>
      <c r="H2915" s="9"/>
      <c r="I2915" s="9"/>
      <c r="J2915" s="10">
        <f t="shared" ref="J2915:M2915" si="1765">ifs(OR($H2915="R",$I2915="N"),"N/A",OR(C2915="A",C2915="B",C2915="C",C2915="U"),3,TRUE,"FLAG")</f>
        <v>3</v>
      </c>
      <c r="K2915" s="10">
        <f t="shared" si="1765"/>
        <v>3</v>
      </c>
      <c r="L2915" s="10">
        <f t="shared" si="1765"/>
        <v>3</v>
      </c>
      <c r="M2915" s="10" t="str">
        <f t="shared" si="1765"/>
        <v>FLAG</v>
      </c>
      <c r="N2915" s="10" t="str">
        <f t="shared" si="2"/>
        <v>50-503(l) - Unfair Trade &amp; Consumer Protection; Sell any products, unit or combination thereof, for less than cost to the wholesaler, processor or distributor at the point of delivery; sell to any retail dealer any expendable supplies for less than cost to any such wholesaler, processor or distributor at the point of delivery plus a markup of 6% of such cost as a proportionate share of the cost of doing business</v>
      </c>
      <c r="O2915" s="10" t="str">
        <f t="shared" si="3"/>
        <v>Unfair Trade &amp; Consumer Protection</v>
      </c>
    </row>
    <row r="2916">
      <c r="A2916" s="7" t="s">
        <v>5179</v>
      </c>
      <c r="B2916" s="8" t="s">
        <v>5180</v>
      </c>
      <c r="C2916" s="8" t="s">
        <v>18</v>
      </c>
      <c r="D2916" s="8" t="s">
        <v>18</v>
      </c>
      <c r="E2916" s="8" t="s">
        <v>19</v>
      </c>
      <c r="F2916" s="8" t="s">
        <v>20</v>
      </c>
      <c r="G2916" s="8" t="s">
        <v>21</v>
      </c>
      <c r="H2916" s="9"/>
      <c r="I2916" s="9"/>
      <c r="J2916" s="10">
        <f t="shared" ref="J2916:M2916" si="1766">ifs(OR($H2916="R",$I2916="N"),"N/A",OR(C2916="A",C2916="B",C2916="C",C2916="U"),3,TRUE,"FLAG")</f>
        <v>3</v>
      </c>
      <c r="K2916" s="10">
        <f t="shared" si="1766"/>
        <v>3</v>
      </c>
      <c r="L2916" s="10">
        <f t="shared" si="1766"/>
        <v>3</v>
      </c>
      <c r="M2916" s="10" t="str">
        <f t="shared" si="1766"/>
        <v>FLAG</v>
      </c>
      <c r="N2916" s="10" t="str">
        <f t="shared" si="2"/>
        <v>50-503(b) - Unfair Trade &amp; Consumer Protection; Sell to any retail dealer or consumer any fixtures or equipment other than ice cream cabinets or bulk milk dispensers, or sell to any retail dealer or consumer any ice cream cabinets or bulk milk dispensers at unauthorized price</v>
      </c>
      <c r="O2916" s="10" t="str">
        <f t="shared" si="3"/>
        <v>Unfair Trade &amp; Consumer Protection</v>
      </c>
    </row>
    <row r="2917">
      <c r="A2917" s="7" t="s">
        <v>5181</v>
      </c>
      <c r="B2917" s="8" t="s">
        <v>5182</v>
      </c>
      <c r="C2917" s="8" t="s">
        <v>18</v>
      </c>
      <c r="D2917" s="8" t="s">
        <v>18</v>
      </c>
      <c r="E2917" s="8" t="s">
        <v>19</v>
      </c>
      <c r="F2917" s="8" t="s">
        <v>20</v>
      </c>
      <c r="G2917" s="8" t="s">
        <v>21</v>
      </c>
      <c r="H2917" s="9"/>
      <c r="I2917" s="9"/>
      <c r="J2917" s="10">
        <f t="shared" ref="J2917:M2917" si="1767">ifs(OR($H2917="R",$I2917="N"),"N/A",OR(C2917="A",C2917="B",C2917="C",C2917="U"),3,TRUE,"FLAG")</f>
        <v>3</v>
      </c>
      <c r="K2917" s="10">
        <f t="shared" si="1767"/>
        <v>3</v>
      </c>
      <c r="L2917" s="10">
        <f t="shared" si="1767"/>
        <v>3</v>
      </c>
      <c r="M2917" s="10" t="str">
        <f t="shared" si="1767"/>
        <v>FLAG</v>
      </c>
      <c r="N2917" s="10" t="str">
        <f t="shared" si="2"/>
        <v>50-503(j) - Unfair Trade &amp; Consumer Protection; Sell, offer for sale, or contract to sell dairy products to any retail dealer on consignment, or with the privilege of return, or on any basis other than a bona fide sale</v>
      </c>
      <c r="O2917" s="10" t="str">
        <f t="shared" si="3"/>
        <v>Unfair Trade &amp; Consumer Protection</v>
      </c>
    </row>
    <row r="2918">
      <c r="A2918" s="7" t="s">
        <v>5183</v>
      </c>
      <c r="B2918" s="8" t="s">
        <v>5184</v>
      </c>
      <c r="C2918" s="8" t="s">
        <v>18</v>
      </c>
      <c r="D2918" s="8" t="s">
        <v>18</v>
      </c>
      <c r="E2918" s="8" t="s">
        <v>19</v>
      </c>
      <c r="F2918" s="8" t="s">
        <v>20</v>
      </c>
      <c r="G2918" s="8" t="s">
        <v>21</v>
      </c>
      <c r="H2918" s="9"/>
      <c r="I2918" s="9"/>
      <c r="J2918" s="10">
        <f t="shared" ref="J2918:M2918" si="1768">ifs(OR($H2918="R",$I2918="N"),"N/A",OR(C2918="A",C2918="B",C2918="C",C2918="U"),3,TRUE,"FLAG")</f>
        <v>3</v>
      </c>
      <c r="K2918" s="10">
        <f t="shared" si="1768"/>
        <v>3</v>
      </c>
      <c r="L2918" s="10">
        <f t="shared" si="1768"/>
        <v>3</v>
      </c>
      <c r="M2918" s="10" t="str">
        <f t="shared" si="1768"/>
        <v>FLAG</v>
      </c>
      <c r="N2918" s="10" t="str">
        <f t="shared" si="2"/>
        <v>50-503(k) - Unfair Trade &amp; Consumer Protection; Use or employ any device or scheme to subsidize any retail dealer</v>
      </c>
      <c r="O2918" s="10" t="str">
        <f t="shared" si="3"/>
        <v>Unfair Trade &amp; Consumer Protection</v>
      </c>
    </row>
    <row r="2919">
      <c r="A2919" s="7" t="s">
        <v>5185</v>
      </c>
      <c r="B2919" s="8" t="s">
        <v>5186</v>
      </c>
      <c r="C2919" s="8" t="s">
        <v>19</v>
      </c>
      <c r="D2919" s="8" t="s">
        <v>19</v>
      </c>
      <c r="E2919" s="8" t="s">
        <v>19</v>
      </c>
      <c r="F2919" s="8" t="s">
        <v>20</v>
      </c>
      <c r="G2919" s="8" t="s">
        <v>21</v>
      </c>
      <c r="H2919" s="9"/>
      <c r="I2919" s="9"/>
      <c r="J2919" s="10">
        <f t="shared" ref="J2919:M2919" si="1769">ifs(OR($H2919="R",$I2919="N"),"N/A",OR(C2919="A",C2919="B",C2919="C",C2919="U"),3,TRUE,"FLAG")</f>
        <v>3</v>
      </c>
      <c r="K2919" s="10">
        <f t="shared" si="1769"/>
        <v>3</v>
      </c>
      <c r="L2919" s="10">
        <f t="shared" si="1769"/>
        <v>3</v>
      </c>
      <c r="M2919" s="10" t="str">
        <f t="shared" si="1769"/>
        <v>FLAG</v>
      </c>
      <c r="N2919" s="10" t="str">
        <f t="shared" si="2"/>
        <v>8-1749a(e) - Uniform Act Regulating Traffic; 1-way glass and sun screening devices; headlamps</v>
      </c>
      <c r="O2919" s="10" t="str">
        <f t="shared" si="3"/>
        <v>Uniform Act Regulating Traffic</v>
      </c>
    </row>
    <row r="2920">
      <c r="A2920" s="7" t="s">
        <v>5187</v>
      </c>
      <c r="B2920" s="8" t="s">
        <v>5188</v>
      </c>
      <c r="C2920" s="8" t="s">
        <v>19</v>
      </c>
      <c r="D2920" s="8" t="s">
        <v>19</v>
      </c>
      <c r="E2920" s="8" t="s">
        <v>19</v>
      </c>
      <c r="F2920" s="8" t="s">
        <v>20</v>
      </c>
      <c r="G2920" s="8" t="s">
        <v>21</v>
      </c>
      <c r="H2920" s="9"/>
      <c r="I2920" s="9"/>
      <c r="J2920" s="10">
        <f t="shared" ref="J2920:M2920" si="1770">ifs(OR($H2920="R",$I2920="N"),"N/A",OR(C2920="A",C2920="B",C2920="C",C2920="U"),3,TRUE,"FLAG")</f>
        <v>3</v>
      </c>
      <c r="K2920" s="10">
        <f t="shared" si="1770"/>
        <v>3</v>
      </c>
      <c r="L2920" s="10">
        <f t="shared" si="1770"/>
        <v>3</v>
      </c>
      <c r="M2920" s="10" t="str">
        <f t="shared" si="1770"/>
        <v>FLAG</v>
      </c>
      <c r="N2920" s="10" t="str">
        <f t="shared" si="2"/>
        <v>8-1749a(a) - Uniform Act Regulating Traffic; 1-way glass and sun screening devices; windows</v>
      </c>
      <c r="O2920" s="10" t="str">
        <f t="shared" si="3"/>
        <v>Uniform Act Regulating Traffic</v>
      </c>
    </row>
    <row r="2921">
      <c r="A2921" s="7" t="s">
        <v>5189</v>
      </c>
      <c r="B2921" s="8" t="s">
        <v>5190</v>
      </c>
      <c r="C2921" s="8" t="s">
        <v>19</v>
      </c>
      <c r="D2921" s="8" t="s">
        <v>19</v>
      </c>
      <c r="E2921" s="8" t="s">
        <v>19</v>
      </c>
      <c r="F2921" s="8" t="s">
        <v>20</v>
      </c>
      <c r="G2921" s="8" t="s">
        <v>21</v>
      </c>
      <c r="H2921" s="9"/>
      <c r="I2921" s="9"/>
      <c r="J2921" s="10">
        <f t="shared" ref="J2921:M2921" si="1771">ifs(OR($H2921="R",$I2921="N"),"N/A",OR(C2921="A",C2921="B",C2921="C",C2921="U"),3,TRUE,"FLAG")</f>
        <v>3</v>
      </c>
      <c r="K2921" s="10">
        <f t="shared" si="1771"/>
        <v>3</v>
      </c>
      <c r="L2921" s="10">
        <f t="shared" si="1771"/>
        <v>3</v>
      </c>
      <c r="M2921" s="10" t="str">
        <f t="shared" si="1771"/>
        <v>FLAG</v>
      </c>
      <c r="N2921" s="10" t="str">
        <f t="shared" si="2"/>
        <v>8-2107(b) - Uniform Act Regulating Traffic; Applying for a replacement or new DL prior to the return of such person's original license which has been deposited in lieu of bond under this section</v>
      </c>
      <c r="O2921" s="10" t="str">
        <f t="shared" si="3"/>
        <v>Uniform Act Regulating Traffic</v>
      </c>
    </row>
    <row r="2922">
      <c r="A2922" s="7" t="s">
        <v>5191</v>
      </c>
      <c r="B2922" s="8" t="s">
        <v>5192</v>
      </c>
      <c r="C2922" s="8" t="s">
        <v>18</v>
      </c>
      <c r="D2922" s="8" t="s">
        <v>18</v>
      </c>
      <c r="E2922" s="8" t="s">
        <v>19</v>
      </c>
      <c r="F2922" s="8" t="s">
        <v>20</v>
      </c>
      <c r="G2922" s="8" t="s">
        <v>21</v>
      </c>
      <c r="H2922" s="9"/>
      <c r="I2922" s="9"/>
      <c r="J2922" s="10">
        <f t="shared" ref="J2922:M2922" si="1772">ifs(OR($H2922="R",$I2922="N"),"N/A",OR(C2922="A",C2922="B",C2922="C",C2922="U"),3,TRUE,"FLAG")</f>
        <v>3</v>
      </c>
      <c r="K2922" s="10">
        <f t="shared" si="1772"/>
        <v>3</v>
      </c>
      <c r="L2922" s="10">
        <f t="shared" si="1772"/>
        <v>3</v>
      </c>
      <c r="M2922" s="10" t="str">
        <f t="shared" si="1772"/>
        <v>FLAG</v>
      </c>
      <c r="N2922" s="10" t="str">
        <f t="shared" si="2"/>
        <v>8-1525(b) - Uniform Act Regulating Traffic; Disobeying restrictions stated on official traffic-control devices on a controlled-access highway or facility; 1st violation</v>
      </c>
      <c r="O2922" s="10" t="str">
        <f t="shared" si="3"/>
        <v>Uniform Act Regulating Traffic</v>
      </c>
    </row>
    <row r="2923">
      <c r="A2923" s="7" t="s">
        <v>5193</v>
      </c>
      <c r="B2923" s="8" t="s">
        <v>5194</v>
      </c>
      <c r="C2923" s="8" t="s">
        <v>18</v>
      </c>
      <c r="D2923" s="8" t="s">
        <v>18</v>
      </c>
      <c r="E2923" s="8" t="s">
        <v>19</v>
      </c>
      <c r="F2923" s="8" t="s">
        <v>20</v>
      </c>
      <c r="G2923" s="8" t="s">
        <v>21</v>
      </c>
      <c r="H2923" s="9"/>
      <c r="I2923" s="9"/>
      <c r="J2923" s="10">
        <f t="shared" ref="J2923:M2923" si="1773">ifs(OR($H2923="R",$I2923="N"),"N/A",OR(C2923="A",C2923="B",C2923="C",C2923="U"),3,TRUE,"FLAG")</f>
        <v>3</v>
      </c>
      <c r="K2923" s="10">
        <f t="shared" si="1773"/>
        <v>3</v>
      </c>
      <c r="L2923" s="10">
        <f t="shared" si="1773"/>
        <v>3</v>
      </c>
      <c r="M2923" s="10" t="str">
        <f t="shared" si="1773"/>
        <v>FLAG</v>
      </c>
      <c r="N2923" s="10" t="str">
        <f t="shared" si="2"/>
        <v>8-1910(a) - Uniform Act Regulating Traffic; Fail or refuse to weigh vehicle; 1st violation</v>
      </c>
      <c r="O2923" s="10" t="str">
        <f t="shared" si="3"/>
        <v>Uniform Act Regulating Traffic</v>
      </c>
    </row>
    <row r="2924">
      <c r="A2924" s="7" t="s">
        <v>5195</v>
      </c>
      <c r="B2924" s="8" t="s">
        <v>5196</v>
      </c>
      <c r="C2924" s="8" t="s">
        <v>18</v>
      </c>
      <c r="D2924" s="8" t="s">
        <v>18</v>
      </c>
      <c r="E2924" s="8" t="s">
        <v>19</v>
      </c>
      <c r="F2924" s="8" t="s">
        <v>20</v>
      </c>
      <c r="G2924" s="8" t="s">
        <v>21</v>
      </c>
      <c r="H2924" s="9"/>
      <c r="I2924" s="9"/>
      <c r="J2924" s="10">
        <f t="shared" ref="J2924:M2924" si="1774">ifs(OR($H2924="R",$I2924="N"),"N/A",OR(C2924="A",C2924="B",C2924="C",C2924="U"),3,TRUE,"FLAG")</f>
        <v>3</v>
      </c>
      <c r="K2924" s="10">
        <f t="shared" si="1774"/>
        <v>3</v>
      </c>
      <c r="L2924" s="10">
        <f t="shared" si="1774"/>
        <v>3</v>
      </c>
      <c r="M2924" s="10" t="str">
        <f t="shared" si="1774"/>
        <v>FLAG</v>
      </c>
      <c r="N2924" s="10" t="str">
        <f t="shared" si="2"/>
        <v>8-1746(b) - Uniform Act Regulating Traffic; Fail to comply with rules and regulations pertaining to transportation of hazardous materials</v>
      </c>
      <c r="O2924" s="10" t="str">
        <f t="shared" si="3"/>
        <v>Uniform Act Regulating Traffic</v>
      </c>
    </row>
    <row r="2925">
      <c r="A2925" s="7" t="s">
        <v>5197</v>
      </c>
      <c r="B2925" s="8" t="s">
        <v>5198</v>
      </c>
      <c r="C2925" s="8" t="s">
        <v>18</v>
      </c>
      <c r="D2925" s="8" t="s">
        <v>18</v>
      </c>
      <c r="E2925" s="8" t="s">
        <v>19</v>
      </c>
      <c r="F2925" s="8" t="s">
        <v>20</v>
      </c>
      <c r="G2925" s="8" t="s">
        <v>21</v>
      </c>
      <c r="H2925" s="9"/>
      <c r="I2925" s="9"/>
      <c r="J2925" s="10">
        <f t="shared" ref="J2925:M2925" si="1775">ifs(OR($H2925="R",$I2925="N"),"N/A",OR(C2925="A",C2925="B",C2925="C",C2925="U"),3,TRUE,"FLAG")</f>
        <v>3</v>
      </c>
      <c r="K2925" s="10">
        <f t="shared" si="1775"/>
        <v>3</v>
      </c>
      <c r="L2925" s="10">
        <f t="shared" si="1775"/>
        <v>3</v>
      </c>
      <c r="M2925" s="10" t="str">
        <f t="shared" si="1775"/>
        <v>FLAG</v>
      </c>
      <c r="N2925" s="10" t="str">
        <f t="shared" si="2"/>
        <v>8-1746(c) - Uniform Act Regulating Traffic; Fail to place marks or placards on vehicle as required</v>
      </c>
      <c r="O2925" s="10" t="str">
        <f t="shared" si="3"/>
        <v>Uniform Act Regulating Traffic</v>
      </c>
    </row>
    <row r="2926">
      <c r="A2926" s="7" t="s">
        <v>5199</v>
      </c>
      <c r="B2926" s="8" t="s">
        <v>5200</v>
      </c>
      <c r="C2926" s="8" t="s">
        <v>27</v>
      </c>
      <c r="D2926" s="8" t="s">
        <v>28</v>
      </c>
      <c r="E2926" s="8" t="s">
        <v>19</v>
      </c>
      <c r="F2926" s="8" t="s">
        <v>20</v>
      </c>
      <c r="G2926" s="8" t="s">
        <v>21</v>
      </c>
      <c r="H2926" s="9"/>
      <c r="I2926" s="9"/>
      <c r="J2926" s="10">
        <f t="shared" ref="J2926:M2926" si="1776">ifs(OR($H2926="R",$I2926="N"),"N/A",OR(C2926="A",C2926="B",C2926="C",C2926="U"),3,TRUE,"FLAG")</f>
        <v>3</v>
      </c>
      <c r="K2926" s="10">
        <f t="shared" si="1776"/>
        <v>3</v>
      </c>
      <c r="L2926" s="10">
        <f t="shared" si="1776"/>
        <v>3</v>
      </c>
      <c r="M2926" s="10" t="str">
        <f t="shared" si="1776"/>
        <v>FLAG</v>
      </c>
      <c r="N2926" s="10" t="str">
        <f t="shared" si="2"/>
        <v>8-1759a(a) - Uniform Act Regulating Traffic; Failure of driver to stop and submit vehicle to an inspection and test upon request of highway patrol officer</v>
      </c>
      <c r="O2926" s="10" t="str">
        <f t="shared" si="3"/>
        <v>Uniform Act Regulating Traffic</v>
      </c>
    </row>
    <row r="2927">
      <c r="A2927" s="7" t="s">
        <v>5201</v>
      </c>
      <c r="B2927" s="8" t="s">
        <v>5202</v>
      </c>
      <c r="C2927" s="8" t="s">
        <v>27</v>
      </c>
      <c r="D2927" s="8" t="s">
        <v>28</v>
      </c>
      <c r="E2927" s="8" t="s">
        <v>19</v>
      </c>
      <c r="F2927" s="8" t="s">
        <v>20</v>
      </c>
      <c r="G2927" s="8" t="s">
        <v>21</v>
      </c>
      <c r="H2927" s="9"/>
      <c r="I2927" s="9"/>
      <c r="J2927" s="10">
        <f t="shared" ref="J2927:M2927" si="1777">ifs(OR($H2927="R",$I2927="N"),"N/A",OR(C2927="A",C2927="B",C2927="C",C2927="U"),3,TRUE,"FLAG")</f>
        <v>3</v>
      </c>
      <c r="K2927" s="10">
        <f t="shared" si="1777"/>
        <v>3</v>
      </c>
      <c r="L2927" s="10">
        <f t="shared" si="1777"/>
        <v>3</v>
      </c>
      <c r="M2927" s="10" t="str">
        <f t="shared" si="1777"/>
        <v>FLAG</v>
      </c>
      <c r="N2927" s="10" t="str">
        <f t="shared" si="2"/>
        <v>8-1759a(c) - Uniform Act Regulating Traffic; Failure to comply with highway patrol officers order to cease driving hazardous, defective vehicle or to drive to nearest garage or other place of safety</v>
      </c>
      <c r="O2927" s="10" t="str">
        <f t="shared" si="3"/>
        <v>Uniform Act Regulating Traffic</v>
      </c>
    </row>
    <row r="2928">
      <c r="A2928" s="7" t="s">
        <v>5203</v>
      </c>
      <c r="B2928" s="8" t="s">
        <v>5204</v>
      </c>
      <c r="C2928" s="8" t="s">
        <v>18</v>
      </c>
      <c r="D2928" s="8" t="s">
        <v>18</v>
      </c>
      <c r="E2928" s="8" t="s">
        <v>19</v>
      </c>
      <c r="F2928" s="8" t="s">
        <v>20</v>
      </c>
      <c r="G2928" s="8" t="s">
        <v>21</v>
      </c>
      <c r="H2928" s="9"/>
      <c r="I2928" s="9"/>
      <c r="J2928" s="10">
        <f t="shared" ref="J2928:M2928" si="1778">ifs(OR($H2928="R",$I2928="N"),"N/A",OR(C2928="A",C2928="B",C2928="C",C2928="U"),3,TRUE,"FLAG")</f>
        <v>3</v>
      </c>
      <c r="K2928" s="10">
        <f t="shared" si="1778"/>
        <v>3</v>
      </c>
      <c r="L2928" s="10">
        <f t="shared" si="1778"/>
        <v>3</v>
      </c>
      <c r="M2928" s="10" t="str">
        <f t="shared" si="1778"/>
        <v>FLAG</v>
      </c>
      <c r="N2928" s="10" t="str">
        <f t="shared" si="2"/>
        <v>8-2110(a) - Uniform Act Regulating Traffic; Failure to comply with traffic citation</v>
      </c>
      <c r="O2928" s="10" t="str">
        <f t="shared" si="3"/>
        <v>Uniform Act Regulating Traffic</v>
      </c>
    </row>
    <row r="2929">
      <c r="A2929" s="7" t="s">
        <v>5205</v>
      </c>
      <c r="B2929" s="8" t="s">
        <v>5206</v>
      </c>
      <c r="C2929" s="8" t="s">
        <v>18</v>
      </c>
      <c r="D2929" s="8" t="s">
        <v>18</v>
      </c>
      <c r="E2929" s="8" t="s">
        <v>19</v>
      </c>
      <c r="F2929" s="8" t="s">
        <v>20</v>
      </c>
      <c r="G2929" s="8" t="s">
        <v>21</v>
      </c>
      <c r="H2929" s="9"/>
      <c r="I2929" s="9"/>
      <c r="J2929" s="10">
        <f t="shared" ref="J2929:M2929" si="1779">ifs(OR($H2929="R",$I2929="N"),"N/A",OR(C2929="A",C2929="B",C2929="C",C2929="U"),3,TRUE,"FLAG")</f>
        <v>3</v>
      </c>
      <c r="K2929" s="10">
        <f t="shared" si="1779"/>
        <v>3</v>
      </c>
      <c r="L2929" s="10">
        <f t="shared" si="1779"/>
        <v>3</v>
      </c>
      <c r="M2929" s="10" t="str">
        <f t="shared" si="1779"/>
        <v>FLAG</v>
      </c>
      <c r="N2929" s="10" t="str">
        <f t="shared" si="2"/>
        <v>8-1746(d) - Uniform Act Regulating Traffic; Failure to properly equip vehicle with fire extinguishers of a type, size and number approved by the secretary</v>
      </c>
      <c r="O2929" s="10" t="str">
        <f t="shared" si="3"/>
        <v>Uniform Act Regulating Traffic</v>
      </c>
    </row>
    <row r="2930">
      <c r="A2930" s="7" t="s">
        <v>5207</v>
      </c>
      <c r="B2930" s="8" t="s">
        <v>5208</v>
      </c>
      <c r="C2930" s="8" t="s">
        <v>27</v>
      </c>
      <c r="D2930" s="8" t="s">
        <v>28</v>
      </c>
      <c r="E2930" s="8" t="s">
        <v>19</v>
      </c>
      <c r="F2930" s="8" t="s">
        <v>20</v>
      </c>
      <c r="G2930" s="8" t="s">
        <v>21</v>
      </c>
      <c r="H2930" s="9"/>
      <c r="I2930" s="9"/>
      <c r="J2930" s="10">
        <f t="shared" ref="J2930:M2930" si="1780">ifs(OR($H2930="R",$I2930="N"),"N/A",OR(C2930="A",C2930="B",C2930="C",C2930="U"),3,TRUE,"FLAG")</f>
        <v>3</v>
      </c>
      <c r="K2930" s="10">
        <f t="shared" si="1780"/>
        <v>3</v>
      </c>
      <c r="L2930" s="10">
        <f t="shared" si="1780"/>
        <v>3</v>
      </c>
      <c r="M2930" s="10" t="str">
        <f t="shared" si="1780"/>
        <v>FLAG</v>
      </c>
      <c r="N2930" s="10" t="str">
        <f t="shared" si="2"/>
        <v>8-1759(a) - Uniform Act Regulating Traffic; Failure to stop at a spot inspection by highway patrol</v>
      </c>
      <c r="O2930" s="10" t="str">
        <f t="shared" si="3"/>
        <v>Uniform Act Regulating Traffic</v>
      </c>
    </row>
    <row r="2931">
      <c r="A2931" s="7" t="s">
        <v>5209</v>
      </c>
      <c r="B2931" s="8" t="s">
        <v>5210</v>
      </c>
      <c r="C2931" s="8" t="s">
        <v>27</v>
      </c>
      <c r="D2931" s="8" t="s">
        <v>28</v>
      </c>
      <c r="E2931" s="8" t="s">
        <v>19</v>
      </c>
      <c r="F2931" s="8" t="s">
        <v>20</v>
      </c>
      <c r="G2931" s="8" t="s">
        <v>21</v>
      </c>
      <c r="H2931" s="9"/>
      <c r="I2931" s="9"/>
      <c r="J2931" s="10">
        <f t="shared" ref="J2931:M2931" si="1781">ifs(OR($H2931="R",$I2931="N"),"N/A",OR(C2931="A",C2931="B",C2931="C",C2931="U"),3,TRUE,"FLAG")</f>
        <v>3</v>
      </c>
      <c r="K2931" s="10">
        <f t="shared" si="1781"/>
        <v>3</v>
      </c>
      <c r="L2931" s="10">
        <f t="shared" si="1781"/>
        <v>3</v>
      </c>
      <c r="M2931" s="10" t="str">
        <f t="shared" si="1781"/>
        <v>FLAG</v>
      </c>
      <c r="N2931" s="10" t="str">
        <f t="shared" si="2"/>
        <v>8-1759a(b) - Uniform Act Regulating Traffic; Highway patrol officer required to give a written notice of any defect to the driver</v>
      </c>
      <c r="O2931" s="10" t="str">
        <f t="shared" si="3"/>
        <v>Uniform Act Regulating Traffic</v>
      </c>
    </row>
    <row r="2932">
      <c r="A2932" s="7" t="s">
        <v>5211</v>
      </c>
      <c r="B2932" s="12" t="s">
        <v>5212</v>
      </c>
      <c r="C2932" s="8" t="s">
        <v>18</v>
      </c>
      <c r="D2932" s="8" t="s">
        <v>18</v>
      </c>
      <c r="E2932" s="8" t="s">
        <v>19</v>
      </c>
      <c r="F2932" s="8" t="s">
        <v>20</v>
      </c>
      <c r="G2932" s="8" t="s">
        <v>21</v>
      </c>
      <c r="H2932" s="9"/>
      <c r="I2932" s="9"/>
      <c r="J2932" s="10">
        <f t="shared" ref="J2932:M2932" si="1782">ifs(OR($H2932="R",$I2932="N"),"N/A",OR(C2932="A",C2932="B",C2932="C",C2932="U"),3,TRUE,"FLAG")</f>
        <v>3</v>
      </c>
      <c r="K2932" s="10">
        <f t="shared" si="1782"/>
        <v>3</v>
      </c>
      <c r="L2932" s="10">
        <f t="shared" si="1782"/>
        <v>3</v>
      </c>
      <c r="M2932" s="10" t="str">
        <f t="shared" si="1782"/>
        <v>FLAG</v>
      </c>
      <c r="N2932" s="10" t="str">
        <f t="shared" si="2"/>
        <v>-141135 - Uniform Act Regulating Traffic; Interference with official traffic control devices/railroad signs; 1st violation</v>
      </c>
      <c r="O2932" s="10" t="str">
        <f t="shared" si="3"/>
        <v>Uniform Act Regulating Traffic</v>
      </c>
    </row>
    <row r="2933">
      <c r="A2933" s="7" t="s">
        <v>5213</v>
      </c>
      <c r="B2933" s="12" t="s">
        <v>5214</v>
      </c>
      <c r="C2933" s="8" t="s">
        <v>18</v>
      </c>
      <c r="D2933" s="8" t="s">
        <v>18</v>
      </c>
      <c r="E2933" s="8" t="s">
        <v>19</v>
      </c>
      <c r="F2933" s="8" t="s">
        <v>20</v>
      </c>
      <c r="G2933" s="8" t="s">
        <v>21</v>
      </c>
      <c r="H2933" s="9"/>
      <c r="I2933" s="9"/>
      <c r="J2933" s="10">
        <f t="shared" ref="J2933:M2933" si="1783">ifs(OR($H2933="R",$I2933="N"),"N/A",OR(C2933="A",C2933="B",C2933="C",C2933="U"),3,TRUE,"FLAG")</f>
        <v>3</v>
      </c>
      <c r="K2933" s="10">
        <f t="shared" si="1783"/>
        <v>3</v>
      </c>
      <c r="L2933" s="10">
        <f t="shared" si="1783"/>
        <v>3</v>
      </c>
      <c r="M2933" s="10" t="str">
        <f t="shared" si="1783"/>
        <v>FLAG</v>
      </c>
      <c r="N2933" s="10" t="str">
        <f t="shared" si="2"/>
        <v>-130178 - Uniform Act Regulating Traffic; Pedestrians under the influence of Drugs or Alcohol; 1st violation</v>
      </c>
      <c r="O2933" s="10" t="str">
        <f t="shared" si="3"/>
        <v>Uniform Act Regulating Traffic</v>
      </c>
    </row>
    <row r="2934">
      <c r="A2934" s="7" t="s">
        <v>5215</v>
      </c>
      <c r="B2934" s="8" t="s">
        <v>5216</v>
      </c>
      <c r="C2934" s="8" t="s">
        <v>18</v>
      </c>
      <c r="D2934" s="8" t="s">
        <v>18</v>
      </c>
      <c r="E2934" s="8" t="s">
        <v>19</v>
      </c>
      <c r="F2934" s="8" t="s">
        <v>20</v>
      </c>
      <c r="G2934" s="8" t="s">
        <v>21</v>
      </c>
      <c r="H2934" s="9"/>
      <c r="I2934" s="9"/>
      <c r="J2934" s="10">
        <f t="shared" ref="J2934:M2934" si="1784">ifs(OR($H2934="R",$I2934="N"),"N/A",OR(C2934="A",C2934="B",C2934="C",C2934="U"),3,TRUE,"FLAG")</f>
        <v>3</v>
      </c>
      <c r="K2934" s="10">
        <f t="shared" si="1784"/>
        <v>3</v>
      </c>
      <c r="L2934" s="10">
        <f t="shared" si="1784"/>
        <v>3</v>
      </c>
      <c r="M2934" s="10" t="str">
        <f t="shared" si="1784"/>
        <v>FLAG</v>
      </c>
      <c r="N2934" s="10" t="str">
        <f t="shared" si="2"/>
        <v>8-1565(a) - Uniform Act Regulating Traffic; Racing on highways</v>
      </c>
      <c r="O2934" s="10" t="str">
        <f t="shared" si="3"/>
        <v>Uniform Act Regulating Traffic</v>
      </c>
    </row>
    <row r="2935">
      <c r="A2935" s="7" t="s">
        <v>5217</v>
      </c>
      <c r="B2935" s="8" t="s">
        <v>5218</v>
      </c>
      <c r="C2935" s="8" t="s">
        <v>18</v>
      </c>
      <c r="D2935" s="8" t="s">
        <v>18</v>
      </c>
      <c r="E2935" s="8" t="s">
        <v>19</v>
      </c>
      <c r="F2935" s="8" t="s">
        <v>20</v>
      </c>
      <c r="G2935" s="8" t="s">
        <v>21</v>
      </c>
      <c r="H2935" s="9"/>
      <c r="I2935" s="9"/>
      <c r="J2935" s="10">
        <f t="shared" ref="J2935:M2935" si="1785">ifs(OR($H2935="R",$I2935="N"),"N/A",OR(C2935="A",C2935="B",C2935="C",C2935="U"),3,TRUE,"FLAG")</f>
        <v>3</v>
      </c>
      <c r="K2935" s="10">
        <f t="shared" si="1785"/>
        <v>3</v>
      </c>
      <c r="L2935" s="10">
        <f t="shared" si="1785"/>
        <v>3</v>
      </c>
      <c r="M2935" s="10" t="str">
        <f t="shared" si="1785"/>
        <v>FLAG</v>
      </c>
      <c r="N2935" s="10" t="str">
        <f t="shared" si="2"/>
        <v>8-1566(a) - Uniform Act Regulating Traffic; Reckless driving</v>
      </c>
      <c r="O2935" s="10" t="str">
        <f t="shared" si="3"/>
        <v>Uniform Act Regulating Traffic</v>
      </c>
    </row>
    <row r="2936">
      <c r="A2936" s="7" t="s">
        <v>5219</v>
      </c>
      <c r="B2936" s="8" t="s">
        <v>5220</v>
      </c>
      <c r="C2936" s="8" t="s">
        <v>18</v>
      </c>
      <c r="D2936" s="8" t="s">
        <v>18</v>
      </c>
      <c r="E2936" s="8" t="s">
        <v>19</v>
      </c>
      <c r="F2936" s="8" t="s">
        <v>20</v>
      </c>
      <c r="G2936" s="8" t="s">
        <v>21</v>
      </c>
      <c r="H2936" s="9"/>
      <c r="I2936" s="9"/>
      <c r="J2936" s="10">
        <f t="shared" ref="J2936:M2936" si="1786">ifs(OR($H2936="R",$I2936="N"),"N/A",OR(C2936="A",C2936="B",C2936="C",C2936="U"),3,TRUE,"FLAG")</f>
        <v>3</v>
      </c>
      <c r="K2936" s="10">
        <f t="shared" si="1786"/>
        <v>3</v>
      </c>
      <c r="L2936" s="10">
        <f t="shared" si="1786"/>
        <v>3</v>
      </c>
      <c r="M2936" s="10" t="str">
        <f t="shared" si="1786"/>
        <v>FLAG</v>
      </c>
      <c r="N2936" s="10" t="str">
        <f t="shared" si="2"/>
        <v>8-1743(d) - Uniform Act Regulating Traffic; Replace any glass or glazing materials in certain locations with any material other than safety glazing material</v>
      </c>
      <c r="O2936" s="10" t="str">
        <f t="shared" si="3"/>
        <v>Uniform Act Regulating Traffic</v>
      </c>
    </row>
    <row r="2937">
      <c r="A2937" s="7" t="s">
        <v>5221</v>
      </c>
      <c r="B2937" s="8" t="s">
        <v>5222</v>
      </c>
      <c r="C2937" s="8" t="s">
        <v>18</v>
      </c>
      <c r="D2937" s="8" t="s">
        <v>18</v>
      </c>
      <c r="E2937" s="8" t="s">
        <v>19</v>
      </c>
      <c r="F2937" s="8" t="s">
        <v>20</v>
      </c>
      <c r="G2937" s="8" t="s">
        <v>21</v>
      </c>
      <c r="H2937" s="9"/>
      <c r="I2937" s="9"/>
      <c r="J2937" s="10">
        <f t="shared" ref="J2937:M2937" si="1787">ifs(OR($H2937="R",$I2937="N"),"N/A",OR(C2937="A",C2937="B",C2937="C",C2937="U"),3,TRUE,"FLAG")</f>
        <v>3</v>
      </c>
      <c r="K2937" s="10">
        <f t="shared" si="1787"/>
        <v>3</v>
      </c>
      <c r="L2937" s="10">
        <f t="shared" si="1787"/>
        <v>3</v>
      </c>
      <c r="M2937" s="10" t="str">
        <f t="shared" si="1787"/>
        <v>FLAG</v>
      </c>
      <c r="N2937" s="10" t="str">
        <f t="shared" si="2"/>
        <v>8-1743(a) - Uniform Act Regulating Traffic; Sale of new passenger vehicle without safety glazing material</v>
      </c>
      <c r="O2937" s="10" t="str">
        <f t="shared" si="3"/>
        <v>Uniform Act Regulating Traffic</v>
      </c>
    </row>
    <row r="2938">
      <c r="A2938" s="7" t="s">
        <v>5223</v>
      </c>
      <c r="B2938" s="8" t="s">
        <v>5224</v>
      </c>
      <c r="C2938" s="8" t="s">
        <v>18</v>
      </c>
      <c r="D2938" s="8" t="s">
        <v>18</v>
      </c>
      <c r="E2938" s="8" t="s">
        <v>19</v>
      </c>
      <c r="F2938" s="8" t="s">
        <v>20</v>
      </c>
      <c r="G2938" s="8" t="s">
        <v>21</v>
      </c>
      <c r="H2938" s="9"/>
      <c r="I2938" s="9"/>
      <c r="J2938" s="10">
        <f t="shared" ref="J2938:M2938" si="1788">ifs(OR($H2938="R",$I2938="N"),"N/A",OR(C2938="A",C2938="B",C2938="C",C2938="U"),3,TRUE,"FLAG")</f>
        <v>3</v>
      </c>
      <c r="K2938" s="10">
        <f t="shared" si="1788"/>
        <v>3</v>
      </c>
      <c r="L2938" s="10">
        <f t="shared" si="1788"/>
        <v>3</v>
      </c>
      <c r="M2938" s="10" t="str">
        <f t="shared" si="1788"/>
        <v>FLAG</v>
      </c>
      <c r="N2938" s="10" t="str">
        <f t="shared" si="2"/>
        <v>8-1742a - Uniform Act Regulating Traffic; Sell unsafe tires</v>
      </c>
      <c r="O2938" s="10" t="str">
        <f t="shared" si="3"/>
        <v>Uniform Act Regulating Traffic</v>
      </c>
    </row>
    <row r="2939">
      <c r="A2939" s="7" t="s">
        <v>5225</v>
      </c>
      <c r="B2939" s="8" t="s">
        <v>5226</v>
      </c>
      <c r="C2939" s="8" t="s">
        <v>18</v>
      </c>
      <c r="D2939" s="8" t="s">
        <v>18</v>
      </c>
      <c r="E2939" s="8" t="s">
        <v>19</v>
      </c>
      <c r="F2939" s="8" t="s">
        <v>20</v>
      </c>
      <c r="G2939" s="8" t="s">
        <v>21</v>
      </c>
      <c r="H2939" s="9"/>
      <c r="I2939" s="9"/>
      <c r="J2939" s="10">
        <f t="shared" ref="J2939:M2939" si="1789">ifs(OR($H2939="R",$I2939="N"),"N/A",OR(C2939="A",C2939="B",C2939="C",C2939="U"),3,TRUE,"FLAG")</f>
        <v>3</v>
      </c>
      <c r="K2939" s="10">
        <f t="shared" si="1789"/>
        <v>3</v>
      </c>
      <c r="L2939" s="10">
        <f t="shared" si="1789"/>
        <v>3</v>
      </c>
      <c r="M2939" s="10" t="str">
        <f t="shared" si="1789"/>
        <v>FLAG</v>
      </c>
      <c r="N2939" s="10" t="str">
        <f t="shared" si="2"/>
        <v>8-1743(b) - Uniform Act Regulating Traffic; Sell, or affix to a motor vehicle, any truck-camper manufactured or assembled after July 1, 1968, without safety glazing material</v>
      </c>
      <c r="O2939" s="10" t="str">
        <f t="shared" si="3"/>
        <v>Uniform Act Regulating Traffic</v>
      </c>
    </row>
    <row r="2940">
      <c r="A2940" s="7" t="s">
        <v>5227</v>
      </c>
      <c r="B2940" s="8" t="s">
        <v>5228</v>
      </c>
      <c r="C2940" s="8" t="s">
        <v>18</v>
      </c>
      <c r="D2940" s="8" t="s">
        <v>18</v>
      </c>
      <c r="E2940" s="8" t="s">
        <v>19</v>
      </c>
      <c r="F2940" s="8" t="s">
        <v>20</v>
      </c>
      <c r="G2940" s="8" t="s">
        <v>21</v>
      </c>
      <c r="H2940" s="9"/>
      <c r="I2940" s="9"/>
      <c r="J2940" s="10">
        <f t="shared" ref="J2940:M2940" si="1790">ifs(OR($H2940="R",$I2940="N"),"N/A",OR(C2940="A",C2940="B",C2940="C",C2940="U"),3,TRUE,"FLAG")</f>
        <v>3</v>
      </c>
      <c r="K2940" s="10">
        <f t="shared" si="1790"/>
        <v>3</v>
      </c>
      <c r="L2940" s="10">
        <f t="shared" si="1790"/>
        <v>3</v>
      </c>
      <c r="M2940" s="10" t="str">
        <f t="shared" si="1790"/>
        <v>FLAG</v>
      </c>
      <c r="N2940" s="10" t="str">
        <f t="shared" si="2"/>
        <v>8-1599(b) - Uniform Act Regulating Traffic; Transporting Alcoholic beverage in an open container</v>
      </c>
      <c r="O2940" s="10" t="str">
        <f t="shared" si="3"/>
        <v>Uniform Act Regulating Traffic</v>
      </c>
    </row>
    <row r="2941">
      <c r="A2941" s="7" t="s">
        <v>5229</v>
      </c>
      <c r="B2941" s="12">
        <v>79107.0</v>
      </c>
      <c r="C2941" s="8" t="s">
        <v>19</v>
      </c>
      <c r="D2941" s="8" t="s">
        <v>19</v>
      </c>
      <c r="E2941" s="8" t="s">
        <v>19</v>
      </c>
      <c r="F2941" s="8" t="s">
        <v>20</v>
      </c>
      <c r="G2941" s="8" t="s">
        <v>21</v>
      </c>
      <c r="H2941" s="9"/>
      <c r="I2941" s="9"/>
      <c r="J2941" s="10">
        <f t="shared" ref="J2941:M2941" si="1791">ifs(OR($H2941="R",$I2941="N"),"N/A",OR(C2941="A",C2941="B",C2941="C",C2941="U"),3,TRUE,"FLAG")</f>
        <v>3</v>
      </c>
      <c r="K2941" s="10">
        <f t="shared" si="1791"/>
        <v>3</v>
      </c>
      <c r="L2941" s="10">
        <f t="shared" si="1791"/>
        <v>3</v>
      </c>
      <c r="M2941" s="10" t="str">
        <f t="shared" si="1791"/>
        <v>FLAG</v>
      </c>
      <c r="N2941" s="10" t="str">
        <f t="shared" si="2"/>
        <v>79107 - Uniform Act Regulating Traffic; Violation of act not in K.S.A. 8-2118; 1st violation</v>
      </c>
      <c r="O2941" s="10" t="str">
        <f t="shared" si="3"/>
        <v>Uniform Act Regulating Traffic</v>
      </c>
    </row>
    <row r="2942">
      <c r="A2942" s="7" t="s">
        <v>5230</v>
      </c>
      <c r="B2942" s="12">
        <v>79107.0</v>
      </c>
      <c r="C2942" s="8" t="s">
        <v>28</v>
      </c>
      <c r="D2942" s="8" t="s">
        <v>19</v>
      </c>
      <c r="E2942" s="8" t="s">
        <v>19</v>
      </c>
      <c r="F2942" s="8" t="s">
        <v>20</v>
      </c>
      <c r="G2942" s="8" t="s">
        <v>21</v>
      </c>
      <c r="H2942" s="9"/>
      <c r="I2942" s="9"/>
      <c r="J2942" s="10">
        <f t="shared" ref="J2942:M2942" si="1792">ifs(OR($H2942="R",$I2942="N"),"N/A",OR(C2942="A",C2942="B",C2942="C",C2942="U"),3,TRUE,"FLAG")</f>
        <v>3</v>
      </c>
      <c r="K2942" s="10">
        <f t="shared" si="1792"/>
        <v>3</v>
      </c>
      <c r="L2942" s="10">
        <f t="shared" si="1792"/>
        <v>3</v>
      </c>
      <c r="M2942" s="10" t="str">
        <f t="shared" si="1792"/>
        <v>FLAG</v>
      </c>
      <c r="N2942" s="10" t="str">
        <f t="shared" si="2"/>
        <v>79107 - Uniform Act Regulating Traffic; Violation of act not in K.S.A. 8-2118; 2nd violation with 1 yr of 1st</v>
      </c>
      <c r="O2942" s="10" t="str">
        <f t="shared" si="3"/>
        <v>Uniform Act Regulating Traffic</v>
      </c>
    </row>
    <row r="2943">
      <c r="A2943" s="7" t="s">
        <v>5231</v>
      </c>
      <c r="B2943" s="12">
        <v>79107.0</v>
      </c>
      <c r="C2943" s="8" t="s">
        <v>27</v>
      </c>
      <c r="D2943" s="8" t="s">
        <v>28</v>
      </c>
      <c r="E2943" s="8" t="s">
        <v>19</v>
      </c>
      <c r="F2943" s="8" t="s">
        <v>20</v>
      </c>
      <c r="G2943" s="8" t="s">
        <v>21</v>
      </c>
      <c r="H2943" s="9"/>
      <c r="I2943" s="9"/>
      <c r="J2943" s="10">
        <f t="shared" ref="J2943:M2943" si="1793">ifs(OR($H2943="R",$I2943="N"),"N/A",OR(C2943="A",C2943="B",C2943="C",C2943="U"),3,TRUE,"FLAG")</f>
        <v>3</v>
      </c>
      <c r="K2943" s="10">
        <f t="shared" si="1793"/>
        <v>3</v>
      </c>
      <c r="L2943" s="10">
        <f t="shared" si="1793"/>
        <v>3</v>
      </c>
      <c r="M2943" s="10" t="str">
        <f t="shared" si="1793"/>
        <v>FLAG</v>
      </c>
      <c r="N2943" s="10" t="str">
        <f t="shared" si="2"/>
        <v>79107 - Uniform Act Regulating Traffic; Violation of act not in K.S.A. 8-2118; 3rd violation with 1 yr of 1st</v>
      </c>
      <c r="O2943" s="10" t="str">
        <f t="shared" si="3"/>
        <v>Uniform Act Regulating Traffic</v>
      </c>
    </row>
    <row r="2944">
      <c r="A2944" s="7" t="s">
        <v>5232</v>
      </c>
      <c r="B2944" s="12" t="s">
        <v>5233</v>
      </c>
      <c r="C2944" s="8" t="s">
        <v>18</v>
      </c>
      <c r="D2944" s="8" t="s">
        <v>18</v>
      </c>
      <c r="E2944" s="8" t="s">
        <v>19</v>
      </c>
      <c r="F2944" s="8" t="s">
        <v>20</v>
      </c>
      <c r="G2944" s="8" t="s">
        <v>21</v>
      </c>
      <c r="H2944" s="9"/>
      <c r="I2944" s="9"/>
      <c r="J2944" s="10">
        <f t="shared" ref="J2944:M2944" si="1794">ifs(OR($H2944="R",$I2944="N"),"N/A",OR(C2944="A",C2944="B",C2944="C",C2944="U"),3,TRUE,"FLAG")</f>
        <v>3</v>
      </c>
      <c r="K2944" s="10">
        <f t="shared" si="1794"/>
        <v>3</v>
      </c>
      <c r="L2944" s="10">
        <f t="shared" si="1794"/>
        <v>3</v>
      </c>
      <c r="M2944" s="10" t="str">
        <f t="shared" si="1794"/>
        <v>FLAG</v>
      </c>
      <c r="N2944" s="10" t="str">
        <f t="shared" si="2"/>
        <v>-144788 - Uniform Act Regulating Traffic; Willful failure or refusal to comply with lawful order/direction of any police officer or fireman with authority to direct, control or regulate traffic; 1st violation</v>
      </c>
      <c r="O2944" s="10" t="str">
        <f t="shared" si="3"/>
        <v>Uniform Act Regulating Traffic</v>
      </c>
    </row>
    <row r="2945">
      <c r="A2945" s="7" t="s">
        <v>5234</v>
      </c>
      <c r="B2945" s="8" t="s">
        <v>5235</v>
      </c>
      <c r="C2945" s="8">
        <v>10.0</v>
      </c>
      <c r="D2945" s="8">
        <v>10.0</v>
      </c>
      <c r="E2945" s="8">
        <v>10.0</v>
      </c>
      <c r="F2945" s="8">
        <v>10.0</v>
      </c>
      <c r="G2945" s="8" t="s">
        <v>21</v>
      </c>
      <c r="H2945" s="9"/>
      <c r="I2945" s="9"/>
      <c r="N2945" s="10" t="str">
        <f t="shared" si="2"/>
        <v>65-3236 - Uniform Anatomical Gift Act; Intentionally falsify, forge, conceal, deface or obliterate a document of gift or amendment or revocation of such, or refusal, for financial gain</v>
      </c>
      <c r="O2945" s="10" t="str">
        <f t="shared" si="3"/>
        <v>Uniform Anatomical Gift Act</v>
      </c>
    </row>
    <row r="2946">
      <c r="A2946" s="7" t="s">
        <v>5236</v>
      </c>
      <c r="B2946" s="8" t="s">
        <v>5237</v>
      </c>
      <c r="C2946" s="8">
        <v>5.0</v>
      </c>
      <c r="D2946" s="8">
        <v>7.0</v>
      </c>
      <c r="E2946" s="8">
        <v>7.0</v>
      </c>
      <c r="F2946" s="8">
        <v>8.0</v>
      </c>
      <c r="G2946" s="8" t="s">
        <v>21</v>
      </c>
      <c r="H2946" s="9"/>
      <c r="I2946" s="9"/>
      <c r="N2946" s="10" t="str">
        <f t="shared" si="2"/>
        <v>65-3235(a) - Uniform Anatomical Gift Act; Knowingly purchase or sell a body part for transplantation or therapy</v>
      </c>
      <c r="O2946" s="10" t="str">
        <f t="shared" si="3"/>
        <v>Uniform Anatomical Gift Act</v>
      </c>
    </row>
    <row r="2947">
      <c r="A2947" s="7" t="s">
        <v>5238</v>
      </c>
      <c r="B2947" s="8" t="s">
        <v>5239</v>
      </c>
      <c r="C2947" s="8" t="s">
        <v>28</v>
      </c>
      <c r="D2947" s="8" t="s">
        <v>19</v>
      </c>
      <c r="E2947" s="8" t="s">
        <v>19</v>
      </c>
      <c r="F2947" s="8" t="s">
        <v>20</v>
      </c>
      <c r="G2947" s="8" t="s">
        <v>21</v>
      </c>
      <c r="H2947" s="9"/>
      <c r="I2947" s="9"/>
      <c r="J2947" s="10">
        <f t="shared" ref="J2947:M2947" si="1795">ifs(OR($H2947="R",$I2947="N"),"N/A",OR(C2947="A",C2947="B",C2947="C",C2947="U"),3,TRUE,"FLAG")</f>
        <v>3</v>
      </c>
      <c r="K2947" s="10">
        <f t="shared" si="1795"/>
        <v>3</v>
      </c>
      <c r="L2947" s="10">
        <f t="shared" si="1795"/>
        <v>3</v>
      </c>
      <c r="M2947" s="10" t="str">
        <f t="shared" si="1795"/>
        <v>FLAG</v>
      </c>
      <c r="N2947" s="10" t="str">
        <f t="shared" si="2"/>
        <v>8-2,153(a) - Uniform Commercial Drivers' License Act; Any violation of Act - unless otherwise prescribed by Act</v>
      </c>
      <c r="O2947" s="10" t="str">
        <f t="shared" si="3"/>
        <v>Uniform Commercial Drivers' License Act</v>
      </c>
    </row>
    <row r="2948">
      <c r="A2948" s="7" t="s">
        <v>5240</v>
      </c>
      <c r="B2948" s="8" t="s">
        <v>5241</v>
      </c>
      <c r="C2948" s="8" t="s">
        <v>1532</v>
      </c>
      <c r="D2948" s="8">
        <v>10.0</v>
      </c>
      <c r="E2948" s="8">
        <v>10.0</v>
      </c>
      <c r="F2948" s="8">
        <v>10.0</v>
      </c>
      <c r="G2948" s="8" t="s">
        <v>21</v>
      </c>
      <c r="H2948" s="9"/>
      <c r="I2948" s="9"/>
      <c r="N2948" s="10" t="str">
        <f t="shared" si="2"/>
        <v>58-3304(2) - Uniform Land Sales Practices Act; Dispose of interest in subdivided lands without a current public offering statement provided to purchaser</v>
      </c>
      <c r="O2948" s="10" t="str">
        <f t="shared" si="3"/>
        <v>Uniform Land Sales Practices Act</v>
      </c>
    </row>
    <row r="2949">
      <c r="A2949" s="7" t="s">
        <v>5242</v>
      </c>
      <c r="B2949" s="8" t="s">
        <v>5243</v>
      </c>
      <c r="C2949" s="8" t="s">
        <v>1532</v>
      </c>
      <c r="D2949" s="8">
        <v>10.0</v>
      </c>
      <c r="E2949" s="8">
        <v>10.0</v>
      </c>
      <c r="F2949" s="8">
        <v>10.0</v>
      </c>
      <c r="G2949" s="8" t="s">
        <v>21</v>
      </c>
      <c r="H2949" s="9"/>
      <c r="I2949" s="9"/>
      <c r="N2949" s="10" t="str">
        <f t="shared" si="2"/>
        <v>58-3304(1) - Uniform Land Sales Practices Act; Offer or dispose of any interest in subdivided lands prior to registration</v>
      </c>
      <c r="O2949" s="10" t="str">
        <f t="shared" si="3"/>
        <v>Uniform Land Sales Practices Act</v>
      </c>
    </row>
    <row r="2950">
      <c r="A2950" s="7" t="s">
        <v>5244</v>
      </c>
      <c r="B2950" s="8" t="s">
        <v>5245</v>
      </c>
      <c r="C2950" s="8" t="s">
        <v>1532</v>
      </c>
      <c r="D2950" s="8">
        <v>10.0</v>
      </c>
      <c r="E2950" s="8">
        <v>10.0</v>
      </c>
      <c r="F2950" s="8">
        <v>10.0</v>
      </c>
      <c r="G2950" s="8" t="s">
        <v>21</v>
      </c>
      <c r="H2950" s="9"/>
      <c r="I2950" s="9"/>
      <c r="N2950" s="10" t="str">
        <f t="shared" si="2"/>
        <v>58-3315 - Uniform Land Sales Practices Act; Penalty for willful violation of act</v>
      </c>
      <c r="O2950" s="10" t="str">
        <f t="shared" si="3"/>
        <v>Uniform Land Sales Practices Act</v>
      </c>
    </row>
    <row r="2951">
      <c r="A2951" s="7" t="s">
        <v>5246</v>
      </c>
      <c r="B2951" s="8" t="s">
        <v>5247</v>
      </c>
      <c r="C2951" s="8" t="s">
        <v>19</v>
      </c>
      <c r="D2951" s="8" t="s">
        <v>19</v>
      </c>
      <c r="E2951" s="8" t="s">
        <v>19</v>
      </c>
      <c r="F2951" s="8" t="s">
        <v>20</v>
      </c>
      <c r="G2951" s="8" t="s">
        <v>21</v>
      </c>
      <c r="H2951" s="9"/>
      <c r="I2951" s="9"/>
      <c r="J2951" s="10">
        <f t="shared" ref="J2951:M2951" si="1796">ifs(OR($H2951="R",$I2951="N"),"N/A",OR(C2951="A",C2951="B",C2951="C",C2951="U"),3,TRUE,"FLAG")</f>
        <v>3</v>
      </c>
      <c r="K2951" s="10">
        <f t="shared" si="1796"/>
        <v>3</v>
      </c>
      <c r="L2951" s="10">
        <f t="shared" si="1796"/>
        <v>3</v>
      </c>
      <c r="M2951" s="10" t="str">
        <f t="shared" si="1796"/>
        <v>FLAG</v>
      </c>
      <c r="N2951" s="10" t="str">
        <f t="shared" si="2"/>
        <v>65-2438(a) - Uniform Vital Statistics Act; Knowingly refuse or omit to provide notice to a person transporting dead body for disposition that the deceased had an infectious or contagious disease</v>
      </c>
      <c r="O2951" s="10" t="str">
        <f t="shared" si="3"/>
        <v>Uniform Vital Statistics Act</v>
      </c>
    </row>
    <row r="2952">
      <c r="A2952" s="7" t="s">
        <v>5248</v>
      </c>
      <c r="B2952" s="8" t="s">
        <v>5249</v>
      </c>
      <c r="C2952" s="8" t="s">
        <v>19</v>
      </c>
      <c r="D2952" s="8" t="s">
        <v>19</v>
      </c>
      <c r="E2952" s="8" t="s">
        <v>19</v>
      </c>
      <c r="F2952" s="8" t="s">
        <v>20</v>
      </c>
      <c r="G2952" s="8" t="s">
        <v>21</v>
      </c>
      <c r="H2952" s="9"/>
      <c r="I2952" s="9"/>
      <c r="J2952" s="10">
        <f t="shared" ref="J2952:M2952" si="1797">ifs(OR($H2952="R",$I2952="N"),"N/A",OR(C2952="A",C2952="B",C2952="C",C2952="U"),3,TRUE,"FLAG")</f>
        <v>3</v>
      </c>
      <c r="K2952" s="10">
        <f t="shared" si="1797"/>
        <v>3</v>
      </c>
      <c r="L2952" s="10">
        <f t="shared" si="1797"/>
        <v>3</v>
      </c>
      <c r="M2952" s="10" t="str">
        <f t="shared" si="1797"/>
        <v>FLAG</v>
      </c>
      <c r="N2952" s="10" t="str">
        <f t="shared" si="2"/>
        <v>65-2438(b) - Uniform Vital Statistics Act; Knowingly refuse or omit to provide notice to embalmer, funeral director or other person taking possession of body that the deceased had an infectious or contagious disease</v>
      </c>
      <c r="O2952" s="10" t="str">
        <f t="shared" si="3"/>
        <v>Uniform Vital Statistics Act</v>
      </c>
    </row>
    <row r="2953">
      <c r="A2953" s="7" t="s">
        <v>5250</v>
      </c>
      <c r="B2953" s="8" t="s">
        <v>5251</v>
      </c>
      <c r="C2953" s="8" t="s">
        <v>19</v>
      </c>
      <c r="D2953" s="8" t="s">
        <v>19</v>
      </c>
      <c r="E2953" s="8" t="s">
        <v>19</v>
      </c>
      <c r="F2953" s="8" t="s">
        <v>20</v>
      </c>
      <c r="G2953" s="8" t="s">
        <v>21</v>
      </c>
      <c r="H2953" s="9"/>
      <c r="I2953" s="9"/>
      <c r="J2953" s="10">
        <f t="shared" ref="J2953:M2953" si="1798">ifs(OR($H2953="R",$I2953="N"),"N/A",OR(C2953="A",C2953="B",C2953="C",C2953="U"),3,TRUE,"FLAG")</f>
        <v>3</v>
      </c>
      <c r="K2953" s="10">
        <f t="shared" si="1798"/>
        <v>3</v>
      </c>
      <c r="L2953" s="10">
        <f t="shared" si="1798"/>
        <v>3</v>
      </c>
      <c r="M2953" s="10" t="str">
        <f t="shared" si="1798"/>
        <v>FLAG</v>
      </c>
      <c r="N2953" s="10" t="str">
        <f t="shared" si="2"/>
        <v>65-2434(b) - Uniform Vital Statistics Act; Knowingly transports or accepts for transportation, a dead body located in this state to a location outside the boundaries of this state without an accompanying permit</v>
      </c>
      <c r="O2953" s="10" t="str">
        <f t="shared" si="3"/>
        <v>Uniform Vital Statistics Act</v>
      </c>
    </row>
    <row r="2954">
      <c r="A2954" s="7" t="s">
        <v>5252</v>
      </c>
      <c r="B2954" s="8" t="s">
        <v>5253</v>
      </c>
      <c r="C2954" s="8" t="s">
        <v>19</v>
      </c>
      <c r="D2954" s="8" t="s">
        <v>19</v>
      </c>
      <c r="E2954" s="8" t="s">
        <v>19</v>
      </c>
      <c r="F2954" s="8" t="s">
        <v>20</v>
      </c>
      <c r="G2954" s="8" t="s">
        <v>21</v>
      </c>
      <c r="H2954" s="9"/>
      <c r="I2954" s="9"/>
      <c r="J2954" s="10">
        <f t="shared" ref="J2954:M2954" si="1799">ifs(OR($H2954="R",$I2954="N"),"N/A",OR(C2954="A",C2954="B",C2954="C",C2954="U"),3,TRUE,"FLAG")</f>
        <v>3</v>
      </c>
      <c r="K2954" s="10">
        <f t="shared" si="1799"/>
        <v>3</v>
      </c>
      <c r="L2954" s="10">
        <f t="shared" si="1799"/>
        <v>3</v>
      </c>
      <c r="M2954" s="10" t="str">
        <f t="shared" si="1799"/>
        <v>FLAG</v>
      </c>
      <c r="N2954" s="10" t="str">
        <f t="shared" si="2"/>
        <v>65-2438(d) - Uniform Vital Statistics Act; Unauthorized disclosure of confidential information pertaining to a deceased persons infectious or contagious disease</v>
      </c>
      <c r="O2954" s="10" t="str">
        <f t="shared" si="3"/>
        <v>Uniform Vital Statistics Act</v>
      </c>
    </row>
    <row r="2955">
      <c r="A2955" s="7" t="s">
        <v>5254</v>
      </c>
      <c r="B2955" s="8" t="s">
        <v>5255</v>
      </c>
      <c r="C2955" s="8">
        <v>8.0</v>
      </c>
      <c r="D2955" s="8">
        <v>10.0</v>
      </c>
      <c r="E2955" s="8">
        <v>10.0</v>
      </c>
      <c r="F2955" s="8">
        <v>10.0</v>
      </c>
      <c r="G2955" s="8" t="s">
        <v>21</v>
      </c>
      <c r="H2955" s="9"/>
      <c r="I2955" s="9"/>
      <c r="N2955" s="10" t="str">
        <f t="shared" si="2"/>
        <v>65-2434 - Uniform Vital Statistics Act; Vital records identity fraud related to birth, death, marriage and divorce certificates prosecuted pursuant to K.S.A. 21-5918</v>
      </c>
      <c r="O2955" s="10" t="str">
        <f t="shared" si="3"/>
        <v>Uniform Vital Statistics Act</v>
      </c>
    </row>
    <row r="2956">
      <c r="A2956" s="7" t="s">
        <v>5256</v>
      </c>
      <c r="B2956" s="8" t="s">
        <v>5257</v>
      </c>
      <c r="C2956" s="8" t="s">
        <v>28</v>
      </c>
      <c r="D2956" s="8" t="s">
        <v>19</v>
      </c>
      <c r="E2956" s="8" t="s">
        <v>19</v>
      </c>
      <c r="F2956" s="8" t="s">
        <v>20</v>
      </c>
      <c r="G2956" s="8" t="s">
        <v>21</v>
      </c>
      <c r="H2956" s="9"/>
      <c r="I2956" s="9"/>
      <c r="J2956" s="10">
        <f t="shared" ref="J2956:M2956" si="1800">ifs(OR($H2956="R",$I2956="N"),"N/A",OR(C2956="A",C2956="B",C2956="C",C2956="U"),3,TRUE,"FLAG")</f>
        <v>3</v>
      </c>
      <c r="K2956" s="10">
        <f t="shared" si="1800"/>
        <v>3</v>
      </c>
      <c r="L2956" s="10">
        <f t="shared" si="1800"/>
        <v>3</v>
      </c>
      <c r="M2956" s="10" t="str">
        <f t="shared" si="1800"/>
        <v>FLAG</v>
      </c>
      <c r="N2956" s="10" t="str">
        <f t="shared" si="2"/>
        <v>21-6105(a) - Unjustifiably Exposing a Convicted or Charged Person; Communicating or threatening to communicate information that a person has been charged with or convicted of a felony, with intent to interfere with the employment or business of such person</v>
      </c>
      <c r="O2956" s="10" t="str">
        <f t="shared" si="3"/>
        <v>Unjustifiably Exposing a Convicted or Charged Person</v>
      </c>
    </row>
    <row r="2957">
      <c r="A2957" s="7" t="s">
        <v>5258</v>
      </c>
      <c r="B2957" s="8" t="s">
        <v>5259</v>
      </c>
      <c r="C2957" s="8" t="s">
        <v>19</v>
      </c>
      <c r="D2957" s="8" t="s">
        <v>19</v>
      </c>
      <c r="E2957" s="8" t="s">
        <v>19</v>
      </c>
      <c r="F2957" s="8" t="s">
        <v>20</v>
      </c>
      <c r="G2957" s="8" t="s">
        <v>21</v>
      </c>
      <c r="H2957" s="9"/>
      <c r="I2957" s="9"/>
      <c r="J2957" s="10">
        <f t="shared" ref="J2957:M2957" si="1801">ifs(OR($H2957="R",$I2957="N"),"N/A",OR(C2957="A",C2957="B",C2957="C",C2957="U"),3,TRUE,"FLAG")</f>
        <v>3</v>
      </c>
      <c r="K2957" s="10">
        <f t="shared" si="1801"/>
        <v>3</v>
      </c>
      <c r="L2957" s="10">
        <f t="shared" si="1801"/>
        <v>3</v>
      </c>
      <c r="M2957" s="10" t="str">
        <f t="shared" si="1801"/>
        <v>FLAG</v>
      </c>
      <c r="N2957" s="10" t="str">
        <f t="shared" si="2"/>
        <v>21-5836(a) - Unlawful Acts Concerning Certificates of Title; Knowingly fail to show complete chain of title</v>
      </c>
      <c r="O2957" s="10" t="str">
        <f t="shared" si="3"/>
        <v>Unlawful Acts Concerning Certificates of Title</v>
      </c>
    </row>
    <row r="2958">
      <c r="A2958" s="7" t="s">
        <v>5260</v>
      </c>
      <c r="B2958" s="8" t="s">
        <v>5261</v>
      </c>
      <c r="C2958" s="8" t="s">
        <v>27</v>
      </c>
      <c r="D2958" s="8" t="s">
        <v>28</v>
      </c>
      <c r="E2958" s="8" t="s">
        <v>19</v>
      </c>
      <c r="F2958" s="8" t="s">
        <v>20</v>
      </c>
      <c r="G2958" s="8" t="s">
        <v>24</v>
      </c>
      <c r="H2958" s="9"/>
      <c r="I2958" s="9"/>
      <c r="J2958" s="10">
        <f t="shared" ref="J2958:M2958" si="1802">ifs(OR($H2958="R",$I2958="N"),"N/A",OR(C2958="A",C2958="B",C2958="C",C2958="U"),3,TRUE,"FLAG")</f>
        <v>3</v>
      </c>
      <c r="K2958" s="10">
        <f t="shared" si="1802"/>
        <v>3</v>
      </c>
      <c r="L2958" s="10">
        <f t="shared" si="1802"/>
        <v>3</v>
      </c>
      <c r="M2958" s="10" t="str">
        <f t="shared" si="1802"/>
        <v>FLAG</v>
      </c>
      <c r="N2958" s="10" t="str">
        <f t="shared" si="2"/>
        <v>21-5425(a) - Unlawful Administration of a Substance; Administration to another without consent and with intent to impair</v>
      </c>
      <c r="O2958" s="10" t="str">
        <f t="shared" si="3"/>
        <v>Unlawful Administration of a Substance</v>
      </c>
    </row>
    <row r="2959">
      <c r="A2959" s="7" t="s">
        <v>5262</v>
      </c>
      <c r="B2959" s="8" t="s">
        <v>5263</v>
      </c>
      <c r="C2959" s="8" t="s">
        <v>28</v>
      </c>
      <c r="D2959" s="8" t="s">
        <v>19</v>
      </c>
      <c r="E2959" s="8" t="s">
        <v>19</v>
      </c>
      <c r="F2959" s="8" t="s">
        <v>20</v>
      </c>
      <c r="G2959" s="8" t="s">
        <v>21</v>
      </c>
      <c r="H2959" s="9"/>
      <c r="I2959" s="9"/>
      <c r="J2959" s="10">
        <f t="shared" ref="J2959:M2959" si="1803">ifs(OR($H2959="R",$I2959="N"),"N/A",OR(C2959="A",C2959="B",C2959="C",C2959="U"),3,TRUE,"FLAG")</f>
        <v>3</v>
      </c>
      <c r="K2959" s="10">
        <f t="shared" si="1803"/>
        <v>3</v>
      </c>
      <c r="L2959" s="10">
        <f t="shared" si="1803"/>
        <v>3</v>
      </c>
      <c r="M2959" s="10" t="str">
        <f t="shared" si="1803"/>
        <v>FLAG</v>
      </c>
      <c r="N2959" s="10" t="str">
        <f t="shared" si="2"/>
        <v>21-6202(a)(1)(A) - Unlawful Assembly; Meeting or coming together of not less than 5 persons with intent to engage in disorderly conduct</v>
      </c>
      <c r="O2959" s="10" t="str">
        <f t="shared" si="3"/>
        <v>Unlawful Assembly</v>
      </c>
    </row>
    <row r="2960">
      <c r="A2960" s="7" t="s">
        <v>5264</v>
      </c>
      <c r="B2960" s="8" t="s">
        <v>5265</v>
      </c>
      <c r="C2960" s="8" t="s">
        <v>28</v>
      </c>
      <c r="D2960" s="8" t="s">
        <v>19</v>
      </c>
      <c r="E2960" s="8" t="s">
        <v>19</v>
      </c>
      <c r="F2960" s="8" t="s">
        <v>20</v>
      </c>
      <c r="G2960" s="8" t="s">
        <v>21</v>
      </c>
      <c r="H2960" s="9"/>
      <c r="I2960" s="9"/>
      <c r="J2960" s="10">
        <f t="shared" ref="J2960:M2960" si="1804">ifs(OR($H2960="R",$I2960="N"),"N/A",OR(C2960="A",C2960="B",C2960="C",C2960="U"),3,TRUE,"FLAG")</f>
        <v>3</v>
      </c>
      <c r="K2960" s="10">
        <f t="shared" si="1804"/>
        <v>3</v>
      </c>
      <c r="L2960" s="10">
        <f t="shared" si="1804"/>
        <v>3</v>
      </c>
      <c r="M2960" s="10" t="str">
        <f t="shared" si="1804"/>
        <v>FLAG</v>
      </c>
      <c r="N2960" s="10" t="str">
        <f t="shared" si="2"/>
        <v>21-6202(a)(1)(B) - Unlawful Assembly; Meeting or coming together of not less than 5 persons with intent to engage in riot</v>
      </c>
      <c r="O2960" s="10" t="str">
        <f t="shared" si="3"/>
        <v>Unlawful Assembly</v>
      </c>
    </row>
    <row r="2961">
      <c r="A2961" s="7" t="s">
        <v>5266</v>
      </c>
      <c r="B2961" s="8" t="s">
        <v>5267</v>
      </c>
      <c r="C2961" s="8" t="s">
        <v>27</v>
      </c>
      <c r="D2961" s="8" t="s">
        <v>28</v>
      </c>
      <c r="E2961" s="8" t="s">
        <v>19</v>
      </c>
      <c r="F2961" s="8" t="s">
        <v>20</v>
      </c>
      <c r="G2961" s="8" t="s">
        <v>21</v>
      </c>
      <c r="H2961" s="9"/>
      <c r="I2961" s="9"/>
      <c r="J2961" s="10">
        <f t="shared" ref="J2961:M2961" si="1805">ifs(OR($H2961="R",$I2961="N"),"N/A",OR(C2961="A",C2961="B",C2961="C",C2961="U"),3,TRUE,"FLAG")</f>
        <v>3</v>
      </c>
      <c r="K2961" s="10">
        <f t="shared" si="1805"/>
        <v>3</v>
      </c>
      <c r="L2961" s="10">
        <f t="shared" si="1805"/>
        <v>3</v>
      </c>
      <c r="M2961" s="10" t="str">
        <f t="shared" si="1805"/>
        <v>FLAG</v>
      </c>
      <c r="N2961" s="10" t="str">
        <f t="shared" si="2"/>
        <v>21-6202(b) - Unlawful Assembly; Remaining at an unlawful assembly; Intentionally failing to depart as directed by law enforcement</v>
      </c>
      <c r="O2961" s="10" t="str">
        <f t="shared" si="3"/>
        <v>Unlawful Assembly</v>
      </c>
    </row>
    <row r="2962">
      <c r="A2962" s="7" t="s">
        <v>5268</v>
      </c>
      <c r="B2962" s="8" t="s">
        <v>5269</v>
      </c>
      <c r="C2962" s="8" t="s">
        <v>28</v>
      </c>
      <c r="D2962" s="8" t="s">
        <v>19</v>
      </c>
      <c r="E2962" s="8" t="s">
        <v>19</v>
      </c>
      <c r="F2962" s="8" t="s">
        <v>20</v>
      </c>
      <c r="G2962" s="8" t="s">
        <v>21</v>
      </c>
      <c r="H2962" s="9"/>
      <c r="I2962" s="9"/>
      <c r="J2962" s="10">
        <f t="shared" ref="J2962:M2962" si="1806">ifs(OR($H2962="R",$I2962="N"),"N/A",OR(C2962="A",C2962="B",C2962="C",C2962="U"),3,TRUE,"FLAG")</f>
        <v>3</v>
      </c>
      <c r="K2962" s="10">
        <f t="shared" si="1806"/>
        <v>3</v>
      </c>
      <c r="L2962" s="10">
        <f t="shared" si="1806"/>
        <v>3</v>
      </c>
      <c r="M2962" s="10" t="str">
        <f t="shared" si="1806"/>
        <v>FLAG</v>
      </c>
      <c r="N2962" s="10" t="str">
        <f t="shared" si="2"/>
        <v>21-6202(a)(2) - Unlawful Assembly; When lawful assembly of not less than 5 persons, agreeing to engage in conduct constituting disorderly conduct or riot</v>
      </c>
      <c r="O2962" s="10" t="str">
        <f t="shared" si="3"/>
        <v>Unlawful Assembly</v>
      </c>
    </row>
    <row r="2963">
      <c r="A2963" s="7" t="s">
        <v>5270</v>
      </c>
      <c r="B2963" s="8" t="s">
        <v>5271</v>
      </c>
      <c r="C2963" s="8" t="s">
        <v>28</v>
      </c>
      <c r="D2963" s="8" t="s">
        <v>19</v>
      </c>
      <c r="E2963" s="8" t="s">
        <v>19</v>
      </c>
      <c r="F2963" s="8" t="s">
        <v>20</v>
      </c>
      <c r="G2963" s="8" t="s">
        <v>21</v>
      </c>
      <c r="H2963" s="9"/>
      <c r="I2963" s="9"/>
      <c r="J2963" s="10">
        <f t="shared" ref="J2963:M2963" si="1807">ifs(OR($H2963="R",$I2963="N"),"N/A",OR(C2963="A",C2963="B",C2963="C",C2963="U"),3,TRUE,"FLAG")</f>
        <v>3</v>
      </c>
      <c r="K2963" s="10">
        <f t="shared" si="1807"/>
        <v>3</v>
      </c>
      <c r="L2963" s="10">
        <f t="shared" si="1807"/>
        <v>3</v>
      </c>
      <c r="M2963" s="10" t="str">
        <f t="shared" si="1807"/>
        <v>FLAG</v>
      </c>
      <c r="N2963" s="10" t="str">
        <f t="shared" si="2"/>
        <v>21-6308a - Unlawful Discharge of a Firearm; Reckless discharge of a firearm within city limits</v>
      </c>
      <c r="O2963" s="10" t="str">
        <f t="shared" si="3"/>
        <v>Unlawful Discharge of a Firearm</v>
      </c>
    </row>
    <row r="2964">
      <c r="A2964" s="7" t="s">
        <v>5272</v>
      </c>
      <c r="B2964" s="8" t="s">
        <v>5273</v>
      </c>
      <c r="C2964" s="8">
        <v>10.0</v>
      </c>
      <c r="D2964" s="8">
        <v>10.0</v>
      </c>
      <c r="E2964" s="8">
        <v>10.0</v>
      </c>
      <c r="F2964" s="8">
        <v>10.0</v>
      </c>
      <c r="G2964" s="8" t="s">
        <v>21</v>
      </c>
      <c r="H2964" s="9"/>
      <c r="I2964" s="9"/>
      <c r="N2964" s="10" t="str">
        <f t="shared" si="2"/>
        <v>21-5923(a) - Unlawful Disclosure of Authorized Interception of Wire</v>
      </c>
      <c r="O2964" s="10" t="str">
        <f t="shared" si="3"/>
        <v>Unlawful Disclosure of Authorized Interception of Wire</v>
      </c>
    </row>
    <row r="2965">
      <c r="A2965" s="7" t="s">
        <v>5274</v>
      </c>
      <c r="B2965" s="8" t="s">
        <v>5275</v>
      </c>
      <c r="C2965" s="8" t="s">
        <v>19</v>
      </c>
      <c r="D2965" s="8" t="s">
        <v>19</v>
      </c>
      <c r="E2965" s="8" t="s">
        <v>19</v>
      </c>
      <c r="F2965" s="8" t="s">
        <v>20</v>
      </c>
      <c r="G2965" s="8" t="s">
        <v>21</v>
      </c>
      <c r="H2965" s="9"/>
      <c r="I2965" s="9"/>
      <c r="J2965" s="10">
        <f t="shared" ref="J2965:M2965" si="1808">ifs(OR($H2965="R",$I2965="N"),"N/A",OR(C2965="A",C2965="B",C2965="C",C2965="U"),3,TRUE,"FLAG")</f>
        <v>3</v>
      </c>
      <c r="K2965" s="10">
        <f t="shared" si="1808"/>
        <v>3</v>
      </c>
      <c r="L2965" s="10">
        <f t="shared" si="1808"/>
        <v>3</v>
      </c>
      <c r="M2965" s="10" t="str">
        <f t="shared" si="1808"/>
        <v>FLAG</v>
      </c>
      <c r="N2965" s="10" t="str">
        <f t="shared" si="2"/>
        <v>21-6413(a) - Unlawful Disposition of Animals; Knowingly raffling or giving as a prize or premium living rabbits or chickens, ducklings or goslings</v>
      </c>
      <c r="O2965" s="10" t="str">
        <f t="shared" si="3"/>
        <v>Unlawful Disposition of Animals</v>
      </c>
    </row>
    <row r="2966">
      <c r="A2966" s="7" t="s">
        <v>5276</v>
      </c>
      <c r="B2966" s="8" t="s">
        <v>5277</v>
      </c>
      <c r="C2966" s="8">
        <v>7.0</v>
      </c>
      <c r="D2966" s="8">
        <v>9.0</v>
      </c>
      <c r="E2966" s="8">
        <v>9.0</v>
      </c>
      <c r="F2966" s="8">
        <v>10.0</v>
      </c>
      <c r="G2966" s="8" t="s">
        <v>24</v>
      </c>
      <c r="H2966" s="9"/>
      <c r="I2966" s="9"/>
      <c r="N2966" s="10" t="str">
        <f t="shared" si="2"/>
        <v>21-6310(a)(2) - Unlawful Endangerment; Knowingly protect or attempt to protect the manufacture or cultivation of a controlled substance with a device or weapon which causes bodily harm</v>
      </c>
      <c r="O2966" s="10" t="str">
        <f t="shared" si="3"/>
        <v>Unlawful Endangerment</v>
      </c>
    </row>
    <row r="2967">
      <c r="A2967" s="7" t="s">
        <v>5278</v>
      </c>
      <c r="B2967" s="8" t="s">
        <v>5279</v>
      </c>
      <c r="C2967" s="8">
        <v>5.0</v>
      </c>
      <c r="D2967" s="8">
        <v>7.0</v>
      </c>
      <c r="E2967" s="8">
        <v>7.0</v>
      </c>
      <c r="F2967" s="8">
        <v>8.0</v>
      </c>
      <c r="G2967" s="8" t="s">
        <v>24</v>
      </c>
      <c r="H2967" s="9"/>
      <c r="I2967" s="9"/>
      <c r="N2967" s="10" t="str">
        <f t="shared" si="2"/>
        <v>21-6310(a)(1) - Unlawful Endangerment; Knowingly protect or attempt to protect the manufacture or cultivation of a controlled substance with a device or weapon which causes great bodily harm</v>
      </c>
      <c r="O2967" s="10" t="str">
        <f t="shared" si="3"/>
        <v>Unlawful Endangerment</v>
      </c>
    </row>
    <row r="2968">
      <c r="A2968" s="7" t="s">
        <v>5280</v>
      </c>
      <c r="B2968" s="8" t="s">
        <v>5281</v>
      </c>
      <c r="C2968" s="8">
        <v>8.0</v>
      </c>
      <c r="D2968" s="8">
        <v>10.0</v>
      </c>
      <c r="E2968" s="8">
        <v>10.0</v>
      </c>
      <c r="F2968" s="8">
        <v>10.0</v>
      </c>
      <c r="G2968" s="8" t="s">
        <v>21</v>
      </c>
      <c r="H2968" s="9"/>
      <c r="I2968" s="9"/>
      <c r="N2968" s="10" t="str">
        <f t="shared" si="2"/>
        <v>21-6310(a)(3) - Unlawful Endangerment; Knowingly protect or attempt to protect the manufacture or cultivation of a controlled substance with a device or weapon which causes or is intended to cause bodily harm to another person</v>
      </c>
      <c r="O2968" s="10" t="str">
        <f t="shared" si="3"/>
        <v>Unlawful Endangerment</v>
      </c>
    </row>
    <row r="2969">
      <c r="A2969" s="7" t="s">
        <v>5282</v>
      </c>
      <c r="B2969" s="8" t="s">
        <v>5283</v>
      </c>
      <c r="C2969" s="8" t="s">
        <v>27</v>
      </c>
      <c r="D2969" s="8" t="s">
        <v>28</v>
      </c>
      <c r="E2969" s="8" t="s">
        <v>19</v>
      </c>
      <c r="F2969" s="8" t="s">
        <v>20</v>
      </c>
      <c r="G2969" s="8" t="s">
        <v>24</v>
      </c>
      <c r="H2969" s="9"/>
      <c r="I2969" s="9"/>
      <c r="J2969" s="10">
        <f t="shared" ref="J2969:M2969" si="1809">ifs(OR($H2969="R",$I2969="N"),"N/A",OR(C2969="A",C2969="B",C2969="C",C2969="U"),3,TRUE,"FLAG")</f>
        <v>3</v>
      </c>
      <c r="K2969" s="10">
        <f t="shared" si="1809"/>
        <v>3</v>
      </c>
      <c r="L2969" s="10">
        <f t="shared" si="1809"/>
        <v>3</v>
      </c>
      <c r="M2969" s="10" t="str">
        <f t="shared" si="1809"/>
        <v>FLAG</v>
      </c>
      <c r="N2969" s="10" t="str">
        <f t="shared" si="2"/>
        <v>21-5608(a) - Unlawful Hosting; Minors consuming alcoholic liquor or cereal malt beverage; recklessly permitting a person's residence, land, building, structure or room owned, occupied or procured by such person to be used in such a manner that results in the possession or consumption of alcoholic liquor or cereal malt beverages by a minor</v>
      </c>
      <c r="O2969" s="10" t="str">
        <f t="shared" si="3"/>
        <v>Unlawful Hosting</v>
      </c>
    </row>
    <row r="2970">
      <c r="A2970" s="7" t="s">
        <v>5284</v>
      </c>
      <c r="B2970" s="8" t="s">
        <v>5285</v>
      </c>
      <c r="C2970" s="8" t="s">
        <v>28</v>
      </c>
      <c r="D2970" s="8" t="s">
        <v>19</v>
      </c>
      <c r="E2970" s="8" t="s">
        <v>19</v>
      </c>
      <c r="F2970" s="8" t="s">
        <v>20</v>
      </c>
      <c r="G2970" s="8" t="s">
        <v>24</v>
      </c>
      <c r="H2970" s="9"/>
      <c r="I2970" s="9"/>
      <c r="J2970" s="10">
        <f t="shared" ref="J2970:M2970" si="1810">ifs(OR($H2970="R",$I2970="N"),"N/A",OR(C2970="A",C2970="B",C2970="C",C2970="U"),3,TRUE,"FLAG")</f>
        <v>3</v>
      </c>
      <c r="K2970" s="10">
        <f t="shared" si="1810"/>
        <v>3</v>
      </c>
      <c r="L2970" s="10">
        <f t="shared" si="1810"/>
        <v>3</v>
      </c>
      <c r="M2970" s="10" t="str">
        <f t="shared" si="1810"/>
        <v>FLAG</v>
      </c>
      <c r="N2970" s="10" t="str">
        <f t="shared" si="2"/>
        <v>21-6325(a)(1) - Unlawful Interference with a Firefighter; Knowingly interfering while firefighter is engaged in performance of duties</v>
      </c>
      <c r="O2970" s="10" t="str">
        <f t="shared" si="3"/>
        <v>Unlawful Interference with a Firefighter</v>
      </c>
    </row>
    <row r="2971">
      <c r="A2971" s="7" t="s">
        <v>5286</v>
      </c>
      <c r="B2971" s="8" t="s">
        <v>5287</v>
      </c>
      <c r="C2971" s="8" t="s">
        <v>28</v>
      </c>
      <c r="D2971" s="8" t="s">
        <v>19</v>
      </c>
      <c r="E2971" s="8" t="s">
        <v>19</v>
      </c>
      <c r="F2971" s="8" t="s">
        <v>20</v>
      </c>
      <c r="G2971" s="8" t="s">
        <v>24</v>
      </c>
      <c r="H2971" s="9"/>
      <c r="I2971" s="9"/>
      <c r="J2971" s="10">
        <f t="shared" ref="J2971:M2971" si="1811">ifs(OR($H2971="R",$I2971="N"),"N/A",OR(C2971="A",C2971="B",C2971="C",C2971="U"),3,TRUE,"FLAG")</f>
        <v>3</v>
      </c>
      <c r="K2971" s="10">
        <f t="shared" si="1811"/>
        <v>3</v>
      </c>
      <c r="L2971" s="10">
        <f t="shared" si="1811"/>
        <v>3</v>
      </c>
      <c r="M2971" s="10" t="str">
        <f t="shared" si="1811"/>
        <v>FLAG</v>
      </c>
      <c r="N2971" s="10" t="str">
        <f t="shared" si="2"/>
        <v>21-6325(a)(2) - Unlawful Interference with a Firefighter; Knowingly obstructing, interfering with or impeding the efforts of firefighter to reach the location of fire or other emergency</v>
      </c>
      <c r="O2971" s="10" t="str">
        <f t="shared" si="3"/>
        <v>Unlawful Interference with a Firefighter</v>
      </c>
    </row>
    <row r="2972">
      <c r="A2972" s="7" t="s">
        <v>5288</v>
      </c>
      <c r="B2972" s="8" t="s">
        <v>5289</v>
      </c>
      <c r="C2972" s="8" t="s">
        <v>28</v>
      </c>
      <c r="D2972" s="8" t="s">
        <v>19</v>
      </c>
      <c r="E2972" s="8" t="s">
        <v>19</v>
      </c>
      <c r="F2972" s="8" t="s">
        <v>20</v>
      </c>
      <c r="G2972" s="8" t="s">
        <v>24</v>
      </c>
      <c r="H2972" s="9"/>
      <c r="I2972" s="9"/>
      <c r="J2972" s="10">
        <f t="shared" ref="J2972:M2972" si="1812">ifs(OR($H2972="R",$I2972="N"),"N/A",OR(C2972="A",C2972="B",C2972="C",C2972="U"),3,TRUE,"FLAG")</f>
        <v>3</v>
      </c>
      <c r="K2972" s="10">
        <f t="shared" si="1812"/>
        <v>3</v>
      </c>
      <c r="L2972" s="10">
        <f t="shared" si="1812"/>
        <v>3</v>
      </c>
      <c r="M2972" s="10" t="str">
        <f t="shared" si="1812"/>
        <v>FLAG</v>
      </c>
      <c r="N2972" s="10" t="str">
        <f t="shared" si="2"/>
        <v>21-6326(a)(1) - Unlawful Interference with EMS Attendant; Knowingly interfere while attendant is engaged in performance of duties</v>
      </c>
      <c r="O2972" s="10" t="str">
        <f t="shared" si="3"/>
        <v>Unlawful Interference with EMS Attendant</v>
      </c>
    </row>
    <row r="2973">
      <c r="A2973" s="7" t="s">
        <v>5290</v>
      </c>
      <c r="B2973" s="8" t="s">
        <v>5291</v>
      </c>
      <c r="C2973" s="8" t="s">
        <v>28</v>
      </c>
      <c r="D2973" s="8" t="s">
        <v>19</v>
      </c>
      <c r="E2973" s="8" t="s">
        <v>19</v>
      </c>
      <c r="F2973" s="8" t="s">
        <v>20</v>
      </c>
      <c r="G2973" s="8" t="s">
        <v>24</v>
      </c>
      <c r="H2973" s="9"/>
      <c r="I2973" s="9"/>
      <c r="J2973" s="10">
        <f t="shared" ref="J2973:M2973" si="1813">ifs(OR($H2973="R",$I2973="N"),"N/A",OR(C2973="A",C2973="B",C2973="C",C2973="U"),3,TRUE,"FLAG")</f>
        <v>3</v>
      </c>
      <c r="K2973" s="10">
        <f t="shared" si="1813"/>
        <v>3</v>
      </c>
      <c r="L2973" s="10">
        <f t="shared" si="1813"/>
        <v>3</v>
      </c>
      <c r="M2973" s="10" t="str">
        <f t="shared" si="1813"/>
        <v>FLAG</v>
      </c>
      <c r="N2973" s="10" t="str">
        <f t="shared" si="2"/>
        <v>21-6326(a)(2) - Unlawful Interference with EMS Attendant; Knowingly obstruct, interfere with or impede efforts of attendant to reach location of the emergency</v>
      </c>
      <c r="O2973" s="10" t="str">
        <f t="shared" si="3"/>
        <v>Unlawful Interference with EMS Attendant</v>
      </c>
    </row>
    <row r="2974">
      <c r="A2974" s="7" t="s">
        <v>5292</v>
      </c>
      <c r="B2974" s="8" t="s">
        <v>5293</v>
      </c>
      <c r="C2974" s="8" t="s">
        <v>28</v>
      </c>
      <c r="D2974" s="8" t="s">
        <v>19</v>
      </c>
      <c r="E2974" s="8" t="s">
        <v>19</v>
      </c>
      <c r="F2974" s="8" t="s">
        <v>20</v>
      </c>
      <c r="G2974" s="8" t="s">
        <v>21</v>
      </c>
      <c r="H2974" s="9"/>
      <c r="I2974" s="9"/>
      <c r="J2974" s="10">
        <f t="shared" ref="J2974:M2974" si="1814">ifs(OR($H2974="R",$I2974="N"),"N/A",OR(C2974="A",C2974="B",C2974="C",C2974="U"),3,TRUE,"FLAG")</f>
        <v>3</v>
      </c>
      <c r="K2974" s="10">
        <f t="shared" si="1814"/>
        <v>3</v>
      </c>
      <c r="L2974" s="10">
        <f t="shared" si="1814"/>
        <v>3</v>
      </c>
      <c r="M2974" s="10" t="str">
        <f t="shared" si="1814"/>
        <v>FLAG</v>
      </c>
      <c r="N2974" s="10" t="str">
        <f t="shared" si="2"/>
        <v>21-5829(a) - Unlawful Manufacture or Disposal of False Tokens</v>
      </c>
      <c r="O2974" s="10" t="str">
        <f t="shared" si="3"/>
        <v>Unlawful Manufacture or Disposal of False Tokens</v>
      </c>
    </row>
    <row r="2975">
      <c r="A2975" s="7" t="s">
        <v>5294</v>
      </c>
      <c r="B2975" s="8" t="s">
        <v>5295</v>
      </c>
      <c r="C2975" s="8" t="s">
        <v>28</v>
      </c>
      <c r="D2975" s="8" t="s">
        <v>19</v>
      </c>
      <c r="E2975" s="8" t="s">
        <v>19</v>
      </c>
      <c r="F2975" s="8" t="s">
        <v>20</v>
      </c>
      <c r="G2975" s="8" t="s">
        <v>21</v>
      </c>
      <c r="H2975" s="9"/>
      <c r="I2975" s="9"/>
      <c r="J2975" s="10">
        <f t="shared" ref="J2975:M2975" si="1815">ifs(OR($H2975="R",$I2975="N"),"N/A",OR(C2975="A",C2975="B",C2975="C",C2975="U"),3,TRUE,"FLAG")</f>
        <v>3</v>
      </c>
      <c r="K2975" s="10">
        <f t="shared" si="1815"/>
        <v>3</v>
      </c>
      <c r="L2975" s="10">
        <f t="shared" si="1815"/>
        <v>3</v>
      </c>
      <c r="M2975" s="10" t="str">
        <f t="shared" si="1815"/>
        <v>FLAG</v>
      </c>
      <c r="N2975" s="10" t="str">
        <f t="shared" si="2"/>
        <v>21-6324(a)(1) - Unlawful Possession of a Traffic Control Preemption Device</v>
      </c>
      <c r="O2975" s="10" t="str">
        <f t="shared" si="3"/>
        <v>Unlawful Possession of a Traffic Control Preemption Device</v>
      </c>
    </row>
    <row r="2976">
      <c r="A2976" s="7" t="s">
        <v>5296</v>
      </c>
      <c r="B2976" s="8" t="s">
        <v>5297</v>
      </c>
      <c r="C2976" s="8" t="s">
        <v>28</v>
      </c>
      <c r="D2976" s="8" t="s">
        <v>19</v>
      </c>
      <c r="E2976" s="8" t="s">
        <v>19</v>
      </c>
      <c r="F2976" s="8" t="s">
        <v>20</v>
      </c>
      <c r="G2976" s="8" t="s">
        <v>24</v>
      </c>
      <c r="H2976" s="9"/>
      <c r="I2976" s="9"/>
      <c r="J2976" s="10">
        <f t="shared" ref="J2976:M2976" si="1816">ifs(OR($H2976="R",$I2976="N"),"N/A",OR(C2976="A",C2976="B",C2976="C",C2976="U"),3,TRUE,"FLAG")</f>
        <v>3</v>
      </c>
      <c r="K2976" s="10">
        <f t="shared" si="1816"/>
        <v>3</v>
      </c>
      <c r="L2976" s="10">
        <f t="shared" si="1816"/>
        <v>3</v>
      </c>
      <c r="M2976" s="10" t="str">
        <f t="shared" si="1816"/>
        <v>FLAG</v>
      </c>
      <c r="N2976" s="10" t="str">
        <f t="shared" si="2"/>
        <v>21-5610(a) - Unlawful possession of a visual depiction of a child; Knowingly possession a visual depiction of a child 12 years of age or older but less than 16 years of age in a state of nudity, if committed by a person less than 19 years of age, and the possessor of such visual depiction received such directly and exclusively from the child who is the subject of such visual depiction.</v>
      </c>
      <c r="O2976" s="10" t="str">
        <f t="shared" si="3"/>
        <v>Unlawful possession of a visual depiction of a child</v>
      </c>
    </row>
    <row r="2977">
      <c r="A2977" s="7" t="s">
        <v>5298</v>
      </c>
      <c r="B2977" s="8" t="s">
        <v>5299</v>
      </c>
      <c r="C2977" s="8">
        <v>6.0</v>
      </c>
      <c r="D2977" s="8">
        <v>8.0</v>
      </c>
      <c r="E2977" s="8">
        <v>8.0</v>
      </c>
      <c r="F2977" s="8">
        <v>9.0</v>
      </c>
      <c r="G2977" s="8" t="s">
        <v>21</v>
      </c>
      <c r="H2977" s="9"/>
      <c r="I2977" s="9"/>
      <c r="N2977" s="10" t="str">
        <f t="shared" si="2"/>
        <v>21-6108(a)(2) - Unlawful Possession/Use of Reencoder; With intent to defraud, having possession of or using a reencoder to place encoded information on the a computer chip or magnetic strip or stripe of a payment card or any electronic medium that allows an authorized transaction to occur</v>
      </c>
      <c r="O2977" s="10" t="str">
        <f t="shared" si="3"/>
        <v>Unlawful Possession/Use of Reencoder</v>
      </c>
    </row>
    <row r="2978">
      <c r="A2978" s="7" t="s">
        <v>5300</v>
      </c>
      <c r="B2978" s="8" t="s">
        <v>5301</v>
      </c>
      <c r="C2978" s="8">
        <v>6.0</v>
      </c>
      <c r="D2978" s="8">
        <v>8.0</v>
      </c>
      <c r="E2978" s="8">
        <v>8.0</v>
      </c>
      <c r="F2978" s="8">
        <v>9.0</v>
      </c>
      <c r="G2978" s="8" t="s">
        <v>21</v>
      </c>
      <c r="H2978" s="9"/>
      <c r="I2978" s="9"/>
      <c r="N2978" s="10" t="str">
        <f t="shared" si="2"/>
        <v>21-6108(a)(1) - Unlawful Possession/Use of Scanning Device; With intent to defraud, having possession of or using a scanning device to access, read, obtain, memorize or store, either temporarily or permanently, information encoded on a computer chip or magnetic strip or stripe of a payment card</v>
      </c>
      <c r="O2978" s="10" t="str">
        <f t="shared" si="3"/>
        <v>Unlawful Possession/Use of Scanning Device</v>
      </c>
    </row>
    <row r="2979">
      <c r="A2979" s="7" t="s">
        <v>5302</v>
      </c>
      <c r="B2979" s="8" t="s">
        <v>5303</v>
      </c>
      <c r="C2979" s="8" t="s">
        <v>19</v>
      </c>
      <c r="D2979" s="8" t="s">
        <v>19</v>
      </c>
      <c r="E2979" s="8" t="s">
        <v>19</v>
      </c>
      <c r="F2979" s="8" t="s">
        <v>20</v>
      </c>
      <c r="G2979" s="8" t="s">
        <v>21</v>
      </c>
      <c r="H2979" s="9"/>
      <c r="I2979" s="9"/>
      <c r="J2979" s="10">
        <f t="shared" ref="J2979:M2979" si="1817">ifs(OR($H2979="R",$I2979="N"),"N/A",OR(C2979="A",C2979="B",C2979="C",C2979="U"),3,TRUE,"FLAG")</f>
        <v>3</v>
      </c>
      <c r="K2979" s="10">
        <f t="shared" si="1817"/>
        <v>3</v>
      </c>
      <c r="L2979" s="10">
        <f t="shared" si="1817"/>
        <v>3</v>
      </c>
      <c r="M2979" s="10" t="str">
        <f t="shared" si="1817"/>
        <v>FLAG</v>
      </c>
      <c r="N2979" s="10" t="str">
        <f t="shared" si="2"/>
        <v>21-5820(a) - Unlawful Posting of Political Pictures and Political Advertisements</v>
      </c>
      <c r="O2979" s="10" t="str">
        <f t="shared" si="3"/>
        <v>Unlawful Posting of Political Pictures and Political Advertisements</v>
      </c>
    </row>
    <row r="2980">
      <c r="A2980" s="7" t="s">
        <v>5304</v>
      </c>
      <c r="B2980" s="8" t="s">
        <v>5305</v>
      </c>
      <c r="C2980" s="8" t="s">
        <v>28</v>
      </c>
      <c r="D2980" s="8" t="s">
        <v>19</v>
      </c>
      <c r="E2980" s="8" t="s">
        <v>19</v>
      </c>
      <c r="F2980" s="8" t="s">
        <v>20</v>
      </c>
      <c r="G2980" s="8" t="s">
        <v>24</v>
      </c>
      <c r="H2980" s="9"/>
      <c r="I2980" s="9"/>
      <c r="J2980" s="10">
        <f t="shared" ref="J2980:M2980" si="1818">ifs(OR($H2980="R",$I2980="N"),"N/A",OR(C2980="A",C2980="B",C2980="C",C2980="U"),3,TRUE,"FLAG")</f>
        <v>3</v>
      </c>
      <c r="K2980" s="10">
        <f t="shared" si="1818"/>
        <v>3</v>
      </c>
      <c r="L2980" s="10">
        <f t="shared" si="1818"/>
        <v>3</v>
      </c>
      <c r="M2980" s="10" t="str">
        <f t="shared" si="1818"/>
        <v>FLAG</v>
      </c>
      <c r="N2980" s="10" t="str">
        <f t="shared" si="2"/>
        <v>21-6106(a)(1) - Unlawful Public Demonstration at a Funeral; Engaging in public demonstration within 150 feet of any entrance to cemetery, church, mortuary or other funeral location, within one hour prior to scheduled commencement of funeral, during funeral or within 2 hours following completion of funeral</v>
      </c>
      <c r="O2980" s="10" t="str">
        <f t="shared" si="3"/>
        <v>Unlawful Public Demonstration at a Funeral</v>
      </c>
    </row>
    <row r="2981">
      <c r="A2981" s="7" t="s">
        <v>5306</v>
      </c>
      <c r="B2981" s="8" t="s">
        <v>5307</v>
      </c>
      <c r="C2981" s="8" t="s">
        <v>28</v>
      </c>
      <c r="D2981" s="8" t="s">
        <v>19</v>
      </c>
      <c r="E2981" s="8" t="s">
        <v>19</v>
      </c>
      <c r="F2981" s="8" t="s">
        <v>20</v>
      </c>
      <c r="G2981" s="8" t="s">
        <v>24</v>
      </c>
      <c r="H2981" s="9"/>
      <c r="I2981" s="9"/>
      <c r="J2981" s="10">
        <f t="shared" ref="J2981:M2981" si="1819">ifs(OR($H2981="R",$I2981="N"),"N/A",OR(C2981="A",C2981="B",C2981="C",C2981="U"),3,TRUE,"FLAG")</f>
        <v>3</v>
      </c>
      <c r="K2981" s="10">
        <f t="shared" si="1819"/>
        <v>3</v>
      </c>
      <c r="L2981" s="10">
        <f t="shared" si="1819"/>
        <v>3</v>
      </c>
      <c r="M2981" s="10" t="str">
        <f t="shared" si="1819"/>
        <v>FLAG</v>
      </c>
      <c r="N2981" s="10" t="str">
        <f t="shared" si="2"/>
        <v>21-6106(a)(3) - Unlawful Public Demonstration at a Funeral; Knowingly impede vehicles which are part of a funeral procession</v>
      </c>
      <c r="O2981" s="10" t="str">
        <f t="shared" si="3"/>
        <v>Unlawful Public Demonstration at a Funeral</v>
      </c>
    </row>
    <row r="2982">
      <c r="A2982" s="7" t="s">
        <v>5308</v>
      </c>
      <c r="B2982" s="8" t="s">
        <v>5309</v>
      </c>
      <c r="C2982" s="8" t="s">
        <v>28</v>
      </c>
      <c r="D2982" s="8" t="s">
        <v>19</v>
      </c>
      <c r="E2982" s="8" t="s">
        <v>19</v>
      </c>
      <c r="F2982" s="8" t="s">
        <v>20</v>
      </c>
      <c r="G2982" s="8" t="s">
        <v>24</v>
      </c>
      <c r="H2982" s="9"/>
      <c r="I2982" s="9"/>
      <c r="J2982" s="10">
        <f t="shared" ref="J2982:M2982" si="1820">ifs(OR($H2982="R",$I2982="N"),"N/A",OR(C2982="A",C2982="B",C2982="C",C2982="U"),3,TRUE,"FLAG")</f>
        <v>3</v>
      </c>
      <c r="K2982" s="10">
        <f t="shared" si="1820"/>
        <v>3</v>
      </c>
      <c r="L2982" s="10">
        <f t="shared" si="1820"/>
        <v>3</v>
      </c>
      <c r="M2982" s="10" t="str">
        <f t="shared" si="1820"/>
        <v>FLAG</v>
      </c>
      <c r="N2982" s="10" t="str">
        <f t="shared" si="2"/>
        <v>21-6106(a)(2) - Unlawful Public Demonstration at a Funeral; Knowingly obstruct, hinder, impede or block another person's entry to or exit from a funeral</v>
      </c>
      <c r="O2982" s="10" t="str">
        <f t="shared" si="3"/>
        <v>Unlawful Public Demonstration at a Funeral</v>
      </c>
    </row>
    <row r="2983">
      <c r="A2983" s="7" t="s">
        <v>5310</v>
      </c>
      <c r="B2983" s="8" t="s">
        <v>5311</v>
      </c>
      <c r="C2983" s="8">
        <v>5.0</v>
      </c>
      <c r="D2983" s="8">
        <v>7.0</v>
      </c>
      <c r="E2983" s="8">
        <v>7.0</v>
      </c>
      <c r="F2983" s="8">
        <v>8.0</v>
      </c>
      <c r="G2983" s="8" t="s">
        <v>24</v>
      </c>
      <c r="H2983" s="8" t="s">
        <v>109</v>
      </c>
      <c r="I2983" s="9"/>
      <c r="N2983" s="10" t="str">
        <f t="shared" si="2"/>
        <v>21-5512(a)(11) - Unlawful Sexual Relations; Consensual; between Community Correctional Officer or contract employee and person 16 or older and under supervision</v>
      </c>
      <c r="O2983" s="10" t="str">
        <f t="shared" si="3"/>
        <v>Unlawful Sexual Relations</v>
      </c>
    </row>
    <row r="2984">
      <c r="A2984" s="7" t="s">
        <v>5312</v>
      </c>
      <c r="B2984" s="8" t="s">
        <v>5313</v>
      </c>
      <c r="C2984" s="8">
        <v>5.0</v>
      </c>
      <c r="D2984" s="8">
        <v>7.0</v>
      </c>
      <c r="E2984" s="8">
        <v>7.0</v>
      </c>
      <c r="F2984" s="8">
        <v>8.0</v>
      </c>
      <c r="G2984" s="8" t="s">
        <v>24</v>
      </c>
      <c r="H2984" s="8" t="s">
        <v>109</v>
      </c>
      <c r="I2984" s="9"/>
      <c r="N2984" s="10" t="str">
        <f t="shared" si="2"/>
        <v>21-5512(a)(10) - Unlawful Sexual Relations; Consensual; between Court Services Officer or contract employee and person 16 or older and under supervision</v>
      </c>
      <c r="O2984" s="10" t="str">
        <f t="shared" si="3"/>
        <v>Unlawful Sexual Relations</v>
      </c>
    </row>
    <row r="2985">
      <c r="A2985" s="7" t="s">
        <v>5314</v>
      </c>
      <c r="B2985" s="8" t="s">
        <v>5315</v>
      </c>
      <c r="C2985" s="8">
        <v>4.0</v>
      </c>
      <c r="D2985" s="8">
        <v>6.0</v>
      </c>
      <c r="E2985" s="8">
        <v>6.0</v>
      </c>
      <c r="F2985" s="8">
        <v>7.0</v>
      </c>
      <c r="G2985" s="8" t="s">
        <v>24</v>
      </c>
      <c r="H2985" s="8" t="s">
        <v>109</v>
      </c>
      <c r="I2985" s="9"/>
      <c r="N2985" s="10" t="str">
        <f t="shared" si="2"/>
        <v>21-5512(a)(5) - Unlawful Sexual Relations; Consensual; between JJA staff or contract staff and inmate 16 or older</v>
      </c>
      <c r="O2985" s="10" t="str">
        <f t="shared" si="3"/>
        <v>Unlawful Sexual Relations</v>
      </c>
    </row>
    <row r="2986">
      <c r="A2986" s="7" t="s">
        <v>5316</v>
      </c>
      <c r="B2986" s="8" t="s">
        <v>5317</v>
      </c>
      <c r="C2986" s="8">
        <v>5.0</v>
      </c>
      <c r="D2986" s="8">
        <v>7.0</v>
      </c>
      <c r="E2986" s="8">
        <v>7.0</v>
      </c>
      <c r="F2986" s="8">
        <v>8.0</v>
      </c>
      <c r="G2986" s="8" t="s">
        <v>24</v>
      </c>
      <c r="H2986" s="8" t="s">
        <v>109</v>
      </c>
      <c r="I2986" s="9"/>
      <c r="N2986" s="10" t="str">
        <f t="shared" si="2"/>
        <v>21-5512(a)(6)(A)(ii) and (B) - Unlawful Sexual Relations; Consensual; between JJA staff or contract staff and person 16 or older who has been placed in the custody of JJA under the supervision or control of JJA or a juvenile community supervision agency and offender has knowledge person is currently under supervision</v>
      </c>
      <c r="O2986" s="10" t="str">
        <f t="shared" si="3"/>
        <v>Unlawful Sexual Relations</v>
      </c>
    </row>
    <row r="2987">
      <c r="A2987" s="7" t="s">
        <v>5318</v>
      </c>
      <c r="B2987" s="8" t="s">
        <v>5319</v>
      </c>
      <c r="C2987" s="8">
        <v>5.0</v>
      </c>
      <c r="D2987" s="8">
        <v>7.0</v>
      </c>
      <c r="E2987" s="8">
        <v>7.0</v>
      </c>
      <c r="F2987" s="8">
        <v>8.0</v>
      </c>
      <c r="G2987" s="8" t="s">
        <v>24</v>
      </c>
      <c r="H2987" s="8" t="s">
        <v>109</v>
      </c>
      <c r="I2987" s="9"/>
      <c r="N2987" s="10" t="str">
        <f t="shared" si="2"/>
        <v>21-5512(a)(6)(A)(i) and (B) - Unlawful Sexual Relations; Consensual; between JJA staff or contract staff and person 16 or older who has been under conditional release supervision of JJA or a juvenile community supervision agency and offender has knowledge person is currently under supervision</v>
      </c>
      <c r="O2987" s="10" t="str">
        <f t="shared" si="3"/>
        <v>Unlawful Sexual Relations</v>
      </c>
    </row>
    <row r="2988">
      <c r="A2988" s="7" t="s">
        <v>5320</v>
      </c>
      <c r="B2988" s="8" t="s">
        <v>5321</v>
      </c>
      <c r="C2988" s="8">
        <v>5.0</v>
      </c>
      <c r="D2988" s="8">
        <v>7.0</v>
      </c>
      <c r="E2988" s="8">
        <v>7.0</v>
      </c>
      <c r="F2988" s="8">
        <v>8.0</v>
      </c>
      <c r="G2988" s="8" t="s">
        <v>24</v>
      </c>
      <c r="H2988" s="8" t="s">
        <v>109</v>
      </c>
      <c r="I2988" s="9"/>
      <c r="N2988" s="10" t="str">
        <f t="shared" si="2"/>
        <v>21-5512(a)(1) - Unlawful Sexual Relations; Consensual; between KDOC staff, volunteer or contract staff and inmate 16 or older</v>
      </c>
      <c r="O2988" s="10" t="str">
        <f t="shared" si="3"/>
        <v>Unlawful Sexual Relations</v>
      </c>
    </row>
    <row r="2989">
      <c r="A2989" s="7" t="s">
        <v>5322</v>
      </c>
      <c r="B2989" s="8" t="s">
        <v>5323</v>
      </c>
      <c r="C2989" s="8">
        <v>5.0</v>
      </c>
      <c r="D2989" s="8">
        <v>7.0</v>
      </c>
      <c r="E2989" s="8">
        <v>7.0</v>
      </c>
      <c r="F2989" s="8">
        <v>8.0</v>
      </c>
      <c r="G2989" s="8" t="s">
        <v>24</v>
      </c>
      <c r="H2989" s="8" t="s">
        <v>109</v>
      </c>
      <c r="I2989" s="9"/>
      <c r="N2989" s="10" t="str">
        <f t="shared" si="2"/>
        <v>21-5512(a)(3) - Unlawful Sexual Relations; Consensual; between LEO, jail staff or contract staff and inmate 16 or older</v>
      </c>
      <c r="O2989" s="10" t="str">
        <f t="shared" si="3"/>
        <v>Unlawful Sexual Relations</v>
      </c>
    </row>
    <row r="2990">
      <c r="A2990" s="7" t="s">
        <v>5324</v>
      </c>
      <c r="B2990" s="8" t="s">
        <v>5325</v>
      </c>
      <c r="C2990" s="8">
        <v>5.0</v>
      </c>
      <c r="D2990" s="8">
        <v>7.0</v>
      </c>
      <c r="E2990" s="8">
        <v>7.0</v>
      </c>
      <c r="F2990" s="8">
        <v>8.0</v>
      </c>
      <c r="G2990" s="8" t="s">
        <v>24</v>
      </c>
      <c r="H2990" s="8" t="s">
        <v>109</v>
      </c>
      <c r="I2990" s="9"/>
      <c r="N2990" s="10" t="str">
        <f t="shared" si="2"/>
        <v>21-5512(a)(4) - Unlawful Sexual Relations; Consensual; between LEO, Juvenile Detention officer or contract staff and inmate 16 or older</v>
      </c>
      <c r="O2990" s="10" t="str">
        <f t="shared" si="3"/>
        <v>Unlawful Sexual Relations</v>
      </c>
    </row>
    <row r="2991">
      <c r="A2991" s="7" t="s">
        <v>5326</v>
      </c>
      <c r="B2991" s="8" t="s">
        <v>5327</v>
      </c>
      <c r="C2991" s="8">
        <v>5.0</v>
      </c>
      <c r="D2991" s="8">
        <v>7.0</v>
      </c>
      <c r="E2991" s="8">
        <v>7.0</v>
      </c>
      <c r="F2991" s="8">
        <v>8.0</v>
      </c>
      <c r="G2991" s="8" t="s">
        <v>24</v>
      </c>
      <c r="H2991" s="8" t="s">
        <v>109</v>
      </c>
      <c r="I2991" s="9"/>
      <c r="N2991" s="10" t="str">
        <f t="shared" si="2"/>
        <v>21-5512(a)(2) - Unlawful Sexual Relations; Consensual; between parole officer, volunteer or contract staff and a person 16 or older who is an inmate or person under supervision</v>
      </c>
      <c r="O2991" s="10" t="str">
        <f t="shared" si="3"/>
        <v>Unlawful Sexual Relations</v>
      </c>
    </row>
    <row r="2992">
      <c r="A2992" s="7" t="s">
        <v>5328</v>
      </c>
      <c r="B2992" s="8" t="s">
        <v>5329</v>
      </c>
      <c r="C2992" s="8">
        <v>5.0</v>
      </c>
      <c r="D2992" s="8">
        <v>7.0</v>
      </c>
      <c r="E2992" s="8">
        <v>7.0</v>
      </c>
      <c r="F2992" s="8">
        <v>8.0</v>
      </c>
      <c r="G2992" s="8" t="s">
        <v>24</v>
      </c>
      <c r="H2992" s="8" t="s">
        <v>109</v>
      </c>
      <c r="I2992" s="9"/>
      <c r="N2992" s="10" t="str">
        <f t="shared" si="2"/>
        <v>21-5512(a)(8) - Unlawful Sexual Relations; Consensual; between person in a position of authority in family foster home licensed by KDHE and person 16 or older who is a foster child in the home</v>
      </c>
      <c r="O2992" s="10" t="str">
        <f t="shared" si="3"/>
        <v>Unlawful Sexual Relations</v>
      </c>
    </row>
    <row r="2993">
      <c r="A2993" s="7" t="s">
        <v>5330</v>
      </c>
      <c r="B2993" s="8" t="s">
        <v>5331</v>
      </c>
      <c r="C2993" s="8">
        <v>5.0</v>
      </c>
      <c r="D2993" s="8">
        <v>7.0</v>
      </c>
      <c r="E2993" s="8">
        <v>7.0</v>
      </c>
      <c r="F2993" s="8">
        <v>8.0</v>
      </c>
      <c r="G2993" s="8" t="s">
        <v>24</v>
      </c>
      <c r="H2993" s="8" t="s">
        <v>109</v>
      </c>
      <c r="I2993" s="9"/>
      <c r="N2993" s="10" t="str">
        <f t="shared" si="2"/>
        <v>21-5512(a)(7) - Unlawful Sexual Relations; Consensual; between SRS staff or contract staff and patient 16 or older</v>
      </c>
      <c r="O2993" s="10" t="str">
        <f t="shared" si="3"/>
        <v>Unlawful Sexual Relations</v>
      </c>
    </row>
    <row r="2994">
      <c r="A2994" s="7" t="s">
        <v>5332</v>
      </c>
      <c r="B2994" s="8" t="s">
        <v>5333</v>
      </c>
      <c r="C2994" s="8">
        <v>5.0</v>
      </c>
      <c r="D2994" s="8">
        <v>7.0</v>
      </c>
      <c r="E2994" s="8">
        <v>7.0</v>
      </c>
      <c r="F2994" s="8">
        <v>8.0</v>
      </c>
      <c r="G2994" s="8" t="s">
        <v>24</v>
      </c>
      <c r="H2994" s="8" t="s">
        <v>109</v>
      </c>
      <c r="I2994" s="9"/>
      <c r="N2994" s="10" t="str">
        <f t="shared" si="2"/>
        <v>21-5512(a)(9) - Unlawful Sexual Relations; Consensual; between teacher/other person in authority and student 16 or older</v>
      </c>
      <c r="O2994" s="10" t="str">
        <f t="shared" si="3"/>
        <v>Unlawful Sexual Relations</v>
      </c>
    </row>
    <row r="2995">
      <c r="A2995" s="7" t="s">
        <v>5334</v>
      </c>
      <c r="B2995" s="8" t="s">
        <v>5335</v>
      </c>
      <c r="C2995" s="8" t="s">
        <v>27</v>
      </c>
      <c r="D2995" s="8" t="s">
        <v>28</v>
      </c>
      <c r="E2995" s="8" t="s">
        <v>19</v>
      </c>
      <c r="F2995" s="8" t="s">
        <v>20</v>
      </c>
      <c r="G2995" s="8" t="s">
        <v>24</v>
      </c>
      <c r="H2995" s="9"/>
      <c r="I2995" s="9"/>
      <c r="J2995" s="10">
        <f t="shared" ref="J2995:M2995" si="1821">ifs(OR($H2995="R",$I2995="N"),"N/A",OR(C2995="A",C2995="B",C2995="C",C2995="U"),3,TRUE,"FLAG")</f>
        <v>3</v>
      </c>
      <c r="K2995" s="10">
        <f t="shared" si="1821"/>
        <v>3</v>
      </c>
      <c r="L2995" s="10">
        <f t="shared" si="1821"/>
        <v>3</v>
      </c>
      <c r="M2995" s="10" t="str">
        <f t="shared" si="1821"/>
        <v>FLAG</v>
      </c>
      <c r="N2995" s="10" t="str">
        <f t="shared" si="2"/>
        <v>21-5611(a) - Unlawful transmission of a visual depiction of a child; Knowingly transmitting a visual depiction of a child 12 or more years of age but less than 18 years of age in a state of nudity when the offender is less than 19 years of age.</v>
      </c>
      <c r="O2995" s="10" t="str">
        <f t="shared" si="3"/>
        <v>Unlawful transmission of a visual depiction of a child</v>
      </c>
    </row>
    <row r="2996">
      <c r="A2996" s="7" t="s">
        <v>5336</v>
      </c>
      <c r="B2996" s="8" t="s">
        <v>5335</v>
      </c>
      <c r="C2996" s="8">
        <v>10.0</v>
      </c>
      <c r="D2996" s="8">
        <v>10.0</v>
      </c>
      <c r="E2996" s="8">
        <v>10.0</v>
      </c>
      <c r="F2996" s="8">
        <v>10.0</v>
      </c>
      <c r="G2996" s="8" t="s">
        <v>24</v>
      </c>
      <c r="H2996" s="9"/>
      <c r="I2996" s="9"/>
      <c r="N2996" s="10" t="str">
        <f t="shared" si="2"/>
        <v>21-5611(a) - Unlawful transmission of a visual depiction of a child; Knowingly transmitting a visual depiction of a child 12 or more years of age but less than 18 years of age in a state of nudity when the offender is less than 19 years of age; 2nd or subsequent</v>
      </c>
      <c r="O2996" s="10" t="str">
        <f t="shared" si="3"/>
        <v>Unlawful transmission of a visual depiction of a child</v>
      </c>
    </row>
    <row r="2997">
      <c r="A2997" s="7" t="s">
        <v>5337</v>
      </c>
      <c r="B2997" s="8" t="s">
        <v>5338</v>
      </c>
      <c r="C2997" s="8" t="s">
        <v>27</v>
      </c>
      <c r="D2997" s="8" t="s">
        <v>28</v>
      </c>
      <c r="E2997" s="8" t="s">
        <v>19</v>
      </c>
      <c r="F2997" s="8" t="s">
        <v>20</v>
      </c>
      <c r="G2997" s="8" t="s">
        <v>21</v>
      </c>
      <c r="H2997" s="9"/>
      <c r="I2997" s="9"/>
      <c r="J2997" s="10">
        <f t="shared" ref="J2997:M2997" si="1822">ifs(OR($H2997="R",$I2997="N"),"N/A",OR(C2997="A",C2997="B",C2997="C",C2997="U"),3,TRUE,"FLAG")</f>
        <v>3</v>
      </c>
      <c r="K2997" s="10">
        <f t="shared" si="1822"/>
        <v>3</v>
      </c>
      <c r="L2997" s="10">
        <f t="shared" si="1822"/>
        <v>3</v>
      </c>
      <c r="M2997" s="10" t="str">
        <f t="shared" si="1822"/>
        <v>FLAG</v>
      </c>
      <c r="N2997" s="10" t="str">
        <f t="shared" si="2"/>
        <v>21-5806(a)(2) - Unlawful Use of Recordings; Distributing or possessing with intent to distribute any item in (a)(1) knowing the item was illegally produced; less than 7 audio visual recordings or fewer than 100 sound recordings within 180 days</v>
      </c>
      <c r="O2997" s="10" t="str">
        <f t="shared" si="3"/>
        <v>Unlawful Use of Recordings</v>
      </c>
    </row>
    <row r="2998">
      <c r="A2998" s="7" t="s">
        <v>5339</v>
      </c>
      <c r="B2998" s="8" t="s">
        <v>5338</v>
      </c>
      <c r="C2998" s="8">
        <v>9.0</v>
      </c>
      <c r="D2998" s="8">
        <v>10.0</v>
      </c>
      <c r="E2998" s="8">
        <v>10.0</v>
      </c>
      <c r="F2998" s="8">
        <v>10.0</v>
      </c>
      <c r="G2998" s="8" t="s">
        <v>21</v>
      </c>
      <c r="H2998" s="9"/>
      <c r="I2998" s="9"/>
      <c r="N2998" s="10" t="str">
        <f t="shared" si="2"/>
        <v>21-5806(a)(2) - Unlawful Use of Recordings; Distributing or possessing with intent to distribute any item in K.S.A. 2011 Supp. 21-5806(a)(1) knowing the item was illegally produced; at least 7 or more audio/visual or 100 or more sound recordings within 180 days</v>
      </c>
      <c r="O2998" s="10" t="str">
        <f t="shared" si="3"/>
        <v>Unlawful Use of Recordings</v>
      </c>
    </row>
    <row r="2999">
      <c r="A2999" s="7" t="s">
        <v>5340</v>
      </c>
      <c r="B2999" s="8" t="s">
        <v>5341</v>
      </c>
      <c r="C2999" s="8">
        <v>9.0</v>
      </c>
      <c r="D2999" s="8">
        <v>10.0</v>
      </c>
      <c r="E2999" s="8">
        <v>10.0</v>
      </c>
      <c r="F2999" s="8">
        <v>10.0</v>
      </c>
      <c r="G2999" s="8" t="s">
        <v>21</v>
      </c>
      <c r="H2999" s="9"/>
      <c r="I2999" s="9"/>
      <c r="N2999" s="10" t="str">
        <f t="shared" si="2"/>
        <v>21-5806(a)(4) - Unlawful Use of Recordings; Knowingly selling, renting, possessing, transporting or manufacturing an item in which sounds or images may be stored unless outside cover, box or jacket discloses manufacturer; at least 7 or more audio/visual or 100 or more sound recordings within 180 days</v>
      </c>
      <c r="O2999" s="10" t="str">
        <f t="shared" si="3"/>
        <v>Unlawful Use of Recordings</v>
      </c>
    </row>
    <row r="3000">
      <c r="A3000" s="7" t="s">
        <v>5342</v>
      </c>
      <c r="B3000" s="8" t="s">
        <v>5341</v>
      </c>
      <c r="C3000" s="8" t="s">
        <v>27</v>
      </c>
      <c r="D3000" s="8" t="s">
        <v>28</v>
      </c>
      <c r="E3000" s="8" t="s">
        <v>19</v>
      </c>
      <c r="F3000" s="8" t="s">
        <v>20</v>
      </c>
      <c r="G3000" s="8" t="s">
        <v>21</v>
      </c>
      <c r="H3000" s="9"/>
      <c r="I3000" s="9"/>
      <c r="J3000" s="10">
        <f t="shared" ref="J3000:M3000" si="1823">ifs(OR($H3000="R",$I3000="N"),"N/A",OR(C3000="A",C3000="B",C3000="C",C3000="U"),3,TRUE,"FLAG")</f>
        <v>3</v>
      </c>
      <c r="K3000" s="10">
        <f t="shared" si="1823"/>
        <v>3</v>
      </c>
      <c r="L3000" s="10">
        <f t="shared" si="1823"/>
        <v>3</v>
      </c>
      <c r="M3000" s="10" t="str">
        <f t="shared" si="1823"/>
        <v>FLAG</v>
      </c>
      <c r="N3000" s="10" t="str">
        <f t="shared" si="2"/>
        <v>21-5806(a)(4) - Unlawful Use of Recordings; Knowingly selling, renting, possessing, transporting or manufacturing an item in which sounds or images may be stored unless outside cover, box or jacket discloses manufacturer; less than 7 audio visual recordings or fewer than 100 sound recordings within 180 days</v>
      </c>
      <c r="O3000" s="10" t="str">
        <f t="shared" si="3"/>
        <v>Unlawful Use of Recordings</v>
      </c>
    </row>
    <row r="3001">
      <c r="A3001" s="7" t="s">
        <v>5343</v>
      </c>
      <c r="B3001" s="8" t="s">
        <v>5344</v>
      </c>
      <c r="C3001" s="8">
        <v>9.0</v>
      </c>
      <c r="D3001" s="8">
        <v>10.0</v>
      </c>
      <c r="E3001" s="8">
        <v>10.0</v>
      </c>
      <c r="F3001" s="8">
        <v>10.0</v>
      </c>
      <c r="G3001" s="8" t="s">
        <v>21</v>
      </c>
      <c r="H3001" s="9"/>
      <c r="I3001" s="9"/>
      <c r="N3001" s="10" t="str">
        <f t="shared" si="2"/>
        <v>21-5806(a)(1) - Unlawful Use of Recordings; Piracy of recordings; knowingly and without consent duplicating sound recordings with intent to sell, rent or cause to be sold or rented or given away as part of a promotion</v>
      </c>
      <c r="O3001" s="10" t="str">
        <f t="shared" si="3"/>
        <v>Unlawful Use of Recordings</v>
      </c>
    </row>
    <row r="3002">
      <c r="A3002" s="7" t="s">
        <v>5345</v>
      </c>
      <c r="B3002" s="8" t="s">
        <v>5346</v>
      </c>
      <c r="C3002" s="8" t="s">
        <v>28</v>
      </c>
      <c r="D3002" s="8" t="s">
        <v>19</v>
      </c>
      <c r="E3002" s="8" t="s">
        <v>19</v>
      </c>
      <c r="F3002" s="8" t="s">
        <v>20</v>
      </c>
      <c r="G3002" s="8" t="s">
        <v>21</v>
      </c>
      <c r="H3002" s="9"/>
      <c r="I3002" s="9"/>
      <c r="J3002" s="10">
        <f t="shared" ref="J3002:M3002" si="1824">ifs(OR($H3002="R",$I3002="N"),"N/A",OR(C3002="A",C3002="B",C3002="C",C3002="U"),3,TRUE,"FLAG")</f>
        <v>3</v>
      </c>
      <c r="K3002" s="10">
        <f t="shared" si="1824"/>
        <v>3</v>
      </c>
      <c r="L3002" s="10">
        <f t="shared" si="1824"/>
        <v>3</v>
      </c>
      <c r="M3002" s="10" t="str">
        <f t="shared" si="1824"/>
        <v>FLAG</v>
      </c>
      <c r="N3002" s="10" t="str">
        <f t="shared" si="2"/>
        <v>21-5806(a)(3) - Unlawful Use of Recordings; Possessing any article produced in violation of (a)(1) knowing that it was produced illegally</v>
      </c>
      <c r="O3002" s="10" t="str">
        <f t="shared" si="3"/>
        <v>Unlawful Use of Recordings</v>
      </c>
    </row>
    <row r="3003">
      <c r="A3003" s="7" t="s">
        <v>5347</v>
      </c>
      <c r="B3003" s="8" t="s">
        <v>5348</v>
      </c>
      <c r="C3003" s="8" t="s">
        <v>19</v>
      </c>
      <c r="D3003" s="8" t="s">
        <v>19</v>
      </c>
      <c r="E3003" s="8" t="s">
        <v>19</v>
      </c>
      <c r="F3003" s="8" t="s">
        <v>20</v>
      </c>
      <c r="G3003" s="8" t="s">
        <v>21</v>
      </c>
      <c r="H3003" s="9"/>
      <c r="I3003" s="9"/>
      <c r="J3003" s="10">
        <f t="shared" ref="J3003:M3003" si="1825">ifs(OR($H3003="R",$I3003="N"),"N/A",OR(C3003="A",C3003="B",C3003="C",C3003="U"),3,TRUE,"FLAG")</f>
        <v>3</v>
      </c>
      <c r="K3003" s="10">
        <f t="shared" si="1825"/>
        <v>3</v>
      </c>
      <c r="L3003" s="10">
        <f t="shared" si="1825"/>
        <v>3</v>
      </c>
      <c r="M3003" s="10" t="str">
        <f t="shared" si="1825"/>
        <v>FLAG</v>
      </c>
      <c r="N3003" s="10" t="str">
        <f t="shared" si="2"/>
        <v>21-6006(a) - Unlawful Use of State Postage</v>
      </c>
      <c r="O3003" s="10" t="str">
        <f t="shared" si="3"/>
        <v>Unlawful Use of State Postage</v>
      </c>
    </row>
    <row r="3004">
      <c r="A3004" s="7" t="s">
        <v>5349</v>
      </c>
      <c r="B3004" s="8" t="s">
        <v>5350</v>
      </c>
      <c r="C3004" s="8">
        <v>10.0</v>
      </c>
      <c r="D3004" s="8">
        <v>10.0</v>
      </c>
      <c r="E3004" s="8">
        <v>10.0</v>
      </c>
      <c r="F3004" s="8">
        <v>10.0</v>
      </c>
      <c r="G3004" s="8" t="s">
        <v>24</v>
      </c>
      <c r="H3004" s="9"/>
      <c r="I3004" s="9"/>
      <c r="N3004" s="10" t="str">
        <f t="shared" si="2"/>
        <v>21-5507(a)(1)(C) - Unlawful Voluntary Sexual Relations; Lewd fondling/touching of a child 14 or 15 by a person less than 19 and less than four yrs older than the child</v>
      </c>
      <c r="O3004" s="10" t="str">
        <f t="shared" si="3"/>
        <v>Unlawful Voluntary Sexual Relations</v>
      </c>
    </row>
    <row r="3005">
      <c r="A3005" s="7" t="s">
        <v>5351</v>
      </c>
      <c r="B3005" s="8" t="s">
        <v>5352</v>
      </c>
      <c r="C3005" s="8">
        <v>8.0</v>
      </c>
      <c r="D3005" s="8">
        <v>10.0</v>
      </c>
      <c r="E3005" s="8">
        <v>10.0</v>
      </c>
      <c r="F3005" s="8">
        <v>10.0</v>
      </c>
      <c r="G3005" s="8" t="s">
        <v>24</v>
      </c>
      <c r="H3005" s="9"/>
      <c r="I3005" s="9"/>
      <c r="N3005" s="10" t="str">
        <f t="shared" si="2"/>
        <v>21-5507(a)(1)(A) - Unlawful Voluntary Sexual Relations; Sexual intercourse between a child 14 or 15 and a person less than 19 and less than four yrs older than the child</v>
      </c>
      <c r="O3005" s="10" t="str">
        <f t="shared" si="3"/>
        <v>Unlawful Voluntary Sexual Relations</v>
      </c>
    </row>
    <row r="3006">
      <c r="A3006" s="7" t="s">
        <v>5353</v>
      </c>
      <c r="B3006" s="8" t="s">
        <v>5354</v>
      </c>
      <c r="C3006" s="8">
        <v>9.0</v>
      </c>
      <c r="D3006" s="8">
        <v>10.0</v>
      </c>
      <c r="E3006" s="8">
        <v>10.0</v>
      </c>
      <c r="F3006" s="8">
        <v>10.0</v>
      </c>
      <c r="G3006" s="8" t="s">
        <v>24</v>
      </c>
      <c r="H3006" s="9"/>
      <c r="I3006" s="9"/>
      <c r="N3006" s="10" t="str">
        <f t="shared" si="2"/>
        <v>21-5507(a)(1)(B) - Unlawful Voluntary Sexual Relations; Sodomy between a child 14 or 15 and a person less than 19 and less than four yrs older than the child</v>
      </c>
      <c r="O3006" s="10" t="str">
        <f t="shared" si="3"/>
        <v>Unlawful Voluntary Sexual Relations</v>
      </c>
    </row>
    <row r="3007">
      <c r="A3007" s="13" t="s">
        <v>5355</v>
      </c>
      <c r="B3007" s="8" t="s">
        <v>5356</v>
      </c>
      <c r="C3007" s="8" t="s">
        <v>27</v>
      </c>
      <c r="D3007" s="8" t="s">
        <v>28</v>
      </c>
      <c r="E3007" s="8" t="s">
        <v>19</v>
      </c>
      <c r="F3007" s="8" t="s">
        <v>20</v>
      </c>
      <c r="G3007" s="8" t="s">
        <v>24</v>
      </c>
      <c r="H3007" s="9"/>
      <c r="I3007" s="9"/>
      <c r="J3007" s="10">
        <f t="shared" ref="J3007:M3007" si="1826">ifs(OR($H3007="R",$I3007="N"),"N/A",OR(C3007="A",C3007="B",C3007="C",C3007="U"),3,TRUE,"FLAG")</f>
        <v>3</v>
      </c>
      <c r="K3007" s="10">
        <f t="shared" si="1826"/>
        <v>3</v>
      </c>
      <c r="L3007" s="10">
        <f t="shared" si="1826"/>
        <v>3</v>
      </c>
      <c r="M3007" s="10" t="str">
        <f t="shared" si="1826"/>
        <v>FLAG</v>
      </c>
      <c r="N3007" s="10" t="str">
        <f t="shared" si="2"/>
        <v>21-5406(a) - Vehicular Homicide; Killing by operation of a vehicle in a manner which creates an unreasonable risk of injury and which constitutes a material deviation from the reasonable standard of care</v>
      </c>
      <c r="O3007" s="10" t="str">
        <f t="shared" si="3"/>
        <v>Vehicular Homicide</v>
      </c>
    </row>
    <row r="3008">
      <c r="A3008" s="7" t="s">
        <v>5357</v>
      </c>
      <c r="B3008" s="8" t="s">
        <v>5358</v>
      </c>
      <c r="C3008" s="8" t="s">
        <v>28</v>
      </c>
      <c r="D3008" s="8" t="s">
        <v>19</v>
      </c>
      <c r="E3008" s="8" t="s">
        <v>19</v>
      </c>
      <c r="F3008" s="8" t="s">
        <v>20</v>
      </c>
      <c r="G3008" s="8" t="s">
        <v>21</v>
      </c>
      <c r="H3008" s="9"/>
      <c r="I3008" s="9"/>
      <c r="J3008" s="10">
        <f t="shared" ref="J3008:M3008" si="1827">ifs(OR($H3008="R",$I3008="N"),"N/A",OR(C3008="A",C3008="B",C3008="C",C3008="U"),3,TRUE,"FLAG")</f>
        <v>3</v>
      </c>
      <c r="K3008" s="10">
        <f t="shared" si="1827"/>
        <v>3</v>
      </c>
      <c r="L3008" s="10">
        <f t="shared" si="1827"/>
        <v>3</v>
      </c>
      <c r="M3008" s="10" t="str">
        <f t="shared" si="1827"/>
        <v>FLAG</v>
      </c>
      <c r="N3008" s="10" t="str">
        <f t="shared" si="2"/>
        <v>47-834(b) - Veterinary Practice Act; Unlawful operation or management of veterinary premises</v>
      </c>
      <c r="O3008" s="10" t="str">
        <f t="shared" si="3"/>
        <v>Veterinary Practice Act</v>
      </c>
    </row>
    <row r="3009">
      <c r="A3009" s="7" t="s">
        <v>5359</v>
      </c>
      <c r="B3009" s="8" t="s">
        <v>5360</v>
      </c>
      <c r="C3009" s="8" t="s">
        <v>28</v>
      </c>
      <c r="D3009" s="8" t="s">
        <v>19</v>
      </c>
      <c r="E3009" s="8" t="s">
        <v>19</v>
      </c>
      <c r="F3009" s="8" t="s">
        <v>20</v>
      </c>
      <c r="G3009" s="8" t="s">
        <v>21</v>
      </c>
      <c r="H3009" s="9"/>
      <c r="I3009" s="9"/>
      <c r="J3009" s="10">
        <f t="shared" ref="J3009:M3009" si="1828">ifs(OR($H3009="R",$I3009="N"),"N/A",OR(C3009="A",C3009="B",C3009="C",C3009="U"),3,TRUE,"FLAG")</f>
        <v>3</v>
      </c>
      <c r="K3009" s="10">
        <f t="shared" si="1828"/>
        <v>3</v>
      </c>
      <c r="L3009" s="10">
        <f t="shared" si="1828"/>
        <v>3</v>
      </c>
      <c r="M3009" s="10" t="str">
        <f t="shared" si="1828"/>
        <v>FLAG</v>
      </c>
      <c r="N3009" s="10" t="str">
        <f t="shared" si="2"/>
        <v>47-834(a) - Veterinary Practice Act; Unlawful practice of veterinary medicine</v>
      </c>
      <c r="O3009" s="10" t="str">
        <f t="shared" si="3"/>
        <v>Veterinary Practice Act</v>
      </c>
    </row>
    <row r="3010">
      <c r="A3010" s="7" t="s">
        <v>5361</v>
      </c>
      <c r="B3010" s="8" t="s">
        <v>5362</v>
      </c>
      <c r="C3010" s="8">
        <v>7.0</v>
      </c>
      <c r="D3010" s="8">
        <v>9.0</v>
      </c>
      <c r="E3010" s="8">
        <v>9.0</v>
      </c>
      <c r="F3010" s="8">
        <v>10.0</v>
      </c>
      <c r="G3010" s="8" t="s">
        <v>21</v>
      </c>
      <c r="H3010" s="9"/>
      <c r="I3010" s="9"/>
      <c r="N3010" s="10" t="str">
        <f t="shared" si="2"/>
        <v>40-5013 - Viatical Settlements Act; Violation of Act; contract is $25,000 or more</v>
      </c>
      <c r="O3010" s="10" t="str">
        <f t="shared" si="3"/>
        <v>Viatical Settlements Act</v>
      </c>
    </row>
    <row r="3011">
      <c r="A3011" s="7" t="s">
        <v>5363</v>
      </c>
      <c r="B3011" s="8" t="s">
        <v>5362</v>
      </c>
      <c r="C3011" s="8">
        <v>9.0</v>
      </c>
      <c r="D3011" s="8">
        <v>10.0</v>
      </c>
      <c r="E3011" s="8">
        <v>10.0</v>
      </c>
      <c r="F3011" s="8">
        <v>10.0</v>
      </c>
      <c r="G3011" s="8" t="s">
        <v>21</v>
      </c>
      <c r="H3011" s="9"/>
      <c r="I3011" s="9"/>
      <c r="N3011" s="10" t="str">
        <f t="shared" si="2"/>
        <v>40-5013 - Viatical Settlements Act; Violation of Act; contract is at least $1,000 but less than $25,000</v>
      </c>
      <c r="O3011" s="10" t="str">
        <f t="shared" si="3"/>
        <v>Viatical Settlements Act</v>
      </c>
    </row>
    <row r="3012">
      <c r="A3012" s="7" t="s">
        <v>5364</v>
      </c>
      <c r="B3012" s="8" t="s">
        <v>5362</v>
      </c>
      <c r="C3012" s="8" t="s">
        <v>27</v>
      </c>
      <c r="D3012" s="8" t="s">
        <v>28</v>
      </c>
      <c r="E3012" s="8" t="s">
        <v>19</v>
      </c>
      <c r="F3012" s="8" t="s">
        <v>20</v>
      </c>
      <c r="G3012" s="8" t="s">
        <v>21</v>
      </c>
      <c r="H3012" s="9"/>
      <c r="I3012" s="9"/>
      <c r="J3012" s="10">
        <f t="shared" ref="J3012:M3012" si="1829">ifs(OR($H3012="R",$I3012="N"),"N/A",OR(C3012="A",C3012="B",C3012="C",C3012="U"),3,TRUE,"FLAG")</f>
        <v>3</v>
      </c>
      <c r="K3012" s="10">
        <f t="shared" si="1829"/>
        <v>3</v>
      </c>
      <c r="L3012" s="10">
        <f t="shared" si="1829"/>
        <v>3</v>
      </c>
      <c r="M3012" s="10" t="str">
        <f t="shared" si="1829"/>
        <v>FLAG</v>
      </c>
      <c r="N3012" s="10" t="str">
        <f t="shared" si="2"/>
        <v>40-5013 - Viatical Settlements Act; Violation of act; contract is less than $1,000</v>
      </c>
      <c r="O3012" s="10" t="str">
        <f t="shared" si="3"/>
        <v>Viatical Settlements Act</v>
      </c>
    </row>
    <row r="3013">
      <c r="A3013" s="7" t="s">
        <v>5365</v>
      </c>
      <c r="B3013" s="8" t="s">
        <v>5362</v>
      </c>
      <c r="C3013" s="8">
        <v>9.0</v>
      </c>
      <c r="D3013" s="8">
        <v>10.0</v>
      </c>
      <c r="E3013" s="8">
        <v>10.0</v>
      </c>
      <c r="F3013" s="8">
        <v>10.0</v>
      </c>
      <c r="G3013" s="8" t="s">
        <v>21</v>
      </c>
      <c r="H3013" s="9"/>
      <c r="I3013" s="9"/>
      <c r="N3013" s="10" t="str">
        <f t="shared" si="2"/>
        <v>40-5013 - Viatical Settlements Act; Violation of Act; contract is less than $1,000 but committed by a person who has been convicted of this crime two or more times within 5 yrs preceding the commission of this crime</v>
      </c>
      <c r="O3013" s="10" t="str">
        <f t="shared" si="3"/>
        <v>Viatical Settlements Act</v>
      </c>
    </row>
    <row r="3014">
      <c r="A3014" s="7" t="s">
        <v>5366</v>
      </c>
      <c r="B3014" s="8" t="s">
        <v>5367</v>
      </c>
      <c r="C3014" s="8">
        <v>8.0</v>
      </c>
      <c r="D3014" s="8">
        <v>10.0</v>
      </c>
      <c r="E3014" s="8">
        <v>10.0</v>
      </c>
      <c r="F3014" s="8">
        <v>10.0</v>
      </c>
      <c r="G3014" s="8" t="s">
        <v>21</v>
      </c>
      <c r="H3014" s="9"/>
      <c r="I3014" s="9"/>
      <c r="N3014" s="10" t="str">
        <f t="shared" si="2"/>
        <v>21-5918(b)(2) - Vital Records; Identity Fraud; Make, counterfeit, alter, amend or mutilate any certified copy of a vital record without lawful authority and with intent to deceive</v>
      </c>
      <c r="O3014" s="10" t="str">
        <f t="shared" si="3"/>
        <v>Vital Records</v>
      </c>
    </row>
    <row r="3015">
      <c r="A3015" s="7" t="s">
        <v>5368</v>
      </c>
      <c r="B3015" s="8" t="s">
        <v>5369</v>
      </c>
      <c r="C3015" s="8">
        <v>8.0</v>
      </c>
      <c r="D3015" s="8">
        <v>10.0</v>
      </c>
      <c r="E3015" s="8">
        <v>10.0</v>
      </c>
      <c r="F3015" s="8">
        <v>10.0</v>
      </c>
      <c r="G3015" s="8" t="s">
        <v>21</v>
      </c>
      <c r="H3015" s="9"/>
      <c r="I3015" s="9"/>
      <c r="N3015" s="10" t="str">
        <f t="shared" si="2"/>
        <v>21-5918(b)(3) - Vital Records; Identity Fraud; Obtain, possess, use, sell or furnish or attempt to obtain, possess or furnish to another a certified copy of a vital record with the intent to deceive</v>
      </c>
      <c r="O3015" s="10" t="str">
        <f t="shared" si="3"/>
        <v>Vital Records</v>
      </c>
    </row>
    <row r="3016">
      <c r="A3016" s="7" t="s">
        <v>5370</v>
      </c>
      <c r="B3016" s="8" t="s">
        <v>5371</v>
      </c>
      <c r="C3016" s="8">
        <v>8.0</v>
      </c>
      <c r="D3016" s="8">
        <v>10.0</v>
      </c>
      <c r="E3016" s="8">
        <v>10.0</v>
      </c>
      <c r="F3016" s="8">
        <v>10.0</v>
      </c>
      <c r="G3016" s="8" t="s">
        <v>21</v>
      </c>
      <c r="H3016" s="9"/>
      <c r="I3016" s="9"/>
      <c r="N3016" s="10" t="str">
        <f t="shared" si="2"/>
        <v>21-5918(b)(1) - Vital Records; Identity Fraud; Supply false information to obtain a certified copy of a vital record</v>
      </c>
      <c r="O3016" s="10" t="str">
        <f t="shared" si="3"/>
        <v>Vital Records</v>
      </c>
    </row>
    <row r="3017">
      <c r="A3017" s="7" t="s">
        <v>5372</v>
      </c>
      <c r="B3017" s="8" t="s">
        <v>5373</v>
      </c>
      <c r="C3017" s="8">
        <v>3.0</v>
      </c>
      <c r="D3017" s="8">
        <v>5.0</v>
      </c>
      <c r="E3017" s="8">
        <v>5.0</v>
      </c>
      <c r="F3017" s="8">
        <v>6.0</v>
      </c>
      <c r="G3017" s="8" t="s">
        <v>24</v>
      </c>
      <c r="H3017" s="8" t="s">
        <v>109</v>
      </c>
      <c r="I3017" s="8" t="s">
        <v>54</v>
      </c>
      <c r="N3017" s="10" t="str">
        <f t="shared" si="2"/>
        <v>21-5404(a)(1) - Voluntary Manslaughter; Knowingly killing upon sudden quarrel or in heat of passion</v>
      </c>
      <c r="O3017" s="10" t="str">
        <f t="shared" si="3"/>
        <v>Voluntary Manslaughter</v>
      </c>
    </row>
    <row r="3018">
      <c r="A3018" s="7" t="s">
        <v>5374</v>
      </c>
      <c r="B3018" s="8" t="s">
        <v>5375</v>
      </c>
      <c r="C3018" s="8">
        <v>3.0</v>
      </c>
      <c r="D3018" s="8">
        <v>5.0</v>
      </c>
      <c r="E3018" s="8">
        <v>5.0</v>
      </c>
      <c r="F3018" s="8">
        <v>6.0</v>
      </c>
      <c r="G3018" s="8" t="s">
        <v>24</v>
      </c>
      <c r="H3018" s="8" t="s">
        <v>109</v>
      </c>
      <c r="I3018" s="8" t="s">
        <v>54</v>
      </c>
      <c r="N3018" s="10" t="str">
        <f t="shared" si="2"/>
        <v>21-5404(a)(2) - Voluntary Manslaughter; Knowingly killing upon unreasonable but honest belief that use of deadly force was justified</v>
      </c>
      <c r="O3018" s="10" t="str">
        <f t="shared" si="3"/>
        <v>Voluntary Manslaughter</v>
      </c>
    </row>
    <row r="3019">
      <c r="A3019" s="7" t="s">
        <v>5376</v>
      </c>
      <c r="B3019" s="8" t="s">
        <v>5377</v>
      </c>
      <c r="C3019" s="8">
        <v>10.0</v>
      </c>
      <c r="D3019" s="8">
        <v>10.0</v>
      </c>
      <c r="E3019" s="8">
        <v>10.0</v>
      </c>
      <c r="F3019" s="8">
        <v>10.0</v>
      </c>
      <c r="G3019" s="8" t="s">
        <v>21</v>
      </c>
      <c r="H3019" s="9"/>
      <c r="I3019" s="9"/>
      <c r="N3019" s="10" t="str">
        <f t="shared" si="2"/>
        <v>21-5831(a)(3) - Warehouse Receipt Fraud; Make, draw, issue or deliver; a duplicate or additional negotiable receipt for goods with knowledge that a former negotiable receipt for the same goods or any part thereof is outstanding and uncanceled, without plainly placing "duplicate" on the face thereof</v>
      </c>
      <c r="O3019" s="10" t="str">
        <f t="shared" si="3"/>
        <v>Warehouse Receipt Fraud</v>
      </c>
    </row>
    <row r="3020">
      <c r="A3020" s="7" t="s">
        <v>5378</v>
      </c>
      <c r="B3020" s="8" t="s">
        <v>5379</v>
      </c>
      <c r="C3020" s="8">
        <v>10.0</v>
      </c>
      <c r="D3020" s="8">
        <v>10.0</v>
      </c>
      <c r="E3020" s="8">
        <v>10.0</v>
      </c>
      <c r="F3020" s="8">
        <v>10.0</v>
      </c>
      <c r="G3020" s="8" t="s">
        <v>21</v>
      </c>
      <c r="H3020" s="9"/>
      <c r="I3020" s="9"/>
      <c r="N3020" s="10" t="str">
        <f t="shared" si="2"/>
        <v>21-5831(a)(2) - Warehouse Receipt Fraud; Make, draw, issue or deliver; a negotiable receipt for good with knowledge that the receipt contains a false statement</v>
      </c>
      <c r="O3020" s="10" t="str">
        <f t="shared" si="3"/>
        <v>Warehouse Receipt Fraud</v>
      </c>
    </row>
    <row r="3021">
      <c r="A3021" s="7" t="s">
        <v>5380</v>
      </c>
      <c r="B3021" s="8" t="s">
        <v>5381</v>
      </c>
      <c r="C3021" s="8">
        <v>10.0</v>
      </c>
      <c r="D3021" s="8">
        <v>10.0</v>
      </c>
      <c r="E3021" s="8">
        <v>10.0</v>
      </c>
      <c r="F3021" s="8">
        <v>10.0</v>
      </c>
      <c r="G3021" s="8" t="s">
        <v>21</v>
      </c>
      <c r="H3021" s="9"/>
      <c r="I3021" s="9"/>
      <c r="N3021" s="10" t="str">
        <f t="shared" si="2"/>
        <v>21-5831(a)(1) - Warehouse Receipt Fraud; Make, draw, issue or deliver; a negotiable receipt for goods with knowledge that the goods have not actually been received</v>
      </c>
      <c r="O3021" s="10" t="str">
        <f t="shared" si="3"/>
        <v>Warehouse Receipt Fraud</v>
      </c>
    </row>
    <row r="3022">
      <c r="A3022" s="7" t="s">
        <v>5382</v>
      </c>
      <c r="B3022" s="8" t="s">
        <v>5383</v>
      </c>
      <c r="C3022" s="8" t="s">
        <v>18</v>
      </c>
      <c r="D3022" s="8" t="s">
        <v>18</v>
      </c>
      <c r="E3022" s="8" t="s">
        <v>19</v>
      </c>
      <c r="F3022" s="8" t="s">
        <v>20</v>
      </c>
      <c r="G3022" s="8" t="s">
        <v>21</v>
      </c>
      <c r="H3022" s="9"/>
      <c r="I3022" s="9"/>
      <c r="J3022" s="10">
        <f t="shared" ref="J3022:M3022" si="1830">ifs(OR($H3022="R",$I3022="N"),"N/A",OR(C3022="A",C3022="B",C3022="C",C3022="U"),3,TRUE,"FLAG")</f>
        <v>3</v>
      </c>
      <c r="K3022" s="10">
        <f t="shared" si="1830"/>
        <v>3</v>
      </c>
      <c r="L3022" s="10">
        <f t="shared" si="1830"/>
        <v>3</v>
      </c>
      <c r="M3022" s="10" t="str">
        <f t="shared" si="1830"/>
        <v>FLAG</v>
      </c>
      <c r="N3022" s="10" t="str">
        <f t="shared" si="2"/>
        <v>82-170 - Warehouses; Warehouse Receipts; warehousemen; penalty for violation of act</v>
      </c>
      <c r="O3022" s="10" t="str">
        <f t="shared" si="3"/>
        <v>Warehouses</v>
      </c>
    </row>
    <row r="3023">
      <c r="A3023" s="7" t="s">
        <v>5384</v>
      </c>
      <c r="B3023" s="8" t="s">
        <v>5385</v>
      </c>
      <c r="C3023" s="8" t="s">
        <v>19</v>
      </c>
      <c r="D3023" s="8" t="s">
        <v>19</v>
      </c>
      <c r="E3023" s="8" t="s">
        <v>19</v>
      </c>
      <c r="F3023" s="8" t="s">
        <v>20</v>
      </c>
      <c r="G3023" s="8" t="s">
        <v>21</v>
      </c>
      <c r="H3023" s="9"/>
      <c r="I3023" s="9"/>
      <c r="J3023" s="10">
        <f t="shared" ref="J3023:M3023" si="1831">ifs(OR($H3023="R",$I3023="N"),"N/A",OR(C3023="A",C3023="B",C3023="C",C3023="U"),3,TRUE,"FLAG")</f>
        <v>3</v>
      </c>
      <c r="K3023" s="10">
        <f t="shared" si="1831"/>
        <v>3</v>
      </c>
      <c r="L3023" s="10">
        <f t="shared" si="1831"/>
        <v>3</v>
      </c>
      <c r="M3023" s="10" t="str">
        <f t="shared" si="1831"/>
        <v>FLAG</v>
      </c>
      <c r="N3023" s="10" t="str">
        <f t="shared" si="2"/>
        <v>12-3602(c) - Water Conditioning Contractors Act; Engage in business in Kansas without insurance and bond as required</v>
      </c>
      <c r="O3023" s="10" t="str">
        <f t="shared" si="3"/>
        <v>Water Conditioning Contractors Act</v>
      </c>
    </row>
    <row r="3024">
      <c r="A3024" s="7" t="s">
        <v>5386</v>
      </c>
      <c r="B3024" s="8" t="s">
        <v>5387</v>
      </c>
      <c r="C3024" s="8" t="s">
        <v>19</v>
      </c>
      <c r="D3024" s="8" t="s">
        <v>19</v>
      </c>
      <c r="E3024" s="8" t="s">
        <v>19</v>
      </c>
      <c r="F3024" s="8" t="s">
        <v>20</v>
      </c>
      <c r="G3024" s="8" t="s">
        <v>21</v>
      </c>
      <c r="H3024" s="9"/>
      <c r="I3024" s="9"/>
      <c r="J3024" s="10">
        <f t="shared" ref="J3024:M3024" si="1832">ifs(OR($H3024="R",$I3024="N"),"N/A",OR(C3024="A",C3024="B",C3024="C",C3024="U"),3,TRUE,"FLAG")</f>
        <v>3</v>
      </c>
      <c r="K3024" s="10">
        <f t="shared" si="1832"/>
        <v>3</v>
      </c>
      <c r="L3024" s="10">
        <f t="shared" si="1832"/>
        <v>3</v>
      </c>
      <c r="M3024" s="10" t="str">
        <f t="shared" si="1832"/>
        <v>FLAG</v>
      </c>
      <c r="N3024" s="10" t="str">
        <f t="shared" si="2"/>
        <v>12-3602(a) - Water Conditioning Contractors Act; Engage in business without registration</v>
      </c>
      <c r="O3024" s="10" t="str">
        <f t="shared" si="3"/>
        <v>Water Conditioning Contractors Act</v>
      </c>
    </row>
    <row r="3025">
      <c r="A3025" s="7" t="s">
        <v>5388</v>
      </c>
      <c r="B3025" s="8" t="s">
        <v>5389</v>
      </c>
      <c r="C3025" s="8" t="s">
        <v>27</v>
      </c>
      <c r="D3025" s="8" t="s">
        <v>28</v>
      </c>
      <c r="E3025" s="8" t="s">
        <v>19</v>
      </c>
      <c r="F3025" s="8" t="s">
        <v>20</v>
      </c>
      <c r="G3025" s="8" t="s">
        <v>21</v>
      </c>
      <c r="H3025" s="9"/>
      <c r="I3025" s="9"/>
      <c r="J3025" s="10">
        <f t="shared" ref="J3025:M3025" si="1833">ifs(OR($H3025="R",$I3025="N"),"N/A",OR(C3025="A",C3025="B",C3025="C",C3025="U"),3,TRUE,"FLAG")</f>
        <v>3</v>
      </c>
      <c r="K3025" s="10">
        <f t="shared" si="1833"/>
        <v>3</v>
      </c>
      <c r="L3025" s="10">
        <f t="shared" si="1833"/>
        <v>3</v>
      </c>
      <c r="M3025" s="10" t="str">
        <f t="shared" si="1833"/>
        <v>FLAG</v>
      </c>
      <c r="N3025" s="10" t="str">
        <f t="shared" si="2"/>
        <v>19-3519(b)(1) - Water Supply and Distribution Districts; Fraudulent claims less than $1000</v>
      </c>
      <c r="O3025" s="10" t="str">
        <f t="shared" si="3"/>
        <v>Water Supply and Distribution Districts</v>
      </c>
    </row>
    <row r="3026">
      <c r="A3026" s="7" t="s">
        <v>5390</v>
      </c>
      <c r="B3026" s="8" t="s">
        <v>5391</v>
      </c>
      <c r="C3026" s="8" t="s">
        <v>19</v>
      </c>
      <c r="D3026" s="8" t="s">
        <v>19</v>
      </c>
      <c r="E3026" s="8" t="s">
        <v>19</v>
      </c>
      <c r="F3026" s="8" t="s">
        <v>20</v>
      </c>
      <c r="G3026" s="8" t="s">
        <v>21</v>
      </c>
      <c r="H3026" s="9"/>
      <c r="I3026" s="9"/>
      <c r="J3026" s="10">
        <f t="shared" ref="J3026:M3026" si="1834">ifs(OR($H3026="R",$I3026="N"),"N/A",OR(C3026="A",C3026="B",C3026="C",C3026="U"),3,TRUE,"FLAG")</f>
        <v>3</v>
      </c>
      <c r="K3026" s="10">
        <f t="shared" si="1834"/>
        <v>3</v>
      </c>
      <c r="L3026" s="10">
        <f t="shared" si="1834"/>
        <v>3</v>
      </c>
      <c r="M3026" s="10" t="str">
        <f t="shared" si="1834"/>
        <v>FLAG</v>
      </c>
      <c r="N3026" s="10" t="str">
        <f t="shared" si="2"/>
        <v>82a-732(b) - Waters &amp; Watercourses; Appropriation of Water for Beneficial Use; file water use report or other documents required knowing it to contain any false information as to a material matter</v>
      </c>
      <c r="O3026" s="10" t="str">
        <f t="shared" si="3"/>
        <v>Waters &amp; Watercourses</v>
      </c>
    </row>
    <row r="3027">
      <c r="A3027" s="7" t="s">
        <v>5392</v>
      </c>
      <c r="B3027" s="8" t="s">
        <v>5393</v>
      </c>
      <c r="C3027" s="8" t="s">
        <v>19</v>
      </c>
      <c r="D3027" s="8" t="s">
        <v>19</v>
      </c>
      <c r="E3027" s="8" t="s">
        <v>19</v>
      </c>
      <c r="F3027" s="8" t="s">
        <v>20</v>
      </c>
      <c r="G3027" s="8" t="s">
        <v>21</v>
      </c>
      <c r="H3027" s="9"/>
      <c r="I3027" s="9"/>
      <c r="J3027" s="10">
        <f t="shared" ref="J3027:M3027" si="1835">ifs(OR($H3027="R",$I3027="N"),"N/A",OR(C3027="A",C3027="B",C3027="C",C3027="U"),3,TRUE,"FLAG")</f>
        <v>3</v>
      </c>
      <c r="K3027" s="10">
        <f t="shared" si="1835"/>
        <v>3</v>
      </c>
      <c r="L3027" s="10">
        <f t="shared" si="1835"/>
        <v>3</v>
      </c>
      <c r="M3027" s="10" t="str">
        <f t="shared" si="1835"/>
        <v>FLAG</v>
      </c>
      <c r="N3027" s="10" t="str">
        <f t="shared" si="2"/>
        <v>82a-728(a) - Waters &amp; Watercourses; Appropriation of Water for Beneficial Use; unauthorized appropriation of water</v>
      </c>
      <c r="O3027" s="10" t="str">
        <f t="shared" si="3"/>
        <v>Waters &amp; Watercourses</v>
      </c>
    </row>
    <row r="3028">
      <c r="A3028" s="7" t="s">
        <v>5394</v>
      </c>
      <c r="B3028" s="8" t="s">
        <v>5395</v>
      </c>
      <c r="C3028" s="8" t="s">
        <v>28</v>
      </c>
      <c r="D3028" s="8" t="s">
        <v>19</v>
      </c>
      <c r="E3028" s="8" t="s">
        <v>19</v>
      </c>
      <c r="F3028" s="8" t="s">
        <v>20</v>
      </c>
      <c r="G3028" s="8" t="s">
        <v>21</v>
      </c>
      <c r="H3028" s="9"/>
      <c r="I3028" s="9"/>
      <c r="J3028" s="10">
        <f t="shared" ref="J3028:M3028" si="1836">ifs(OR($H3028="R",$I3028="N"),"N/A",OR(C3028="A",C3028="B",C3028="C",C3028="U"),3,TRUE,"FLAG")</f>
        <v>3</v>
      </c>
      <c r="K3028" s="10">
        <f t="shared" si="1836"/>
        <v>3</v>
      </c>
      <c r="L3028" s="10">
        <f t="shared" si="1836"/>
        <v>3</v>
      </c>
      <c r="M3028" s="10" t="str">
        <f t="shared" si="1836"/>
        <v>FLAG</v>
      </c>
      <c r="N3028" s="10" t="str">
        <f t="shared" si="2"/>
        <v>82a-1423 - Waters &amp; Watercourses; Conduct a weather modification activity without license and permit; knowingly make a false statement in an application for a license or permit; fail to file any report or reports as required; conduct any weather modification activity after a license is revoked or a permit is denied, revoked, modified or temporarily suspended; violation of any other provisions of this act</v>
      </c>
      <c r="O3028" s="10" t="str">
        <f t="shared" si="3"/>
        <v>Waters &amp; Watercourses</v>
      </c>
    </row>
    <row r="3029">
      <c r="A3029" s="7" t="s">
        <v>5396</v>
      </c>
      <c r="B3029" s="8" t="s">
        <v>5397</v>
      </c>
      <c r="C3029" s="8" t="s">
        <v>28</v>
      </c>
      <c r="D3029" s="8" t="s">
        <v>19</v>
      </c>
      <c r="E3029" s="8" t="s">
        <v>19</v>
      </c>
      <c r="F3029" s="8" t="s">
        <v>20</v>
      </c>
      <c r="G3029" s="8" t="s">
        <v>21</v>
      </c>
      <c r="H3029" s="9"/>
      <c r="I3029" s="9"/>
      <c r="J3029" s="10">
        <f t="shared" ref="J3029:M3029" si="1837">ifs(OR($H3029="R",$I3029="N"),"N/A",OR(C3029="A",C3029="B",C3029="C",C3029="U"),3,TRUE,"FLAG")</f>
        <v>3</v>
      </c>
      <c r="K3029" s="10">
        <f t="shared" si="1837"/>
        <v>3</v>
      </c>
      <c r="L3029" s="10">
        <f t="shared" si="1837"/>
        <v>3</v>
      </c>
      <c r="M3029" s="10" t="str">
        <f t="shared" si="1837"/>
        <v>FLAG</v>
      </c>
      <c r="N3029" s="10" t="str">
        <f t="shared" si="2"/>
        <v>82a-1214 - Waters &amp; Watercourses; Groundwater Exploration &amp; Protection; penalty for violations of act</v>
      </c>
      <c r="O3029" s="10" t="str">
        <f t="shared" si="3"/>
        <v>Waters &amp; Watercourses</v>
      </c>
    </row>
    <row r="3030">
      <c r="A3030" s="7" t="s">
        <v>5398</v>
      </c>
      <c r="B3030" s="8" t="s">
        <v>5399</v>
      </c>
      <c r="C3030" s="8" t="s">
        <v>19</v>
      </c>
      <c r="D3030" s="8" t="s">
        <v>19</v>
      </c>
      <c r="E3030" s="8" t="s">
        <v>19</v>
      </c>
      <c r="F3030" s="8" t="s">
        <v>20</v>
      </c>
      <c r="G3030" s="8" t="s">
        <v>21</v>
      </c>
      <c r="H3030" s="9"/>
      <c r="I3030" s="9"/>
      <c r="J3030" s="10">
        <f t="shared" ref="J3030:M3030" si="1838">ifs(OR($H3030="R",$I3030="N"),"N/A",OR(C3030="A",C3030="B",C3030="C",C3030="U"),3,TRUE,"FLAG")</f>
        <v>3</v>
      </c>
      <c r="K3030" s="10">
        <f t="shared" si="1838"/>
        <v>3</v>
      </c>
      <c r="L3030" s="10">
        <f t="shared" si="1838"/>
        <v>3</v>
      </c>
      <c r="M3030" s="10" t="str">
        <f t="shared" si="1838"/>
        <v>FLAG</v>
      </c>
      <c r="N3030" s="10" t="str">
        <f t="shared" si="2"/>
        <v>82a-305a - Waters &amp; Watercourses; Obstructions in Streams; penalty for violation of act</v>
      </c>
      <c r="O3030" s="10" t="str">
        <f t="shared" si="3"/>
        <v>Waters &amp; Watercourses</v>
      </c>
    </row>
    <row r="3031">
      <c r="A3031" s="7" t="s">
        <v>5400</v>
      </c>
      <c r="B3031" s="8" t="s">
        <v>5401</v>
      </c>
      <c r="C3031" s="8" t="s">
        <v>18</v>
      </c>
      <c r="D3031" s="8" t="s">
        <v>18</v>
      </c>
      <c r="E3031" s="8" t="s">
        <v>19</v>
      </c>
      <c r="F3031" s="8" t="s">
        <v>20</v>
      </c>
      <c r="G3031" s="8" t="s">
        <v>21</v>
      </c>
      <c r="H3031" s="9"/>
      <c r="I3031" s="9"/>
      <c r="J3031" s="10">
        <f t="shared" ref="J3031:M3031" si="1839">ifs(OR($H3031="R",$I3031="N"),"N/A",OR(C3031="A",C3031="B",C3031="C",C3031="U"),3,TRUE,"FLAG")</f>
        <v>3</v>
      </c>
      <c r="K3031" s="10">
        <f t="shared" si="1839"/>
        <v>3</v>
      </c>
      <c r="L3031" s="10">
        <f t="shared" si="1839"/>
        <v>3</v>
      </c>
      <c r="M3031" s="10" t="str">
        <f t="shared" si="1839"/>
        <v>FLAG</v>
      </c>
      <c r="N3031" s="10" t="str">
        <f t="shared" si="2"/>
        <v>2-1327(1) - Weeds; Bringing certain machinery into the state without freeing equipment from weed seed and litter</v>
      </c>
      <c r="O3031" s="10" t="str">
        <f t="shared" si="3"/>
        <v>Weeds</v>
      </c>
    </row>
    <row r="3032">
      <c r="A3032" s="7" t="s">
        <v>5402</v>
      </c>
      <c r="B3032" s="8" t="s">
        <v>5403</v>
      </c>
      <c r="C3032" s="8" t="s">
        <v>18</v>
      </c>
      <c r="D3032" s="8" t="s">
        <v>18</v>
      </c>
      <c r="E3032" s="8" t="s">
        <v>19</v>
      </c>
      <c r="F3032" s="8" t="s">
        <v>20</v>
      </c>
      <c r="G3032" s="8" t="s">
        <v>21</v>
      </c>
      <c r="H3032" s="9"/>
      <c r="I3032" s="9"/>
      <c r="J3032" s="10">
        <f t="shared" ref="J3032:M3032" si="1840">ifs(OR($H3032="R",$I3032="N"),"N/A",OR(C3032="A",C3032="B",C3032="C",C3032="U"),3,TRUE,"FLAG")</f>
        <v>3</v>
      </c>
      <c r="K3032" s="10">
        <f t="shared" si="1840"/>
        <v>3</v>
      </c>
      <c r="L3032" s="10">
        <f t="shared" si="1840"/>
        <v>3</v>
      </c>
      <c r="M3032" s="10" t="str">
        <f t="shared" si="1840"/>
        <v>FLAG</v>
      </c>
      <c r="N3032" s="10" t="str">
        <f t="shared" si="2"/>
        <v>2-1327(2) - Weeds; Moving certain machines from a field/farm infested with any noxious weed without freeing equipment of all weed seed and litter</v>
      </c>
      <c r="O3032" s="10" t="str">
        <f t="shared" si="3"/>
        <v>Weeds</v>
      </c>
    </row>
    <row r="3033">
      <c r="A3033" s="7" t="s">
        <v>5404</v>
      </c>
      <c r="B3033" s="12" t="s">
        <v>5405</v>
      </c>
      <c r="C3033" s="8" t="s">
        <v>18</v>
      </c>
      <c r="D3033" s="8" t="s">
        <v>18</v>
      </c>
      <c r="E3033" s="8" t="s">
        <v>19</v>
      </c>
      <c r="F3033" s="8" t="s">
        <v>20</v>
      </c>
      <c r="G3033" s="8" t="s">
        <v>21</v>
      </c>
      <c r="H3033" s="9"/>
      <c r="I3033" s="9"/>
      <c r="J3033" s="10">
        <f t="shared" ref="J3033:M3033" si="1841">ifs(OR($H3033="R",$I3033="N"),"N/A",OR(C3033="A",C3033="B",C3033="C",C3033="U"),3,TRUE,"FLAG")</f>
        <v>3</v>
      </c>
      <c r="K3033" s="10">
        <f t="shared" si="1841"/>
        <v>3</v>
      </c>
      <c r="L3033" s="10">
        <f t="shared" si="1841"/>
        <v>3</v>
      </c>
      <c r="M3033" s="10" t="str">
        <f t="shared" si="1841"/>
        <v>FLAG</v>
      </c>
      <c r="N3033" s="10" t="str">
        <f t="shared" si="2"/>
        <v>-209616 - Weeds; Unlawful disposal of nursery stock, plants, packing materials, animal fertilizer and soil or sod for landscaping or fertilizer uses containing or infested with noxious weed plant material or seeds</v>
      </c>
      <c r="O3033" s="10" t="str">
        <f t="shared" si="3"/>
        <v>Weeds</v>
      </c>
    </row>
    <row r="3034">
      <c r="A3034" s="7" t="s">
        <v>5406</v>
      </c>
      <c r="B3034" s="12" t="s">
        <v>5407</v>
      </c>
      <c r="C3034" s="8" t="s">
        <v>18</v>
      </c>
      <c r="D3034" s="8" t="s">
        <v>18</v>
      </c>
      <c r="E3034" s="8" t="s">
        <v>19</v>
      </c>
      <c r="F3034" s="8" t="s">
        <v>20</v>
      </c>
      <c r="G3034" s="8" t="s">
        <v>21</v>
      </c>
      <c r="H3034" s="9"/>
      <c r="I3034" s="9"/>
      <c r="J3034" s="10">
        <f t="shared" ref="J3034:M3034" si="1842">ifs(OR($H3034="R",$I3034="N"),"N/A",OR(C3034="A",C3034="B",C3034="C",C3034="U"),3,TRUE,"FLAG")</f>
        <v>3</v>
      </c>
      <c r="K3034" s="10">
        <f t="shared" si="1842"/>
        <v>3</v>
      </c>
      <c r="L3034" s="10">
        <f t="shared" si="1842"/>
        <v>3</v>
      </c>
      <c r="M3034" s="10" t="str">
        <f t="shared" si="1842"/>
        <v>FLAG</v>
      </c>
      <c r="N3034" s="10" t="str">
        <f t="shared" si="2"/>
        <v>-209981 - Weeds; Unlawful disposal of screening or offal material containing noxious weed seeds</v>
      </c>
      <c r="O3034" s="10" t="str">
        <f t="shared" si="3"/>
        <v>Weeds</v>
      </c>
    </row>
    <row r="3035">
      <c r="A3035" s="7" t="s">
        <v>5408</v>
      </c>
      <c r="B3035" s="12" t="s">
        <v>5409</v>
      </c>
      <c r="C3035" s="8" t="s">
        <v>18</v>
      </c>
      <c r="D3035" s="8" t="s">
        <v>18</v>
      </c>
      <c r="E3035" s="8" t="s">
        <v>19</v>
      </c>
      <c r="F3035" s="8" t="s">
        <v>20</v>
      </c>
      <c r="G3035" s="8" t="s">
        <v>21</v>
      </c>
      <c r="H3035" s="9"/>
      <c r="I3035" s="9"/>
      <c r="J3035" s="10">
        <f t="shared" ref="J3035:M3035" si="1843">ifs(OR($H3035="R",$I3035="N"),"N/A",OR(C3035="A",C3035="B",C3035="C",C3035="U"),3,TRUE,"FLAG")</f>
        <v>3</v>
      </c>
      <c r="K3035" s="10">
        <f t="shared" si="1843"/>
        <v>3</v>
      </c>
      <c r="L3035" s="10">
        <f t="shared" si="1843"/>
        <v>3</v>
      </c>
      <c r="M3035" s="10" t="str">
        <f t="shared" si="1843"/>
        <v>FLAG</v>
      </c>
      <c r="N3035" s="10" t="str">
        <f t="shared" si="2"/>
        <v>-208520 - Weeds; Unlawful feeding of unprocessed livestock feed material</v>
      </c>
      <c r="O3035" s="10" t="str">
        <f t="shared" si="3"/>
        <v>Weeds</v>
      </c>
    </row>
    <row r="3036">
      <c r="A3036" s="7" t="s">
        <v>5410</v>
      </c>
      <c r="B3036" s="12" t="s">
        <v>5411</v>
      </c>
      <c r="C3036" s="8" t="s">
        <v>18</v>
      </c>
      <c r="D3036" s="8" t="s">
        <v>18</v>
      </c>
      <c r="E3036" s="8" t="s">
        <v>19</v>
      </c>
      <c r="F3036" s="8" t="s">
        <v>20</v>
      </c>
      <c r="G3036" s="8" t="s">
        <v>21</v>
      </c>
      <c r="H3036" s="9"/>
      <c r="I3036" s="9"/>
      <c r="J3036" s="10">
        <f t="shared" ref="J3036:M3036" si="1844">ifs(OR($H3036="R",$I3036="N"),"N/A",OR(C3036="A",C3036="B",C3036="C",C3036="U"),3,TRUE,"FLAG")</f>
        <v>3</v>
      </c>
      <c r="K3036" s="10">
        <f t="shared" si="1844"/>
        <v>3</v>
      </c>
      <c r="L3036" s="10">
        <f t="shared" si="1844"/>
        <v>3</v>
      </c>
      <c r="M3036" s="10" t="str">
        <f t="shared" si="1844"/>
        <v>FLAG</v>
      </c>
      <c r="N3036" s="10" t="str">
        <f t="shared" si="2"/>
        <v>-208886 - Weeds; Unlawful sale of unprocessed, infested livestock feed material</v>
      </c>
      <c r="O3036" s="10" t="str">
        <f t="shared" si="3"/>
        <v>Weeds</v>
      </c>
    </row>
    <row r="3037">
      <c r="A3037" s="7" t="s">
        <v>5412</v>
      </c>
      <c r="B3037" s="8" t="s">
        <v>5413</v>
      </c>
      <c r="C3037" s="8" t="s">
        <v>27</v>
      </c>
      <c r="D3037" s="8" t="s">
        <v>28</v>
      </c>
      <c r="E3037" s="8" t="s">
        <v>19</v>
      </c>
      <c r="F3037" s="8" t="s">
        <v>20</v>
      </c>
      <c r="G3037" s="8" t="s">
        <v>21</v>
      </c>
      <c r="H3037" s="9"/>
      <c r="I3037" s="9"/>
      <c r="J3037" s="10">
        <f t="shared" ref="J3037:M3037" si="1845">ifs(OR($H3037="R",$I3037="N"),"N/A",OR(C3037="A",C3037="B",C3037="C",C3037="U"),3,TRUE,"FLAG")</f>
        <v>3</v>
      </c>
      <c r="K3037" s="10">
        <f t="shared" si="1845"/>
        <v>3</v>
      </c>
      <c r="L3037" s="10">
        <f t="shared" si="1845"/>
        <v>3</v>
      </c>
      <c r="M3037" s="10" t="str">
        <f t="shared" si="1845"/>
        <v>FLAG</v>
      </c>
      <c r="N3037" s="10" t="str">
        <f t="shared" si="2"/>
        <v>83-410 - Weights &amp; Measures; Dispensing Devices; violate or fail to comply with any of the provisions of K.S.A. 83-401 through 83-410</v>
      </c>
      <c r="O3037" s="10" t="str">
        <f t="shared" si="3"/>
        <v>Weights &amp; Measures</v>
      </c>
    </row>
    <row r="3038">
      <c r="A3038" s="7" t="s">
        <v>5414</v>
      </c>
      <c r="B3038" s="8" t="s">
        <v>5415</v>
      </c>
      <c r="C3038" s="8" t="s">
        <v>27</v>
      </c>
      <c r="D3038" s="8" t="s">
        <v>28</v>
      </c>
      <c r="E3038" s="8" t="s">
        <v>19</v>
      </c>
      <c r="F3038" s="8" t="s">
        <v>20</v>
      </c>
      <c r="G3038" s="8" t="s">
        <v>21</v>
      </c>
      <c r="H3038" s="9"/>
      <c r="I3038" s="9"/>
      <c r="J3038" s="10">
        <f t="shared" ref="J3038:M3038" si="1846">ifs(OR($H3038="R",$I3038="N"),"N/A",OR(C3038="A",C3038="B",C3038="C",C3038="U"),3,TRUE,"FLAG")</f>
        <v>3</v>
      </c>
      <c r="K3038" s="10">
        <f t="shared" si="1846"/>
        <v>3</v>
      </c>
      <c r="L3038" s="10">
        <f t="shared" si="1846"/>
        <v>3</v>
      </c>
      <c r="M3038" s="10" t="str">
        <f t="shared" si="1846"/>
        <v>FLAG</v>
      </c>
      <c r="N3038" s="10" t="str">
        <f t="shared" si="2"/>
        <v>83-155 - Weights &amp; Measures; Fail to comply with requirements pertaining to scale ticket or written record relating to weights</v>
      </c>
      <c r="O3038" s="10" t="str">
        <f t="shared" si="3"/>
        <v>Weights &amp; Measures</v>
      </c>
    </row>
    <row r="3039">
      <c r="A3039" s="7" t="s">
        <v>5416</v>
      </c>
      <c r="B3039" s="8" t="s">
        <v>5417</v>
      </c>
      <c r="C3039" s="8" t="s">
        <v>27</v>
      </c>
      <c r="D3039" s="8" t="s">
        <v>28</v>
      </c>
      <c r="E3039" s="8" t="s">
        <v>19</v>
      </c>
      <c r="F3039" s="8" t="s">
        <v>20</v>
      </c>
      <c r="G3039" s="8" t="s">
        <v>21</v>
      </c>
      <c r="H3039" s="9"/>
      <c r="I3039" s="9"/>
      <c r="J3039" s="10">
        <f t="shared" ref="J3039:M3039" si="1847">ifs(OR($H3039="R",$I3039="N"),"N/A",OR(C3039="A",C3039="B",C3039="C",C3039="U"),3,TRUE,"FLAG")</f>
        <v>3</v>
      </c>
      <c r="K3039" s="10">
        <f t="shared" si="1847"/>
        <v>3</v>
      </c>
      <c r="L3039" s="10">
        <f t="shared" si="1847"/>
        <v>3</v>
      </c>
      <c r="M3039" s="10" t="str">
        <f t="shared" si="1847"/>
        <v>FLAG</v>
      </c>
      <c r="N3039" s="10" t="str">
        <f t="shared" si="2"/>
        <v>83-154 - Weights &amp; Measures; Falsely making or altering scale ticket or other written records</v>
      </c>
      <c r="O3039" s="10" t="str">
        <f t="shared" si="3"/>
        <v>Weights &amp; Measures</v>
      </c>
    </row>
    <row r="3040">
      <c r="A3040" s="7" t="s">
        <v>5418</v>
      </c>
      <c r="B3040" s="8" t="s">
        <v>5419</v>
      </c>
      <c r="C3040" s="8" t="s">
        <v>27</v>
      </c>
      <c r="D3040" s="8" t="s">
        <v>28</v>
      </c>
      <c r="E3040" s="8" t="s">
        <v>19</v>
      </c>
      <c r="F3040" s="8" t="s">
        <v>20</v>
      </c>
      <c r="G3040" s="8" t="s">
        <v>21</v>
      </c>
      <c r="H3040" s="9"/>
      <c r="I3040" s="9"/>
      <c r="J3040" s="10">
        <f t="shared" ref="J3040:M3040" si="1848">ifs(OR($H3040="R",$I3040="N"),"N/A",OR(C3040="A",C3040="B",C3040="C",C3040="U"),3,TRUE,"FLAG")</f>
        <v>3</v>
      </c>
      <c r="K3040" s="10">
        <f t="shared" si="1848"/>
        <v>3</v>
      </c>
      <c r="L3040" s="10">
        <f t="shared" si="1848"/>
        <v>3</v>
      </c>
      <c r="M3040" s="10" t="str">
        <f t="shared" si="1848"/>
        <v>FLAG</v>
      </c>
      <c r="N3040" s="10" t="str">
        <f t="shared" si="2"/>
        <v>83-311 - Weights &amp; Measures; Scales; Violate or fail to comply with any of the provisions of K.S.A. 83-301 through 83-311 and K.S.A. 83-321 through 83-325</v>
      </c>
      <c r="O3040" s="10" t="str">
        <f t="shared" si="3"/>
        <v>Weights &amp; Measures</v>
      </c>
    </row>
    <row r="3041">
      <c r="A3041" s="7" t="s">
        <v>5420</v>
      </c>
      <c r="B3041" s="8" t="s">
        <v>5421</v>
      </c>
      <c r="C3041" s="8" t="s">
        <v>27</v>
      </c>
      <c r="D3041" s="8" t="s">
        <v>28</v>
      </c>
      <c r="E3041" s="8" t="s">
        <v>19</v>
      </c>
      <c r="F3041" s="8" t="s">
        <v>20</v>
      </c>
      <c r="G3041" s="8" t="s">
        <v>21</v>
      </c>
      <c r="H3041" s="9"/>
      <c r="I3041" s="9"/>
      <c r="J3041" s="10">
        <f t="shared" ref="J3041:M3041" si="1849">ifs(OR($H3041="R",$I3041="N"),"N/A",OR(C3041="A",C3041="B",C3041="C",C3041="U"),3,TRUE,"FLAG")</f>
        <v>3</v>
      </c>
      <c r="K3041" s="10">
        <f t="shared" si="1849"/>
        <v>3</v>
      </c>
      <c r="L3041" s="10">
        <f t="shared" si="1849"/>
        <v>3</v>
      </c>
      <c r="M3041" s="10" t="str">
        <f t="shared" si="1849"/>
        <v>FLAG</v>
      </c>
      <c r="N3041" s="10" t="str">
        <f t="shared" si="2"/>
        <v>83-208 - Weights &amp; Measures; Standards &amp; Enforcement; interfere with an inspection; fail to produce, upon demand, all weights, measures, balances or measuring devices for use in manufacture or trade</v>
      </c>
      <c r="O3041" s="10" t="str">
        <f t="shared" si="3"/>
        <v>Weights &amp; Measures</v>
      </c>
    </row>
    <row r="3042">
      <c r="A3042" s="7" t="s">
        <v>5422</v>
      </c>
      <c r="B3042" s="8" t="s">
        <v>5423</v>
      </c>
      <c r="C3042" s="8" t="s">
        <v>27</v>
      </c>
      <c r="D3042" s="8" t="s">
        <v>28</v>
      </c>
      <c r="E3042" s="8" t="s">
        <v>19</v>
      </c>
      <c r="F3042" s="8" t="s">
        <v>20</v>
      </c>
      <c r="G3042" s="8" t="s">
        <v>21</v>
      </c>
      <c r="H3042" s="9"/>
      <c r="I3042" s="9"/>
      <c r="J3042" s="10">
        <f t="shared" ref="J3042:M3042" si="1850">ifs(OR($H3042="R",$I3042="N"),"N/A",OR(C3042="A",C3042="B",C3042="C",C3042="U"),3,TRUE,"FLAG")</f>
        <v>3</v>
      </c>
      <c r="K3042" s="10">
        <f t="shared" si="1850"/>
        <v>3</v>
      </c>
      <c r="L3042" s="10">
        <f t="shared" si="1850"/>
        <v>3</v>
      </c>
      <c r="M3042" s="10" t="str">
        <f t="shared" si="1850"/>
        <v>FLAG</v>
      </c>
      <c r="N3042" s="10" t="str">
        <f t="shared" si="2"/>
        <v>83-220 - Weights &amp; Measures; Standards &amp; Enforcement; violation of any of the provisions of article 2 of chapter 83 of the Kansas Statutes Annotated</v>
      </c>
      <c r="O3042" s="10" t="str">
        <f t="shared" si="3"/>
        <v>Weights &amp; Measures</v>
      </c>
    </row>
    <row r="3043">
      <c r="A3043" s="7" t="s">
        <v>5424</v>
      </c>
      <c r="B3043" s="8" t="s">
        <v>5425</v>
      </c>
      <c r="C3043" s="8" t="s">
        <v>27</v>
      </c>
      <c r="D3043" s="8" t="s">
        <v>28</v>
      </c>
      <c r="E3043" s="8" t="s">
        <v>19</v>
      </c>
      <c r="F3043" s="8" t="s">
        <v>20</v>
      </c>
      <c r="G3043" s="8" t="s">
        <v>21</v>
      </c>
      <c r="H3043" s="9"/>
      <c r="I3043" s="9"/>
      <c r="J3043" s="10">
        <f t="shared" ref="J3043:M3043" si="1851">ifs(OR($H3043="R",$I3043="N"),"N/A",OR(C3043="A",C3043="B",C3043="C",C3043="U"),3,TRUE,"FLAG")</f>
        <v>3</v>
      </c>
      <c r="K3043" s="10">
        <f t="shared" si="1851"/>
        <v>3</v>
      </c>
      <c r="L3043" s="10">
        <f t="shared" si="1851"/>
        <v>3</v>
      </c>
      <c r="M3043" s="10" t="str">
        <f t="shared" si="1851"/>
        <v>FLAG</v>
      </c>
      <c r="N3043" s="10" t="str">
        <f t="shared" si="2"/>
        <v>83-149 - Weights &amp; Measures; Violation of any of the provisions of article 1 of chapter 83 of the Kansas Statutes Annotated</v>
      </c>
      <c r="O3043" s="10" t="str">
        <f t="shared" si="3"/>
        <v>Weights &amp; Measures</v>
      </c>
    </row>
    <row r="3044">
      <c r="A3044" s="7" t="s">
        <v>5426</v>
      </c>
      <c r="B3044" s="8" t="s">
        <v>5427</v>
      </c>
      <c r="C3044" s="8" t="s">
        <v>19</v>
      </c>
      <c r="D3044" s="8" t="s">
        <v>19</v>
      </c>
      <c r="E3044" s="8" t="s">
        <v>19</v>
      </c>
      <c r="F3044" s="8" t="s">
        <v>20</v>
      </c>
      <c r="G3044" s="8" t="s">
        <v>21</v>
      </c>
      <c r="H3044" s="9"/>
      <c r="I3044" s="9"/>
      <c r="J3044" s="10">
        <f t="shared" ref="J3044:M3044" si="1852">ifs(OR($H3044="R",$I3044="N"),"N/A",OR(C3044="A",C3044="B",C3044="C",C3044="U"),3,TRUE,"FLAG")</f>
        <v>3</v>
      </c>
      <c r="K3044" s="10">
        <f t="shared" si="1852"/>
        <v>3</v>
      </c>
      <c r="L3044" s="10">
        <f t="shared" si="1852"/>
        <v>3</v>
      </c>
      <c r="M3044" s="10" t="str">
        <f t="shared" si="1852"/>
        <v>FLAG</v>
      </c>
      <c r="N3044" s="10" t="str">
        <f t="shared" si="2"/>
        <v>32-1034(a) - Wildlife Parks &amp; Tourism; 2nd conviction for obstruction or impeding of lawful activities</v>
      </c>
      <c r="O3044" s="10" t="str">
        <f t="shared" si="3"/>
        <v>Wildlife Parks &amp; Tourism</v>
      </c>
    </row>
    <row r="3045">
      <c r="A3045" s="7" t="s">
        <v>5428</v>
      </c>
      <c r="B3045" s="8" t="s">
        <v>5429</v>
      </c>
      <c r="C3045" s="8" t="s">
        <v>19</v>
      </c>
      <c r="D3045" s="8" t="s">
        <v>19</v>
      </c>
      <c r="E3045" s="8" t="s">
        <v>19</v>
      </c>
      <c r="F3045" s="8" t="s">
        <v>20</v>
      </c>
      <c r="G3045" s="8" t="s">
        <v>21</v>
      </c>
      <c r="H3045" s="9"/>
      <c r="I3045" s="9"/>
      <c r="J3045" s="10">
        <f t="shared" ref="J3045:M3045" si="1853">ifs(OR($H3045="R",$I3045="N"),"N/A",OR(C3045="A",C3045="B",C3045="C",C3045="U"),3,TRUE,"FLAG")</f>
        <v>3</v>
      </c>
      <c r="K3045" s="10">
        <f t="shared" si="1853"/>
        <v>3</v>
      </c>
      <c r="L3045" s="10">
        <f t="shared" si="1853"/>
        <v>3</v>
      </c>
      <c r="M3045" s="10" t="str">
        <f t="shared" si="1853"/>
        <v>FLAG</v>
      </c>
      <c r="N3045" s="10" t="str">
        <f t="shared" si="2"/>
        <v>32-1004(a)(5) - Wildlife Parks &amp; Tourism; Cause to be shipped within, from or into this state any illegally taken or possessed wildlife</v>
      </c>
      <c r="O3045" s="10" t="str">
        <f t="shared" si="3"/>
        <v>Wildlife Parks &amp; Tourism</v>
      </c>
    </row>
    <row r="3046">
      <c r="A3046" s="7" t="s">
        <v>5430</v>
      </c>
      <c r="B3046" s="8" t="s">
        <v>5431</v>
      </c>
      <c r="C3046" s="8" t="s">
        <v>27</v>
      </c>
      <c r="D3046" s="8" t="s">
        <v>28</v>
      </c>
      <c r="E3046" s="8" t="s">
        <v>19</v>
      </c>
      <c r="F3046" s="8" t="s">
        <v>20</v>
      </c>
      <c r="G3046" s="8" t="s">
        <v>21</v>
      </c>
      <c r="H3046" s="9"/>
      <c r="I3046" s="9"/>
      <c r="J3046" s="10">
        <f t="shared" ref="J3046:M3046" si="1854">ifs(OR($H3046="R",$I3046="N"),"N/A",OR(C3046="A",C3046="B",C3046="C",C3046="U"),3,TRUE,"FLAG")</f>
        <v>3</v>
      </c>
      <c r="K3046" s="10">
        <f t="shared" si="1854"/>
        <v>3</v>
      </c>
      <c r="L3046" s="10">
        <f t="shared" si="1854"/>
        <v>3</v>
      </c>
      <c r="M3046" s="10" t="str">
        <f t="shared" si="1854"/>
        <v>FLAG</v>
      </c>
      <c r="N3046" s="10" t="str">
        <f t="shared" si="2"/>
        <v>32-1005(d) - Wildlife Parks &amp; Tourism; Commercialization of wildlife; value less than $1,000</v>
      </c>
      <c r="O3046" s="10" t="str">
        <f t="shared" si="3"/>
        <v>Wildlife Parks &amp; Tourism</v>
      </c>
    </row>
    <row r="3047">
      <c r="A3047" s="7" t="s">
        <v>5432</v>
      </c>
      <c r="B3047" s="8" t="s">
        <v>5433</v>
      </c>
      <c r="C3047" s="8" t="s">
        <v>19</v>
      </c>
      <c r="D3047" s="8" t="s">
        <v>19</v>
      </c>
      <c r="E3047" s="8" t="s">
        <v>19</v>
      </c>
      <c r="F3047" s="8" t="s">
        <v>20</v>
      </c>
      <c r="G3047" s="8" t="s">
        <v>21</v>
      </c>
      <c r="H3047" s="9"/>
      <c r="I3047" s="9"/>
      <c r="J3047" s="10">
        <f t="shared" ref="J3047:M3047" si="1855">ifs(OR($H3047="R",$I3047="N"),"N/A",OR(C3047="A",C3047="B",C3047="C",C3047="U"),3,TRUE,"FLAG")</f>
        <v>3</v>
      </c>
      <c r="K3047" s="10">
        <f t="shared" si="1855"/>
        <v>3</v>
      </c>
      <c r="L3047" s="10">
        <f t="shared" si="1855"/>
        <v>3</v>
      </c>
      <c r="M3047" s="10" t="str">
        <f t="shared" si="1855"/>
        <v>FLAG</v>
      </c>
      <c r="N3047" s="10" t="str">
        <f t="shared" si="2"/>
        <v>32-1015(a)(1) - Wildlife Parks &amp; Tourism; Destroy any muskrat house, beaver dam, mink run or any hole, den or runway of any furbearing animal, or cut down or destroy any tree that is the home, habitat or refuge of any furbearing animal</v>
      </c>
      <c r="O3047" s="10" t="str">
        <f t="shared" si="3"/>
        <v>Wildlife Parks &amp; Tourism</v>
      </c>
    </row>
    <row r="3048">
      <c r="A3048" s="7" t="s">
        <v>5434</v>
      </c>
      <c r="B3048" s="8" t="s">
        <v>5435</v>
      </c>
      <c r="C3048" s="8" t="s">
        <v>19</v>
      </c>
      <c r="D3048" s="8" t="s">
        <v>19</v>
      </c>
      <c r="E3048" s="8" t="s">
        <v>19</v>
      </c>
      <c r="F3048" s="8" t="s">
        <v>20</v>
      </c>
      <c r="G3048" s="8" t="s">
        <v>21</v>
      </c>
      <c r="H3048" s="9"/>
      <c r="I3048" s="9"/>
      <c r="J3048" s="10">
        <f t="shared" ref="J3048:M3048" si="1856">ifs(OR($H3048="R",$I3048="N"),"N/A",OR(C3048="A",C3048="B",C3048="C",C3048="U"),3,TRUE,"FLAG")</f>
        <v>3</v>
      </c>
      <c r="K3048" s="10">
        <f t="shared" si="1856"/>
        <v>3</v>
      </c>
      <c r="L3048" s="10">
        <f t="shared" si="1856"/>
        <v>3</v>
      </c>
      <c r="M3048" s="10" t="str">
        <f t="shared" si="1856"/>
        <v>FLAG</v>
      </c>
      <c r="N3048" s="10" t="str">
        <f t="shared" si="2"/>
        <v>32-1015(a)(3) - Wildlife Parks &amp; Tourism; Do any act or engage in any activity within any state park, state lake, recreational ground, wildlife area or sanctuary, natural area or other area under the control of the secretary which is in violation of or contrary to law or rules and regulations of the secretary</v>
      </c>
      <c r="O3048" s="10" t="str">
        <f t="shared" si="3"/>
        <v>Wildlife Parks &amp; Tourism</v>
      </c>
    </row>
    <row r="3049">
      <c r="A3049" s="7" t="s">
        <v>5436</v>
      </c>
      <c r="B3049" s="8" t="s">
        <v>5437</v>
      </c>
      <c r="C3049" s="8" t="s">
        <v>19</v>
      </c>
      <c r="D3049" s="8" t="s">
        <v>19</v>
      </c>
      <c r="E3049" s="8" t="s">
        <v>19</v>
      </c>
      <c r="F3049" s="8" t="s">
        <v>20</v>
      </c>
      <c r="G3049" s="8" t="s">
        <v>21</v>
      </c>
      <c r="H3049" s="9"/>
      <c r="I3049" s="9"/>
      <c r="J3049" s="10">
        <f t="shared" ref="J3049:M3049" si="1857">ifs(OR($H3049="R",$I3049="N"),"N/A",OR(C3049="A",C3049="B",C3049="C",C3049="U"),3,TRUE,"FLAG")</f>
        <v>3</v>
      </c>
      <c r="K3049" s="10">
        <f t="shared" si="1857"/>
        <v>3</v>
      </c>
      <c r="L3049" s="10">
        <f t="shared" si="1857"/>
        <v>3</v>
      </c>
      <c r="M3049" s="10" t="str">
        <f t="shared" si="1857"/>
        <v>FLAG</v>
      </c>
      <c r="N3049" s="10" t="str">
        <f t="shared" si="2"/>
        <v>32-1001(a)(4)(A) - Wildlife Parks &amp; Tourism; Fail to carry card or other evidence required pursuant to K.S.A. 32-980 while participating or engaging in fishing or hunting</v>
      </c>
      <c r="O3049" s="10" t="str">
        <f t="shared" si="3"/>
        <v>Wildlife Parks &amp; Tourism</v>
      </c>
    </row>
    <row r="3050">
      <c r="A3050" s="7" t="s">
        <v>5438</v>
      </c>
      <c r="B3050" s="8" t="s">
        <v>5439</v>
      </c>
      <c r="C3050" s="8" t="s">
        <v>19</v>
      </c>
      <c r="D3050" s="8" t="s">
        <v>19</v>
      </c>
      <c r="E3050" s="8" t="s">
        <v>19</v>
      </c>
      <c r="F3050" s="8" t="s">
        <v>20</v>
      </c>
      <c r="G3050" s="8" t="s">
        <v>21</v>
      </c>
      <c r="H3050" s="9"/>
      <c r="I3050" s="9"/>
      <c r="J3050" s="10">
        <f t="shared" ref="J3050:M3050" si="1858">ifs(OR($H3050="R",$I3050="N"),"N/A",OR(C3050="A",C3050="B",C3050="C",C3050="U"),3,TRUE,"FLAG")</f>
        <v>3</v>
      </c>
      <c r="K3050" s="10">
        <f t="shared" si="1858"/>
        <v>3</v>
      </c>
      <c r="L3050" s="10">
        <f t="shared" si="1858"/>
        <v>3</v>
      </c>
      <c r="M3050" s="10" t="str">
        <f t="shared" si="1858"/>
        <v>FLAG</v>
      </c>
      <c r="N3050" s="10" t="str">
        <f t="shared" si="2"/>
        <v>32-1001(a)(2) - Wildlife Parks &amp; Tourism; Failure to carry license, stamp or permit on person</v>
      </c>
      <c r="O3050" s="10" t="str">
        <f t="shared" si="3"/>
        <v>Wildlife Parks &amp; Tourism</v>
      </c>
    </row>
    <row r="3051">
      <c r="A3051" s="7" t="s">
        <v>5440</v>
      </c>
      <c r="B3051" s="8" t="s">
        <v>5441</v>
      </c>
      <c r="C3051" s="8" t="s">
        <v>19</v>
      </c>
      <c r="D3051" s="8" t="s">
        <v>19</v>
      </c>
      <c r="E3051" s="8" t="s">
        <v>19</v>
      </c>
      <c r="F3051" s="8" t="s">
        <v>20</v>
      </c>
      <c r="G3051" s="8" t="s">
        <v>21</v>
      </c>
      <c r="H3051" s="9"/>
      <c r="I3051" s="9"/>
      <c r="J3051" s="10">
        <f t="shared" ref="J3051:M3051" si="1859">ifs(OR($H3051="R",$I3051="N"),"N/A",OR(C3051="A",C3051="B",C3051="C",C3051="U"),3,TRUE,"FLAG")</f>
        <v>3</v>
      </c>
      <c r="K3051" s="10">
        <f t="shared" si="1859"/>
        <v>3</v>
      </c>
      <c r="L3051" s="10">
        <f t="shared" si="1859"/>
        <v>3</v>
      </c>
      <c r="M3051" s="10" t="str">
        <f t="shared" si="1859"/>
        <v>FLAG</v>
      </c>
      <c r="N3051" s="10" t="str">
        <f t="shared" si="2"/>
        <v>32-1049a(a) - Wildlife Parks &amp; Tourism; Failure to Comply with a Citation</v>
      </c>
      <c r="O3051" s="10" t="str">
        <f t="shared" si="3"/>
        <v>Wildlife Parks &amp; Tourism</v>
      </c>
    </row>
    <row r="3052">
      <c r="A3052" s="7" t="s">
        <v>5442</v>
      </c>
      <c r="B3052" s="8" t="s">
        <v>5443</v>
      </c>
      <c r="C3052" s="8" t="s">
        <v>19</v>
      </c>
      <c r="D3052" s="8" t="s">
        <v>19</v>
      </c>
      <c r="E3052" s="8" t="s">
        <v>19</v>
      </c>
      <c r="F3052" s="8" t="s">
        <v>20</v>
      </c>
      <c r="G3052" s="8" t="s">
        <v>21</v>
      </c>
      <c r="H3052" s="9"/>
      <c r="I3052" s="9"/>
      <c r="J3052" s="10">
        <f t="shared" ref="J3052:M3052" si="1860">ifs(OR($H3052="R",$I3052="N"),"N/A",OR(C3052="A",C3052="B",C3052="C",C3052="U"),3,TRUE,"FLAG")</f>
        <v>3</v>
      </c>
      <c r="K3052" s="10">
        <f t="shared" si="1860"/>
        <v>3</v>
      </c>
      <c r="L3052" s="10">
        <f t="shared" si="1860"/>
        <v>3</v>
      </c>
      <c r="M3052" s="10" t="str">
        <f t="shared" si="1860"/>
        <v>FLAG</v>
      </c>
      <c r="N3052" s="10" t="str">
        <f t="shared" si="2"/>
        <v>32-932(c) - Wildlife Parks &amp; Tourism; Falsely obtaining or using a physical disability, crossbow permit</v>
      </c>
      <c r="O3052" s="10" t="str">
        <f t="shared" si="3"/>
        <v>Wildlife Parks &amp; Tourism</v>
      </c>
    </row>
    <row r="3053">
      <c r="A3053" s="7" t="s">
        <v>5444</v>
      </c>
      <c r="B3053" s="8" t="s">
        <v>5445</v>
      </c>
      <c r="C3053" s="8" t="s">
        <v>19</v>
      </c>
      <c r="D3053" s="8" t="s">
        <v>19</v>
      </c>
      <c r="E3053" s="8" t="s">
        <v>19</v>
      </c>
      <c r="F3053" s="8" t="s">
        <v>20</v>
      </c>
      <c r="G3053" s="8" t="s">
        <v>21</v>
      </c>
      <c r="H3053" s="9"/>
      <c r="I3053" s="9"/>
      <c r="J3053" s="10">
        <f t="shared" ref="J3053:M3053" si="1861">ifs(OR($H3053="R",$I3053="N"),"N/A",OR(C3053="A",C3053="B",C3053="C",C3053="U"),3,TRUE,"FLAG")</f>
        <v>3</v>
      </c>
      <c r="K3053" s="10">
        <f t="shared" si="1861"/>
        <v>3</v>
      </c>
      <c r="L3053" s="10">
        <f t="shared" si="1861"/>
        <v>3</v>
      </c>
      <c r="M3053" s="10" t="str">
        <f t="shared" si="1861"/>
        <v>FLAG</v>
      </c>
      <c r="N3053" s="10" t="str">
        <f t="shared" si="2"/>
        <v>32-933(c) - Wildlife Parks &amp; Tourism; Falsely obtaining or using a physical or visual disability, assistance permit</v>
      </c>
      <c r="O3053" s="10" t="str">
        <f t="shared" si="3"/>
        <v>Wildlife Parks &amp; Tourism</v>
      </c>
    </row>
    <row r="3054">
      <c r="A3054" s="7" t="s">
        <v>5446</v>
      </c>
      <c r="B3054" s="8" t="s">
        <v>5447</v>
      </c>
      <c r="C3054" s="8" t="s">
        <v>18</v>
      </c>
      <c r="D3054" s="8" t="s">
        <v>18</v>
      </c>
      <c r="E3054" s="8" t="s">
        <v>19</v>
      </c>
      <c r="F3054" s="8" t="s">
        <v>20</v>
      </c>
      <c r="G3054" s="8" t="s">
        <v>21</v>
      </c>
      <c r="H3054" s="9"/>
      <c r="I3054" s="9"/>
      <c r="J3054" s="10">
        <f t="shared" ref="J3054:M3054" si="1862">ifs(OR($H3054="R",$I3054="N"),"N/A",OR(C3054="A",C3054="B",C3054="C",C3054="U"),3,TRUE,"FLAG")</f>
        <v>3</v>
      </c>
      <c r="K3054" s="10">
        <f t="shared" si="1862"/>
        <v>3</v>
      </c>
      <c r="L3054" s="10">
        <f t="shared" si="1862"/>
        <v>3</v>
      </c>
      <c r="M3054" s="10" t="str">
        <f t="shared" si="1862"/>
        <v>FLAG</v>
      </c>
      <c r="N3054" s="10" t="str">
        <f t="shared" si="2"/>
        <v>32-1032(a)(1) - Wildlife Parks &amp; Tourism; First or Second violation of Wildlife Parks &amp; Tourism Laws or rules and regulations of the Secretary</v>
      </c>
      <c r="O3054" s="10" t="str">
        <f t="shared" si="3"/>
        <v>Wildlife Parks &amp; Tourism</v>
      </c>
    </row>
    <row r="3055">
      <c r="A3055" s="7" t="s">
        <v>5448</v>
      </c>
      <c r="B3055" s="8" t="s">
        <v>5449</v>
      </c>
      <c r="C3055" s="8" t="s">
        <v>19</v>
      </c>
      <c r="D3055" s="8" t="s">
        <v>19</v>
      </c>
      <c r="E3055" s="8" t="s">
        <v>19</v>
      </c>
      <c r="F3055" s="8" t="s">
        <v>20</v>
      </c>
      <c r="G3055" s="8" t="s">
        <v>21</v>
      </c>
      <c r="H3055" s="9"/>
      <c r="I3055" s="9"/>
      <c r="J3055" s="10">
        <f t="shared" ref="J3055:M3055" si="1863">ifs(OR($H3055="R",$I3055="N"),"N/A",OR(C3055="A",C3055="B",C3055="C",C3055="U"),3,TRUE,"FLAG")</f>
        <v>3</v>
      </c>
      <c r="K3055" s="10">
        <f t="shared" si="1863"/>
        <v>3</v>
      </c>
      <c r="L3055" s="10">
        <f t="shared" si="1863"/>
        <v>3</v>
      </c>
      <c r="M3055" s="10" t="str">
        <f t="shared" si="1863"/>
        <v>FLAG</v>
      </c>
      <c r="N3055" s="10" t="str">
        <f t="shared" si="2"/>
        <v>32-1003(a)(5) - Wildlife Parks &amp; Tourism; Fish by placing in or upon any lake, pond, river, creek, stream or any other water, bordering on or within the state of Kansas, any deleterious substance or fishberries</v>
      </c>
      <c r="O3055" s="10" t="str">
        <f t="shared" si="3"/>
        <v>Wildlife Parks &amp; Tourism</v>
      </c>
    </row>
    <row r="3056">
      <c r="A3056" s="7" t="s">
        <v>5450</v>
      </c>
      <c r="B3056" s="8" t="s">
        <v>5451</v>
      </c>
      <c r="C3056" s="8" t="s">
        <v>19</v>
      </c>
      <c r="D3056" s="8" t="s">
        <v>19</v>
      </c>
      <c r="E3056" s="8" t="s">
        <v>19</v>
      </c>
      <c r="F3056" s="8" t="s">
        <v>20</v>
      </c>
      <c r="G3056" s="8" t="s">
        <v>21</v>
      </c>
      <c r="H3056" s="9"/>
      <c r="I3056" s="9"/>
      <c r="J3056" s="10">
        <f t="shared" ref="J3056:M3056" si="1864">ifs(OR($H3056="R",$I3056="N"),"N/A",OR(C3056="A",C3056="B",C3056="C",C3056="U"),3,TRUE,"FLAG")</f>
        <v>3</v>
      </c>
      <c r="K3056" s="10">
        <f t="shared" si="1864"/>
        <v>3</v>
      </c>
      <c r="L3056" s="10">
        <f t="shared" si="1864"/>
        <v>3</v>
      </c>
      <c r="M3056" s="10" t="str">
        <f t="shared" si="1864"/>
        <v>FLAG</v>
      </c>
      <c r="N3056" s="10" t="str">
        <f t="shared" si="2"/>
        <v>32-906 - Wildlife Parks &amp; Tourism; Fishing licenses required</v>
      </c>
      <c r="O3056" s="10" t="str">
        <f t="shared" si="3"/>
        <v>Wildlife Parks &amp; Tourism</v>
      </c>
    </row>
    <row r="3057">
      <c r="A3057" s="7" t="s">
        <v>5452</v>
      </c>
      <c r="B3057" s="8" t="s">
        <v>5453</v>
      </c>
      <c r="C3057" s="8" t="s">
        <v>19</v>
      </c>
      <c r="D3057" s="8" t="s">
        <v>19</v>
      </c>
      <c r="E3057" s="8" t="s">
        <v>19</v>
      </c>
      <c r="F3057" s="8" t="s">
        <v>20</v>
      </c>
      <c r="G3057" s="8" t="s">
        <v>21</v>
      </c>
      <c r="H3057" s="9"/>
      <c r="I3057" s="9"/>
      <c r="J3057" s="10">
        <f t="shared" ref="J3057:M3057" si="1865">ifs(OR($H3057="R",$I3057="N"),"N/A",OR(C3057="A",C3057="B",C3057="C",C3057="U"),3,TRUE,"FLAG")</f>
        <v>3</v>
      </c>
      <c r="K3057" s="10">
        <f t="shared" si="1865"/>
        <v>3</v>
      </c>
      <c r="L3057" s="10">
        <f t="shared" si="1865"/>
        <v>3</v>
      </c>
      <c r="M3057" s="10" t="str">
        <f t="shared" si="1865"/>
        <v>FLAG</v>
      </c>
      <c r="N3057" s="10" t="str">
        <f t="shared" si="2"/>
        <v>32-911 - Wildlife Parks &amp; Tourism; Fur harvester license required</v>
      </c>
      <c r="O3057" s="10" t="str">
        <f t="shared" si="3"/>
        <v>Wildlife Parks &amp; Tourism</v>
      </c>
    </row>
    <row r="3058">
      <c r="A3058" s="7" t="s">
        <v>5454</v>
      </c>
      <c r="B3058" s="8" t="s">
        <v>5455</v>
      </c>
      <c r="C3058" s="8" t="s">
        <v>19</v>
      </c>
      <c r="D3058" s="8" t="s">
        <v>19</v>
      </c>
      <c r="E3058" s="8" t="s">
        <v>19</v>
      </c>
      <c r="F3058" s="8" t="s">
        <v>20</v>
      </c>
      <c r="G3058" s="8" t="s">
        <v>21</v>
      </c>
      <c r="H3058" s="9"/>
      <c r="I3058" s="9"/>
      <c r="J3058" s="10">
        <f t="shared" ref="J3058:M3058" si="1866">ifs(OR($H3058="R",$I3058="N"),"N/A",OR(C3058="A",C3058="B",C3058="C",C3058="U"),3,TRUE,"FLAG")</f>
        <v>3</v>
      </c>
      <c r="K3058" s="10">
        <f t="shared" si="1866"/>
        <v>3</v>
      </c>
      <c r="L3058" s="10">
        <f t="shared" si="1866"/>
        <v>3</v>
      </c>
      <c r="M3058" s="10" t="str">
        <f t="shared" si="1866"/>
        <v>FLAG</v>
      </c>
      <c r="N3058" s="10" t="str">
        <f t="shared" si="2"/>
        <v>32-1015(a)(2) - Wildlife Parks &amp; Tourism; Hunt deer or elk in an area where a firearms season for the taking of deer or elk is occurring without wearing appropriate protective clothing as prescribed by rules and regulations adopted by the secretary pursuant to K.S.A. 32-805</v>
      </c>
      <c r="O3058" s="10" t="str">
        <f t="shared" si="3"/>
        <v>Wildlife Parks &amp; Tourism</v>
      </c>
    </row>
    <row r="3059">
      <c r="A3059" s="7" t="s">
        <v>5456</v>
      </c>
      <c r="B3059" s="8" t="s">
        <v>5457</v>
      </c>
      <c r="C3059" s="8" t="s">
        <v>19</v>
      </c>
      <c r="D3059" s="8" t="s">
        <v>19</v>
      </c>
      <c r="E3059" s="8" t="s">
        <v>19</v>
      </c>
      <c r="F3059" s="8" t="s">
        <v>20</v>
      </c>
      <c r="G3059" s="8" t="s">
        <v>21</v>
      </c>
      <c r="H3059" s="9"/>
      <c r="I3059" s="9"/>
      <c r="J3059" s="10">
        <f t="shared" ref="J3059:M3059" si="1867">ifs(OR($H3059="R",$I3059="N"),"N/A",OR(C3059="A",C3059="B",C3059="C",C3059="U"),3,TRUE,"FLAG")</f>
        <v>3</v>
      </c>
      <c r="K3059" s="10">
        <f t="shared" si="1867"/>
        <v>3</v>
      </c>
      <c r="L3059" s="10">
        <f t="shared" si="1867"/>
        <v>3</v>
      </c>
      <c r="M3059" s="10" t="str">
        <f t="shared" si="1867"/>
        <v>FLAG</v>
      </c>
      <c r="N3059" s="10" t="str">
        <f t="shared" si="2"/>
        <v>32-920 - Wildlife Parks &amp; Tourism; Hunter education; certificate of completion</v>
      </c>
      <c r="O3059" s="10" t="str">
        <f t="shared" si="3"/>
        <v>Wildlife Parks &amp; Tourism</v>
      </c>
    </row>
    <row r="3060">
      <c r="A3060" s="7" t="s">
        <v>5458</v>
      </c>
      <c r="B3060" s="8" t="s">
        <v>5459</v>
      </c>
      <c r="C3060" s="8" t="s">
        <v>19</v>
      </c>
      <c r="D3060" s="8" t="s">
        <v>19</v>
      </c>
      <c r="E3060" s="8" t="s">
        <v>19</v>
      </c>
      <c r="F3060" s="8" t="s">
        <v>20</v>
      </c>
      <c r="G3060" s="8" t="s">
        <v>21</v>
      </c>
      <c r="H3060" s="9"/>
      <c r="I3060" s="9"/>
      <c r="J3060" s="10">
        <f t="shared" ref="J3060:M3060" si="1868">ifs(OR($H3060="R",$I3060="N"),"N/A",OR(C3060="A",C3060="B",C3060="C",C3060="U"),3,TRUE,"FLAG")</f>
        <v>3</v>
      </c>
      <c r="K3060" s="10">
        <f t="shared" si="1868"/>
        <v>3</v>
      </c>
      <c r="L3060" s="10">
        <f t="shared" si="1868"/>
        <v>3</v>
      </c>
      <c r="M3060" s="10" t="str">
        <f t="shared" si="1868"/>
        <v>FLAG</v>
      </c>
      <c r="N3060" s="10" t="str">
        <f t="shared" si="2"/>
        <v>32-1004(a)(6) - Wildlife Parks &amp; Tourism; Intentionally import into this state, or possess or release in this state, any species of wildlife prohibited pursuant to K.S.A. 32-956</v>
      </c>
      <c r="O3060" s="10" t="str">
        <f t="shared" si="3"/>
        <v>Wildlife Parks &amp; Tourism</v>
      </c>
    </row>
    <row r="3061">
      <c r="A3061" s="7" t="s">
        <v>5460</v>
      </c>
      <c r="B3061" s="8" t="s">
        <v>5461</v>
      </c>
      <c r="C3061" s="8" t="s">
        <v>19</v>
      </c>
      <c r="D3061" s="8" t="s">
        <v>19</v>
      </c>
      <c r="E3061" s="8" t="s">
        <v>19</v>
      </c>
      <c r="F3061" s="8" t="s">
        <v>20</v>
      </c>
      <c r="G3061" s="8" t="s">
        <v>21</v>
      </c>
      <c r="H3061" s="9"/>
      <c r="I3061" s="9"/>
      <c r="J3061" s="10">
        <f t="shared" ref="J3061:M3061" si="1869">ifs(OR($H3061="R",$I3061="N"),"N/A",OR(C3061="A",C3061="B",C3061="C",C3061="U"),3,TRUE,"FLAG")</f>
        <v>3</v>
      </c>
      <c r="K3061" s="10">
        <f t="shared" si="1869"/>
        <v>3</v>
      </c>
      <c r="L3061" s="10">
        <f t="shared" si="1869"/>
        <v>3</v>
      </c>
      <c r="M3061" s="10" t="str">
        <f t="shared" si="1869"/>
        <v>FLAG</v>
      </c>
      <c r="N3061" s="10" t="str">
        <f t="shared" si="2"/>
        <v>32-1001(a)(5) - Wildlife Parks &amp; Tourism; Making false statement to secure license, stamp or permit</v>
      </c>
      <c r="O3061" s="10" t="str">
        <f t="shared" si="3"/>
        <v>Wildlife Parks &amp; Tourism</v>
      </c>
    </row>
    <row r="3062">
      <c r="A3062" s="7" t="s">
        <v>5462</v>
      </c>
      <c r="B3062" s="8" t="s">
        <v>5463</v>
      </c>
      <c r="C3062" s="8" t="s">
        <v>19</v>
      </c>
      <c r="D3062" s="8" t="s">
        <v>19</v>
      </c>
      <c r="E3062" s="8" t="s">
        <v>19</v>
      </c>
      <c r="F3062" s="8" t="s">
        <v>20</v>
      </c>
      <c r="G3062" s="8" t="s">
        <v>21</v>
      </c>
      <c r="H3062" s="9"/>
      <c r="I3062" s="9"/>
      <c r="J3062" s="10">
        <f t="shared" ref="J3062:M3062" si="1870">ifs(OR($H3062="R",$I3062="N"),"N/A",OR(C3062="A",C3062="B",C3062="C",C3062="U"),3,TRUE,"FLAG")</f>
        <v>3</v>
      </c>
      <c r="K3062" s="10">
        <f t="shared" si="1870"/>
        <v>3</v>
      </c>
      <c r="L3062" s="10">
        <f t="shared" si="1870"/>
        <v>3</v>
      </c>
      <c r="M3062" s="10" t="str">
        <f t="shared" si="1870"/>
        <v>FLAG</v>
      </c>
      <c r="N3062" s="10" t="str">
        <f t="shared" si="2"/>
        <v>32-1014(a) - Wildlife Parks &amp; Tourism; Obstruction or impeding of lawful activities</v>
      </c>
      <c r="O3062" s="10" t="str">
        <f t="shared" si="3"/>
        <v>Wildlife Parks &amp; Tourism</v>
      </c>
    </row>
    <row r="3063">
      <c r="A3063" s="7" t="s">
        <v>5464</v>
      </c>
      <c r="B3063" s="8" t="s">
        <v>5465</v>
      </c>
      <c r="C3063" s="8" t="s">
        <v>19</v>
      </c>
      <c r="D3063" s="8" t="s">
        <v>19</v>
      </c>
      <c r="E3063" s="8" t="s">
        <v>19</v>
      </c>
      <c r="F3063" s="8" t="s">
        <v>20</v>
      </c>
      <c r="G3063" s="8" t="s">
        <v>21</v>
      </c>
      <c r="H3063" s="9"/>
      <c r="I3063" s="9"/>
      <c r="J3063" s="10">
        <f t="shared" ref="J3063:M3063" si="1871">ifs(OR($H3063="R",$I3063="N"),"N/A",OR(C3063="A",C3063="B",C3063="C",C3063="U"),3,TRUE,"FLAG")</f>
        <v>3</v>
      </c>
      <c r="K3063" s="10">
        <f t="shared" si="1871"/>
        <v>3</v>
      </c>
      <c r="L3063" s="10">
        <f t="shared" si="1871"/>
        <v>3</v>
      </c>
      <c r="M3063" s="10" t="str">
        <f t="shared" si="1871"/>
        <v>FLAG</v>
      </c>
      <c r="N3063" s="10" t="str">
        <f t="shared" si="2"/>
        <v>32-1001(a)(1) - Wildlife Parks &amp; Tourism; Participate in activity requiring license, stamp or permit without having such</v>
      </c>
      <c r="O3063" s="10" t="str">
        <f t="shared" si="3"/>
        <v>Wildlife Parks &amp; Tourism</v>
      </c>
    </row>
    <row r="3064">
      <c r="A3064" s="7" t="s">
        <v>5466</v>
      </c>
      <c r="B3064" s="8" t="s">
        <v>5467</v>
      </c>
      <c r="C3064" s="8" t="s">
        <v>18</v>
      </c>
      <c r="D3064" s="8" t="s">
        <v>18</v>
      </c>
      <c r="E3064" s="8" t="s">
        <v>19</v>
      </c>
      <c r="F3064" s="8" t="s">
        <v>20</v>
      </c>
      <c r="G3064" s="8" t="s">
        <v>21</v>
      </c>
      <c r="H3064" s="9"/>
      <c r="I3064" s="9"/>
      <c r="J3064" s="10">
        <f t="shared" ref="J3064:M3064" si="1872">ifs(OR($H3064="R",$I3064="N"),"N/A",OR(C3064="A",C3064="B",C3064="C",C3064="U"),3,TRUE,"FLAG")</f>
        <v>3</v>
      </c>
      <c r="K3064" s="10">
        <f t="shared" si="1872"/>
        <v>3</v>
      </c>
      <c r="L3064" s="10">
        <f t="shared" si="1872"/>
        <v>3</v>
      </c>
      <c r="M3064" s="10" t="str">
        <f t="shared" si="1872"/>
        <v>FLAG</v>
      </c>
      <c r="N3064" s="10" t="str">
        <f t="shared" si="2"/>
        <v>32-1032(a) - Wildlife Parks &amp; Tourism; Penalty for Big game and wild turkey violations</v>
      </c>
      <c r="O3064" s="10" t="str">
        <f t="shared" si="3"/>
        <v>Wildlife Parks &amp; Tourism</v>
      </c>
    </row>
    <row r="3065">
      <c r="A3065" s="7" t="s">
        <v>5468</v>
      </c>
      <c r="B3065" s="8" t="s">
        <v>5469</v>
      </c>
      <c r="C3065" s="8" t="s">
        <v>28</v>
      </c>
      <c r="D3065" s="8" t="s">
        <v>19</v>
      </c>
      <c r="E3065" s="8" t="s">
        <v>19</v>
      </c>
      <c r="F3065" s="8" t="s">
        <v>20</v>
      </c>
      <c r="G3065" s="8" t="s">
        <v>21</v>
      </c>
      <c r="H3065" s="9"/>
      <c r="I3065" s="9"/>
      <c r="J3065" s="10">
        <f t="shared" ref="J3065:M3065" si="1873">ifs(OR($H3065="R",$I3065="N"),"N/A",OR(C3065="A",C3065="B",C3065="C",C3065="U"),3,TRUE,"FLAG")</f>
        <v>3</v>
      </c>
      <c r="K3065" s="10">
        <f t="shared" si="1873"/>
        <v>3</v>
      </c>
      <c r="L3065" s="10">
        <f t="shared" si="1873"/>
        <v>3</v>
      </c>
      <c r="M3065" s="10" t="str">
        <f t="shared" si="1873"/>
        <v>FLAG</v>
      </c>
      <c r="N3065" s="10" t="str">
        <f t="shared" si="2"/>
        <v>32-1032(a)(2) - Wildlife Parks &amp; Tourism; Penalty for Big game and wild turkey violations; 3rd conviction</v>
      </c>
      <c r="O3065" s="10" t="str">
        <f t="shared" si="3"/>
        <v>Wildlife Parks &amp; Tourism</v>
      </c>
    </row>
    <row r="3066">
      <c r="A3066" s="7" t="s">
        <v>5470</v>
      </c>
      <c r="B3066" s="8" t="s">
        <v>5471</v>
      </c>
      <c r="C3066" s="8" t="s">
        <v>27</v>
      </c>
      <c r="D3066" s="8" t="s">
        <v>28</v>
      </c>
      <c r="E3066" s="8" t="s">
        <v>19</v>
      </c>
      <c r="F3066" s="8" t="s">
        <v>20</v>
      </c>
      <c r="G3066" s="8" t="s">
        <v>21</v>
      </c>
      <c r="H3066" s="9"/>
      <c r="I3066" s="9"/>
      <c r="J3066" s="10">
        <f t="shared" ref="J3066:M3066" si="1874">ifs(OR($H3066="R",$I3066="N"),"N/A",OR(C3066="A",C3066="B",C3066="C",C3066="U"),3,TRUE,"FLAG")</f>
        <v>3</v>
      </c>
      <c r="K3066" s="10">
        <f t="shared" si="1874"/>
        <v>3</v>
      </c>
      <c r="L3066" s="10">
        <f t="shared" si="1874"/>
        <v>3</v>
      </c>
      <c r="M3066" s="10" t="str">
        <f t="shared" si="1874"/>
        <v>FLAG</v>
      </c>
      <c r="N3066" s="10" t="str">
        <f t="shared" si="2"/>
        <v>32-1032(a)(3) - Wildlife Parks &amp; Tourism; Penalty for Big game and wild turkey violations; 4th conviction</v>
      </c>
      <c r="O3066" s="10" t="str">
        <f t="shared" si="3"/>
        <v>Wildlife Parks &amp; Tourism</v>
      </c>
    </row>
    <row r="3067">
      <c r="A3067" s="7" t="s">
        <v>5472</v>
      </c>
      <c r="B3067" s="8" t="s">
        <v>5473</v>
      </c>
      <c r="C3067" s="8" t="s">
        <v>27</v>
      </c>
      <c r="D3067" s="8" t="s">
        <v>28</v>
      </c>
      <c r="E3067" s="8" t="s">
        <v>19</v>
      </c>
      <c r="F3067" s="8" t="s">
        <v>20</v>
      </c>
      <c r="G3067" s="8" t="s">
        <v>21</v>
      </c>
      <c r="H3067" s="9"/>
      <c r="I3067" s="9"/>
      <c r="J3067" s="10">
        <f t="shared" ref="J3067:M3067" si="1875">ifs(OR($H3067="R",$I3067="N"),"N/A",OR(C3067="A",C3067="B",C3067="C",C3067="U"),3,TRUE,"FLAG")</f>
        <v>3</v>
      </c>
      <c r="K3067" s="10">
        <f t="shared" si="1875"/>
        <v>3</v>
      </c>
      <c r="L3067" s="10">
        <f t="shared" si="1875"/>
        <v>3</v>
      </c>
      <c r="M3067" s="10" t="str">
        <f t="shared" si="1875"/>
        <v>FLAG</v>
      </c>
      <c r="N3067" s="10" t="str">
        <f t="shared" si="2"/>
        <v>32-1032(a)(4) - Wildlife Parks &amp; Tourism; Penalty for Big game and wild turkey violations; 5th or subs. conviction</v>
      </c>
      <c r="O3067" s="10" t="str">
        <f t="shared" si="3"/>
        <v>Wildlife Parks &amp; Tourism</v>
      </c>
    </row>
    <row r="3068">
      <c r="A3068" s="7" t="s">
        <v>5474</v>
      </c>
      <c r="B3068" s="8" t="s">
        <v>5475</v>
      </c>
      <c r="C3068" s="8" t="s">
        <v>19</v>
      </c>
      <c r="D3068" s="8" t="s">
        <v>19</v>
      </c>
      <c r="E3068" s="8" t="s">
        <v>19</v>
      </c>
      <c r="F3068" s="8" t="s">
        <v>20</v>
      </c>
      <c r="G3068" s="8" t="s">
        <v>21</v>
      </c>
      <c r="H3068" s="9"/>
      <c r="I3068" s="9"/>
      <c r="J3068" s="10">
        <f t="shared" ref="J3068:M3068" si="1876">ifs(OR($H3068="R",$I3068="N"),"N/A",OR(C3068="A",C3068="B",C3068="C",C3068="U"),3,TRUE,"FLAG")</f>
        <v>3</v>
      </c>
      <c r="K3068" s="10">
        <f t="shared" si="1876"/>
        <v>3</v>
      </c>
      <c r="L3068" s="10">
        <f t="shared" si="1876"/>
        <v>3</v>
      </c>
      <c r="M3068" s="10" t="str">
        <f t="shared" si="1876"/>
        <v>FLAG</v>
      </c>
      <c r="N3068" s="10" t="str">
        <f t="shared" si="2"/>
        <v>32-1003(a)(6) - Wildlife Parks &amp; Tourism; Place or explode any dynamite, giant powder, lime, nitroglycerine or any other explosive of any character or kind in any waters of the state of Kansas with the intent to take or stun fish</v>
      </c>
      <c r="O3068" s="10" t="str">
        <f t="shared" si="3"/>
        <v>Wildlife Parks &amp; Tourism</v>
      </c>
    </row>
    <row r="3069">
      <c r="A3069" s="7" t="s">
        <v>5476</v>
      </c>
      <c r="B3069" s="8" t="s">
        <v>5477</v>
      </c>
      <c r="C3069" s="8" t="s">
        <v>19</v>
      </c>
      <c r="D3069" s="8" t="s">
        <v>19</v>
      </c>
      <c r="E3069" s="8" t="s">
        <v>19</v>
      </c>
      <c r="F3069" s="8" t="s">
        <v>20</v>
      </c>
      <c r="G3069" s="8" t="s">
        <v>21</v>
      </c>
      <c r="H3069" s="9"/>
      <c r="I3069" s="9"/>
      <c r="J3069" s="10">
        <f t="shared" ref="J3069:M3069" si="1877">ifs(OR($H3069="R",$I3069="N"),"N/A",OR(C3069="A",C3069="B",C3069="C",C3069="U"),3,TRUE,"FLAG")</f>
        <v>3</v>
      </c>
      <c r="K3069" s="10">
        <f t="shared" si="1877"/>
        <v>3</v>
      </c>
      <c r="L3069" s="10">
        <f t="shared" si="1877"/>
        <v>3</v>
      </c>
      <c r="M3069" s="10" t="str">
        <f t="shared" si="1877"/>
        <v>FLAG</v>
      </c>
      <c r="N3069" s="10" t="str">
        <f t="shared" si="2"/>
        <v>32-1015(a)(6) - Wildlife Parks &amp; Tourism; Place, erect, or cause such, any seine, screen, net, weir, fish dam or other obstruction in or across any of the waters, rivers, creeks, ponds, streams, sloughs or other watercourses within the jurisdiction of this state so as to obstruct free passage of fish up, down and through such watercourses</v>
      </c>
      <c r="O3069" s="10" t="str">
        <f t="shared" si="3"/>
        <v>Wildlife Parks &amp; Tourism</v>
      </c>
    </row>
    <row r="3070">
      <c r="A3070" s="7" t="s">
        <v>5478</v>
      </c>
      <c r="B3070" s="8" t="s">
        <v>5479</v>
      </c>
      <c r="C3070" s="8" t="s">
        <v>19</v>
      </c>
      <c r="D3070" s="8" t="s">
        <v>19</v>
      </c>
      <c r="E3070" s="8" t="s">
        <v>19</v>
      </c>
      <c r="F3070" s="8" t="s">
        <v>20</v>
      </c>
      <c r="G3070" s="8" t="s">
        <v>21</v>
      </c>
      <c r="H3070" s="9"/>
      <c r="I3070" s="9"/>
      <c r="J3070" s="10">
        <f t="shared" ref="J3070:M3070" si="1878">ifs(OR($H3070="R",$I3070="N"),"N/A",OR(C3070="A",C3070="B",C3070="C",C3070="U"),3,TRUE,"FLAG")</f>
        <v>3</v>
      </c>
      <c r="K3070" s="10">
        <f t="shared" si="1878"/>
        <v>3</v>
      </c>
      <c r="L3070" s="10">
        <f t="shared" si="1878"/>
        <v>3</v>
      </c>
      <c r="M3070" s="10" t="str">
        <f t="shared" si="1878"/>
        <v>FLAG</v>
      </c>
      <c r="N3070" s="10" t="str">
        <f t="shared" si="2"/>
        <v>32-1004(a)(3) - Wildlife Parks &amp; Tourism; Possess a carcass of a big game animal or wild turkey, taken within this state, unless a check station tag, if required and issued by the secretary, is attached to it, in accordance with rules and regulations adopted by the secretary.</v>
      </c>
      <c r="O3070" s="10" t="str">
        <f t="shared" si="3"/>
        <v>Wildlife Parks &amp; Tourism</v>
      </c>
    </row>
    <row r="3071">
      <c r="A3071" s="7" t="s">
        <v>5480</v>
      </c>
      <c r="B3071" s="8" t="s">
        <v>5481</v>
      </c>
      <c r="C3071" s="8" t="s">
        <v>19</v>
      </c>
      <c r="D3071" s="8" t="s">
        <v>19</v>
      </c>
      <c r="E3071" s="8" t="s">
        <v>19</v>
      </c>
      <c r="F3071" s="8" t="s">
        <v>20</v>
      </c>
      <c r="G3071" s="8" t="s">
        <v>21</v>
      </c>
      <c r="H3071" s="9"/>
      <c r="I3071" s="9"/>
      <c r="J3071" s="10">
        <f t="shared" ref="J3071:M3071" si="1879">ifs(OR($H3071="R",$I3071="N"),"N/A",OR(C3071="A",C3071="B",C3071="C",C3071="U"),3,TRUE,"FLAG")</f>
        <v>3</v>
      </c>
      <c r="K3071" s="10">
        <f t="shared" si="1879"/>
        <v>3</v>
      </c>
      <c r="L3071" s="10">
        <f t="shared" si="1879"/>
        <v>3</v>
      </c>
      <c r="M3071" s="10" t="str">
        <f t="shared" si="1879"/>
        <v>FLAG</v>
      </c>
      <c r="N3071" s="10" t="str">
        <f t="shared" si="2"/>
        <v>32-1004(a)(1) - Wildlife Parks &amp; Tourism; Possess a carcass of a big game animal, taken within this state, unless a carcass tag, issued by the secretary, is attached to it, in accordance with rules and regulations adopted by the secretary.</v>
      </c>
      <c r="O3071" s="10" t="str">
        <f t="shared" si="3"/>
        <v>Wildlife Parks &amp; Tourism</v>
      </c>
    </row>
    <row r="3072">
      <c r="A3072" s="7" t="s">
        <v>5482</v>
      </c>
      <c r="B3072" s="8" t="s">
        <v>5483</v>
      </c>
      <c r="C3072" s="8" t="s">
        <v>19</v>
      </c>
      <c r="D3072" s="8" t="s">
        <v>19</v>
      </c>
      <c r="E3072" s="8" t="s">
        <v>19</v>
      </c>
      <c r="F3072" s="8" t="s">
        <v>20</v>
      </c>
      <c r="G3072" s="8" t="s">
        <v>21</v>
      </c>
      <c r="H3072" s="9"/>
      <c r="I3072" s="9"/>
      <c r="J3072" s="10">
        <f t="shared" ref="J3072:M3072" si="1880">ifs(OR($H3072="R",$I3072="N"),"N/A",OR(C3072="A",C3072="B",C3072="C",C3072="U"),3,TRUE,"FLAG")</f>
        <v>3</v>
      </c>
      <c r="K3072" s="10">
        <f t="shared" si="1880"/>
        <v>3</v>
      </c>
      <c r="L3072" s="10">
        <f t="shared" si="1880"/>
        <v>3</v>
      </c>
      <c r="M3072" s="10" t="str">
        <f t="shared" si="1880"/>
        <v>FLAG</v>
      </c>
      <c r="N3072" s="10" t="str">
        <f t="shared" si="2"/>
        <v>32-1004(a)(2) - Wildlife Parks &amp; Tourism; Possess a carcass of a wild turkey, taken within this state, unless a carcass tag, if required and issued by the secretary, is attached to it, in accordance with rules and regulations adopted by the secretary.</v>
      </c>
      <c r="O3072" s="10" t="str">
        <f t="shared" si="3"/>
        <v>Wildlife Parks &amp; Tourism</v>
      </c>
    </row>
    <row r="3073">
      <c r="A3073" s="7" t="s">
        <v>5484</v>
      </c>
      <c r="B3073" s="8" t="s">
        <v>5485</v>
      </c>
      <c r="C3073" s="8" t="s">
        <v>19</v>
      </c>
      <c r="D3073" s="8" t="s">
        <v>19</v>
      </c>
      <c r="E3073" s="8" t="s">
        <v>19</v>
      </c>
      <c r="F3073" s="8" t="s">
        <v>20</v>
      </c>
      <c r="G3073" s="8" t="s">
        <v>21</v>
      </c>
      <c r="H3073" s="9"/>
      <c r="I3073" s="9"/>
      <c r="J3073" s="10">
        <f t="shared" ref="J3073:M3073" si="1881">ifs(OR($H3073="R",$I3073="N"),"N/A",OR(C3073="A",C3073="B",C3073="C",C3073="U"),3,TRUE,"FLAG")</f>
        <v>3</v>
      </c>
      <c r="K3073" s="10">
        <f t="shared" si="1881"/>
        <v>3</v>
      </c>
      <c r="L3073" s="10">
        <f t="shared" si="1881"/>
        <v>3</v>
      </c>
      <c r="M3073" s="10" t="str">
        <f t="shared" si="1881"/>
        <v>FLAG</v>
      </c>
      <c r="N3073" s="10" t="str">
        <f t="shared" si="2"/>
        <v>32-1004(a)(4) - Wildlife Parks &amp; Tourism; Possess any wildlife unlawfully killed or otherwise unlawfully taken outside this state</v>
      </c>
      <c r="O3073" s="10" t="str">
        <f t="shared" si="3"/>
        <v>Wildlife Parks &amp; Tourism</v>
      </c>
    </row>
    <row r="3074">
      <c r="A3074" s="7" t="s">
        <v>5486</v>
      </c>
      <c r="B3074" s="8" t="s">
        <v>5487</v>
      </c>
      <c r="C3074" s="8" t="s">
        <v>19</v>
      </c>
      <c r="D3074" s="8" t="s">
        <v>19</v>
      </c>
      <c r="E3074" s="8" t="s">
        <v>19</v>
      </c>
      <c r="F3074" s="8" t="s">
        <v>20</v>
      </c>
      <c r="G3074" s="8" t="s">
        <v>21</v>
      </c>
      <c r="H3074" s="9"/>
      <c r="I3074" s="9"/>
      <c r="J3074" s="10">
        <f t="shared" ref="J3074:M3074" si="1882">ifs(OR($H3074="R",$I3074="N"),"N/A",OR(C3074="A",C3074="B",C3074="C",C3074="U"),3,TRUE,"FLAG")</f>
        <v>3</v>
      </c>
      <c r="K3074" s="10">
        <f t="shared" si="1882"/>
        <v>3</v>
      </c>
      <c r="L3074" s="10">
        <f t="shared" si="1882"/>
        <v>3</v>
      </c>
      <c r="M3074" s="10" t="str">
        <f t="shared" si="1882"/>
        <v>FLAG</v>
      </c>
      <c r="N3074" s="10" t="str">
        <f t="shared" si="2"/>
        <v>32-1003(a)(2) - Wildlife Parks &amp; Tourism; Provide or receive information concerning the location of any game animal or furbearing animal by radio or other mechanical device for purposes of taking such bird or animal</v>
      </c>
      <c r="O3074" s="10" t="str">
        <f t="shared" si="3"/>
        <v>Wildlife Parks &amp; Tourism</v>
      </c>
    </row>
    <row r="3075">
      <c r="A3075" s="7" t="s">
        <v>5488</v>
      </c>
      <c r="B3075" s="8" t="s">
        <v>5489</v>
      </c>
      <c r="C3075" s="8" t="s">
        <v>19</v>
      </c>
      <c r="D3075" s="8" t="s">
        <v>19</v>
      </c>
      <c r="E3075" s="8" t="s">
        <v>19</v>
      </c>
      <c r="F3075" s="8" t="s">
        <v>20</v>
      </c>
      <c r="G3075" s="8" t="s">
        <v>21</v>
      </c>
      <c r="H3075" s="9"/>
      <c r="I3075" s="9"/>
      <c r="J3075" s="10">
        <f t="shared" ref="J3075:M3075" si="1883">ifs(OR($H3075="R",$I3075="N"),"N/A",OR(C3075="A",C3075="B",C3075="C",C3075="U"),3,TRUE,"FLAG")</f>
        <v>3</v>
      </c>
      <c r="K3075" s="10">
        <f t="shared" si="1883"/>
        <v>3</v>
      </c>
      <c r="L3075" s="10">
        <f t="shared" si="1883"/>
        <v>3</v>
      </c>
      <c r="M3075" s="10" t="str">
        <f t="shared" si="1883"/>
        <v>FLAG</v>
      </c>
      <c r="N3075" s="10" t="str">
        <f t="shared" si="2"/>
        <v>32-1007(a) - Wildlife Parks &amp; Tourism; Public display of coyote carcasses</v>
      </c>
      <c r="O3075" s="10" t="str">
        <f t="shared" si="3"/>
        <v>Wildlife Parks &amp; Tourism</v>
      </c>
    </row>
    <row r="3076">
      <c r="A3076" s="7" t="s">
        <v>5490</v>
      </c>
      <c r="B3076" s="8" t="s">
        <v>5491</v>
      </c>
      <c r="C3076" s="8" t="s">
        <v>19</v>
      </c>
      <c r="D3076" s="8" t="s">
        <v>19</v>
      </c>
      <c r="E3076" s="8" t="s">
        <v>19</v>
      </c>
      <c r="F3076" s="8" t="s">
        <v>20</v>
      </c>
      <c r="G3076" s="8" t="s">
        <v>21</v>
      </c>
      <c r="H3076" s="9"/>
      <c r="I3076" s="9"/>
      <c r="J3076" s="10">
        <f t="shared" ref="J3076:M3076" si="1884">ifs(OR($H3076="R",$I3076="N"),"N/A",OR(C3076="A",C3076="B",C3076="C",C3076="U"),3,TRUE,"FLAG")</f>
        <v>3</v>
      </c>
      <c r="K3076" s="10">
        <f t="shared" si="1884"/>
        <v>3</v>
      </c>
      <c r="L3076" s="10">
        <f t="shared" si="1884"/>
        <v>3</v>
      </c>
      <c r="M3076" s="10" t="str">
        <f t="shared" si="1884"/>
        <v>FLAG</v>
      </c>
      <c r="N3076" s="10" t="str">
        <f t="shared" si="2"/>
        <v>32-1004(a)(7) - Wildlife Parks &amp; Tourism; Refuse to allow any conservation officer, deputy conservation officer or any law enforcement officer to inspect and count any wildlife in such person's possession</v>
      </c>
      <c r="O3076" s="10" t="str">
        <f t="shared" si="3"/>
        <v>Wildlife Parks &amp; Tourism</v>
      </c>
    </row>
    <row r="3077">
      <c r="A3077" s="7" t="s">
        <v>5492</v>
      </c>
      <c r="B3077" s="8" t="s">
        <v>5493</v>
      </c>
      <c r="C3077" s="8" t="s">
        <v>19</v>
      </c>
      <c r="D3077" s="8" t="s">
        <v>19</v>
      </c>
      <c r="E3077" s="8" t="s">
        <v>19</v>
      </c>
      <c r="F3077" s="8" t="s">
        <v>20</v>
      </c>
      <c r="G3077" s="8" t="s">
        <v>21</v>
      </c>
      <c r="H3077" s="9"/>
      <c r="I3077" s="9"/>
      <c r="J3077" s="10">
        <f t="shared" ref="J3077:M3077" si="1885">ifs(OR($H3077="R",$I3077="N"),"N/A",OR(C3077="A",C3077="B",C3077="C",C3077="U"),3,TRUE,"FLAG")</f>
        <v>3</v>
      </c>
      <c r="K3077" s="10">
        <f t="shared" si="1885"/>
        <v>3</v>
      </c>
      <c r="L3077" s="10">
        <f t="shared" si="1885"/>
        <v>3</v>
      </c>
      <c r="M3077" s="10" t="str">
        <f t="shared" si="1885"/>
        <v>FLAG</v>
      </c>
      <c r="N3077" s="10" t="str">
        <f t="shared" si="2"/>
        <v>32-1004(a)(8) - Wildlife Parks &amp; Tourism; Refuse to allow any conservation officer, deputy conservation officer or law enforcement officer to inspect any devices or facilities used in taking, possessing, transporting, storing or processing any wildlife subject to the wildlife and parks &amp; tourism laws of this state or rules and regulations of the secretary</v>
      </c>
      <c r="O3077" s="10" t="str">
        <f t="shared" si="3"/>
        <v>Wildlife Parks &amp; Tourism</v>
      </c>
    </row>
    <row r="3078">
      <c r="A3078" s="7" t="s">
        <v>5494</v>
      </c>
      <c r="B3078" s="8" t="s">
        <v>5495</v>
      </c>
      <c r="C3078" s="8" t="s">
        <v>19</v>
      </c>
      <c r="D3078" s="8" t="s">
        <v>19</v>
      </c>
      <c r="E3078" s="8" t="s">
        <v>19</v>
      </c>
      <c r="F3078" s="8" t="s">
        <v>20</v>
      </c>
      <c r="G3078" s="8" t="s">
        <v>21</v>
      </c>
      <c r="H3078" s="9"/>
      <c r="I3078" s="9"/>
      <c r="J3078" s="10">
        <f t="shared" ref="J3078:M3078" si="1886">ifs(OR($H3078="R",$I3078="N"),"N/A",OR(C3078="A",C3078="B",C3078="C",C3078="U"),3,TRUE,"FLAG")</f>
        <v>3</v>
      </c>
      <c r="K3078" s="10">
        <f t="shared" si="1886"/>
        <v>3</v>
      </c>
      <c r="L3078" s="10">
        <f t="shared" si="1886"/>
        <v>3</v>
      </c>
      <c r="M3078" s="10" t="str">
        <f t="shared" si="1886"/>
        <v>FLAG</v>
      </c>
      <c r="N3078" s="10" t="str">
        <f t="shared" si="2"/>
        <v>32-1001(a)(3) - Wildlife Parks &amp; Tourism; Refuse to allow examination of license, stamp or permit</v>
      </c>
      <c r="O3078" s="10" t="str">
        <f t="shared" si="3"/>
        <v>Wildlife Parks &amp; Tourism</v>
      </c>
    </row>
    <row r="3079">
      <c r="A3079" s="7" t="s">
        <v>5496</v>
      </c>
      <c r="B3079" s="8" t="s">
        <v>5497</v>
      </c>
      <c r="C3079" s="8" t="s">
        <v>19</v>
      </c>
      <c r="D3079" s="8" t="s">
        <v>19</v>
      </c>
      <c r="E3079" s="8" t="s">
        <v>19</v>
      </c>
      <c r="F3079" s="8" t="s">
        <v>20</v>
      </c>
      <c r="G3079" s="8" t="s">
        <v>21</v>
      </c>
      <c r="H3079" s="9"/>
      <c r="I3079" s="9"/>
      <c r="J3079" s="10">
        <f t="shared" ref="J3079:M3079" si="1887">ifs(OR($H3079="R",$I3079="N"),"N/A",OR(C3079="A",C3079="B",C3079="C",C3079="U"),3,TRUE,"FLAG")</f>
        <v>3</v>
      </c>
      <c r="K3079" s="10">
        <f t="shared" si="1887"/>
        <v>3</v>
      </c>
      <c r="L3079" s="10">
        <f t="shared" si="1887"/>
        <v>3</v>
      </c>
      <c r="M3079" s="10" t="str">
        <f t="shared" si="1887"/>
        <v>FLAG</v>
      </c>
      <c r="N3079" s="10" t="str">
        <f t="shared" si="2"/>
        <v>32-1001(a)(4)(B) - Wildlife Parks &amp; Tourism; Refuse to allow inspection of card or other evidence required pursuant to K.S.A. 32-980 while participating or engaging in fishing or hunting</v>
      </c>
      <c r="O3079" s="10" t="str">
        <f t="shared" si="3"/>
        <v>Wildlife Parks &amp; Tourism</v>
      </c>
    </row>
    <row r="3080">
      <c r="A3080" s="7" t="s">
        <v>5498</v>
      </c>
      <c r="B3080" s="8" t="s">
        <v>5499</v>
      </c>
      <c r="C3080" s="8" t="s">
        <v>19</v>
      </c>
      <c r="D3080" s="8" t="s">
        <v>19</v>
      </c>
      <c r="E3080" s="8" t="s">
        <v>19</v>
      </c>
      <c r="F3080" s="8" t="s">
        <v>20</v>
      </c>
      <c r="G3080" s="8" t="s">
        <v>21</v>
      </c>
      <c r="H3080" s="9"/>
      <c r="I3080" s="9"/>
      <c r="J3080" s="10">
        <f t="shared" ref="J3080:M3080" si="1888">ifs(OR($H3080="R",$I3080="N"),"N/A",OR(C3080="A",C3080="B",C3080="C",C3080="U"),3,TRUE,"FLAG")</f>
        <v>3</v>
      </c>
      <c r="K3080" s="10">
        <f t="shared" si="1888"/>
        <v>3</v>
      </c>
      <c r="L3080" s="10">
        <f t="shared" si="1888"/>
        <v>3</v>
      </c>
      <c r="M3080" s="10" t="str">
        <f t="shared" si="1888"/>
        <v>FLAG</v>
      </c>
      <c r="N3080" s="10" t="str">
        <f t="shared" si="2"/>
        <v>32-1015(a)(5) - Wildlife Parks &amp; Tourism; Remove fish from a private water fishing impoundment without consent</v>
      </c>
      <c r="O3080" s="10" t="str">
        <f t="shared" si="3"/>
        <v>Wildlife Parks &amp; Tourism</v>
      </c>
    </row>
    <row r="3081">
      <c r="A3081" s="7" t="s">
        <v>5500</v>
      </c>
      <c r="B3081" s="8" t="s">
        <v>5501</v>
      </c>
      <c r="C3081" s="8" t="s">
        <v>19</v>
      </c>
      <c r="D3081" s="8" t="s">
        <v>19</v>
      </c>
      <c r="E3081" s="8" t="s">
        <v>19</v>
      </c>
      <c r="F3081" s="8" t="s">
        <v>20</v>
      </c>
      <c r="G3081" s="8" t="s">
        <v>21</v>
      </c>
      <c r="H3081" s="9"/>
      <c r="I3081" s="9"/>
      <c r="J3081" s="10">
        <f t="shared" ref="J3081:M3081" si="1889">ifs(OR($H3081="R",$I3081="N"),"N/A",OR(C3081="A",C3081="B",C3081="C",C3081="U"),3,TRUE,"FLAG")</f>
        <v>3</v>
      </c>
      <c r="K3081" s="10">
        <f t="shared" si="1889"/>
        <v>3</v>
      </c>
      <c r="L3081" s="10">
        <f t="shared" si="1889"/>
        <v>3</v>
      </c>
      <c r="M3081" s="10" t="str">
        <f t="shared" si="1889"/>
        <v>FLAG</v>
      </c>
      <c r="N3081" s="10" t="str">
        <f t="shared" si="2"/>
        <v>32-1008(b) - Wildlife Parks &amp; Tourism; Take, buy, sell or offer to sell any migratory bird or birds in Kansas unless authorized/permitted by federal regulations provided by the migratory bird treaty act</v>
      </c>
      <c r="O3081" s="10" t="str">
        <f t="shared" si="3"/>
        <v>Wildlife Parks &amp; Tourism</v>
      </c>
    </row>
    <row r="3082">
      <c r="A3082" s="7" t="s">
        <v>5502</v>
      </c>
      <c r="B3082" s="8" t="s">
        <v>5503</v>
      </c>
      <c r="C3082" s="8" t="s">
        <v>19</v>
      </c>
      <c r="D3082" s="8" t="s">
        <v>19</v>
      </c>
      <c r="E3082" s="8" t="s">
        <v>19</v>
      </c>
      <c r="F3082" s="8" t="s">
        <v>20</v>
      </c>
      <c r="G3082" s="8" t="s">
        <v>21</v>
      </c>
      <c r="H3082" s="9"/>
      <c r="I3082" s="9"/>
      <c r="J3082" s="10">
        <f t="shared" ref="J3082:M3082" si="1890">ifs(OR($H3082="R",$I3082="N"),"N/A",OR(C3082="A",C3082="B",C3082="C",C3082="U"),3,TRUE,"FLAG")</f>
        <v>3</v>
      </c>
      <c r="K3082" s="10">
        <f t="shared" si="1890"/>
        <v>3</v>
      </c>
      <c r="L3082" s="10">
        <f t="shared" si="1890"/>
        <v>3</v>
      </c>
      <c r="M3082" s="10" t="str">
        <f t="shared" si="1890"/>
        <v>FLAG</v>
      </c>
      <c r="N3082" s="10" t="str">
        <f t="shared" si="2"/>
        <v>32-1008(c) - Wildlife Parks &amp; Tourism; Take, buy, sell or offer to sell any migratory waterfowl in Kansas unless authorized or permitted by 16 U.S.C.A. § 718a</v>
      </c>
      <c r="O3082" s="10" t="str">
        <f t="shared" si="3"/>
        <v>Wildlife Parks &amp; Tourism</v>
      </c>
    </row>
    <row r="3083">
      <c r="A3083" s="7" t="s">
        <v>5504</v>
      </c>
      <c r="B3083" s="8" t="s">
        <v>5505</v>
      </c>
      <c r="C3083" s="8" t="s">
        <v>19</v>
      </c>
      <c r="D3083" s="8" t="s">
        <v>19</v>
      </c>
      <c r="E3083" s="8" t="s">
        <v>19</v>
      </c>
      <c r="F3083" s="8" t="s">
        <v>20</v>
      </c>
      <c r="G3083" s="8" t="s">
        <v>21</v>
      </c>
      <c r="H3083" s="9"/>
      <c r="I3083" s="9"/>
      <c r="J3083" s="10">
        <f t="shared" ref="J3083:M3083" si="1891">ifs(OR($H3083="R",$I3083="N"),"N/A",OR(C3083="A",C3083="B",C3083="C",C3083="U"),3,TRUE,"FLAG")</f>
        <v>3</v>
      </c>
      <c r="K3083" s="10">
        <f t="shared" si="1891"/>
        <v>3</v>
      </c>
      <c r="L3083" s="10">
        <f t="shared" si="1891"/>
        <v>3</v>
      </c>
      <c r="M3083" s="10" t="str">
        <f t="shared" si="1891"/>
        <v>FLAG</v>
      </c>
      <c r="N3083" s="10" t="str">
        <f t="shared" si="2"/>
        <v>32-1009 - Wildlife Parks &amp; Tourism; Take, possess, transport, export, process, sell or offer for sale or ship nongame species deemed to be in need of conservation pursuant to K.S.A. 32-959; unlawful for any common carrier knowingly to transport or receive for shipment such nongame species</v>
      </c>
      <c r="O3083" s="10" t="str">
        <f t="shared" si="3"/>
        <v>Wildlife Parks &amp; Tourism</v>
      </c>
    </row>
    <row r="3084">
      <c r="A3084" s="7" t="s">
        <v>5506</v>
      </c>
      <c r="B3084" s="8" t="s">
        <v>5507</v>
      </c>
      <c r="C3084" s="8" t="s">
        <v>19</v>
      </c>
      <c r="D3084" s="8" t="s">
        <v>19</v>
      </c>
      <c r="E3084" s="8" t="s">
        <v>19</v>
      </c>
      <c r="F3084" s="8" t="s">
        <v>20</v>
      </c>
      <c r="G3084" s="8" t="s">
        <v>21</v>
      </c>
      <c r="H3084" s="9"/>
      <c r="I3084" s="9"/>
      <c r="J3084" s="10">
        <f t="shared" ref="J3084:M3084" si="1892">ifs(OR($H3084="R",$I3084="N"),"N/A",OR(C3084="A",C3084="B",C3084="C",C3084="U"),3,TRUE,"FLAG")</f>
        <v>3</v>
      </c>
      <c r="K3084" s="10">
        <f t="shared" si="1892"/>
        <v>3</v>
      </c>
      <c r="L3084" s="10">
        <f t="shared" si="1892"/>
        <v>3</v>
      </c>
      <c r="M3084" s="10" t="str">
        <f t="shared" si="1892"/>
        <v>FLAG</v>
      </c>
      <c r="N3084" s="10" t="str">
        <f t="shared" si="2"/>
        <v>32-1003(a)(1) - Wildlife Parks &amp; Tourism; Taking any game animal or furbearing animal from a motorboat, airplane, motor vehicle or other water, air or land vehicle unless holding a valid handicapped hunting and fishing permit issued pursuant to K.S.A. 32-931</v>
      </c>
      <c r="O3084" s="10" t="str">
        <f t="shared" si="3"/>
        <v>Wildlife Parks &amp; Tourism</v>
      </c>
    </row>
    <row r="3085">
      <c r="A3085" s="7" t="s">
        <v>5508</v>
      </c>
      <c r="B3085" s="8" t="s">
        <v>5509</v>
      </c>
      <c r="C3085" s="8" t="s">
        <v>19</v>
      </c>
      <c r="D3085" s="8" t="s">
        <v>19</v>
      </c>
      <c r="E3085" s="8" t="s">
        <v>19</v>
      </c>
      <c r="F3085" s="8" t="s">
        <v>20</v>
      </c>
      <c r="G3085" s="8" t="s">
        <v>21</v>
      </c>
      <c r="H3085" s="9"/>
      <c r="I3085" s="9"/>
      <c r="J3085" s="10">
        <f t="shared" ref="J3085:M3085" si="1893">ifs(OR($H3085="R",$I3085="N"),"N/A",OR(C3085="A",C3085="B",C3085="C",C3085="U"),3,TRUE,"FLAG")</f>
        <v>3</v>
      </c>
      <c r="K3085" s="10">
        <f t="shared" si="1893"/>
        <v>3</v>
      </c>
      <c r="L3085" s="10">
        <f t="shared" si="1893"/>
        <v>3</v>
      </c>
      <c r="M3085" s="10" t="str">
        <f t="shared" si="1893"/>
        <v>FLAG</v>
      </c>
      <c r="N3085" s="10" t="str">
        <f t="shared" si="2"/>
        <v>32-1013(a) - Wildlife Parks &amp; Tourism; Taking wildlife without permission on land posted "by written permission only"</v>
      </c>
      <c r="O3085" s="10" t="str">
        <f t="shared" si="3"/>
        <v>Wildlife Parks &amp; Tourism</v>
      </c>
    </row>
    <row r="3086">
      <c r="A3086" s="7" t="s">
        <v>5510</v>
      </c>
      <c r="B3086" s="8" t="s">
        <v>5511</v>
      </c>
      <c r="C3086" s="8" t="s">
        <v>19</v>
      </c>
      <c r="D3086" s="8" t="s">
        <v>19</v>
      </c>
      <c r="E3086" s="8" t="s">
        <v>19</v>
      </c>
      <c r="F3086" s="8" t="s">
        <v>20</v>
      </c>
      <c r="G3086" s="8" t="s">
        <v>21</v>
      </c>
      <c r="H3086" s="9"/>
      <c r="I3086" s="9"/>
      <c r="J3086" s="10">
        <f t="shared" ref="J3086:M3086" si="1894">ifs(OR($H3086="R",$I3086="N"),"N/A",OR(C3086="A",C3086="B",C3086="C",C3086="U"),3,TRUE,"FLAG")</f>
        <v>3</v>
      </c>
      <c r="K3086" s="10">
        <f t="shared" si="1894"/>
        <v>3</v>
      </c>
      <c r="L3086" s="10">
        <f t="shared" si="1894"/>
        <v>3</v>
      </c>
      <c r="M3086" s="10" t="str">
        <f t="shared" si="1894"/>
        <v>FLAG</v>
      </c>
      <c r="N3086" s="10" t="str">
        <f t="shared" si="2"/>
        <v>32-1003(a)(7) - Wildlife Parks &amp; Tourism; Throw or cast the rays of a spotlight, headlight or other artificial light on any highway, roadway, field, grassland, woodland or forest for the purpose of spotting, locating or taking any wildlife while having in possession or control, either singly or as one of a group of persons, any rifle, pistol, shotgun, bow or other implement whereby wildlife could be taken</v>
      </c>
      <c r="O3086" s="10" t="str">
        <f t="shared" si="3"/>
        <v>Wildlife Parks &amp; Tourism</v>
      </c>
    </row>
    <row r="3087">
      <c r="A3087" s="7" t="s">
        <v>5512</v>
      </c>
      <c r="B3087" s="8" t="s">
        <v>5513</v>
      </c>
      <c r="C3087" s="8" t="s">
        <v>19</v>
      </c>
      <c r="D3087" s="8" t="s">
        <v>19</v>
      </c>
      <c r="E3087" s="8" t="s">
        <v>19</v>
      </c>
      <c r="F3087" s="8" t="s">
        <v>20</v>
      </c>
      <c r="G3087" s="8" t="s">
        <v>21</v>
      </c>
      <c r="H3087" s="9"/>
      <c r="I3087" s="9"/>
      <c r="J3087" s="10">
        <f t="shared" ref="J3087:M3087" si="1895">ifs(OR($H3087="R",$I3087="N"),"N/A",OR(C3087="A",C3087="B",C3087="C",C3087="U"),3,TRUE,"FLAG")</f>
        <v>3</v>
      </c>
      <c r="K3087" s="10">
        <f t="shared" si="1895"/>
        <v>3</v>
      </c>
      <c r="L3087" s="10">
        <f t="shared" si="1895"/>
        <v>3</v>
      </c>
      <c r="M3087" s="10" t="str">
        <f t="shared" si="1895"/>
        <v>FLAG</v>
      </c>
      <c r="N3087" s="10" t="str">
        <f t="shared" si="2"/>
        <v>32-1002(a)(1) - Wildlife Parks &amp; Tourism; Unauthorized hunting, fishing, fur harvesting or taking any wildlife in this state</v>
      </c>
      <c r="O3087" s="10" t="str">
        <f t="shared" si="3"/>
        <v>Wildlife Parks &amp; Tourism</v>
      </c>
    </row>
    <row r="3088">
      <c r="A3088" s="7" t="s">
        <v>5514</v>
      </c>
      <c r="B3088" s="8" t="s">
        <v>5515</v>
      </c>
      <c r="C3088" s="8" t="s">
        <v>19</v>
      </c>
      <c r="D3088" s="8" t="s">
        <v>19</v>
      </c>
      <c r="E3088" s="8" t="s">
        <v>19</v>
      </c>
      <c r="F3088" s="8" t="s">
        <v>20</v>
      </c>
      <c r="G3088" s="8" t="s">
        <v>21</v>
      </c>
      <c r="H3088" s="9"/>
      <c r="I3088" s="9"/>
      <c r="J3088" s="10">
        <f t="shared" ref="J3088:M3088" si="1896">ifs(OR($H3088="R",$I3088="N"),"N/A",OR(C3088="A",C3088="B",C3088="C",C3088="U"),3,TRUE,"FLAG")</f>
        <v>3</v>
      </c>
      <c r="K3088" s="10">
        <f t="shared" si="1896"/>
        <v>3</v>
      </c>
      <c r="L3088" s="10">
        <f t="shared" si="1896"/>
        <v>3</v>
      </c>
      <c r="M3088" s="10" t="str">
        <f t="shared" si="1896"/>
        <v>FLAG</v>
      </c>
      <c r="N3088" s="10" t="str">
        <f t="shared" si="2"/>
        <v>32-1002(a)(5) - Wildlife Parks &amp; Tourism; Unauthorized possession of any seine, trammel net, hoop net, fyke net, fish gig, fish spear, fish trap or other device, contrivance or material for the purpose of taking wildlife</v>
      </c>
      <c r="O3088" s="10" t="str">
        <f t="shared" si="3"/>
        <v>Wildlife Parks &amp; Tourism</v>
      </c>
    </row>
    <row r="3089">
      <c r="A3089" s="7" t="s">
        <v>5516</v>
      </c>
      <c r="B3089" s="8" t="s">
        <v>5517</v>
      </c>
      <c r="C3089" s="8" t="s">
        <v>19</v>
      </c>
      <c r="D3089" s="8" t="s">
        <v>19</v>
      </c>
      <c r="E3089" s="8" t="s">
        <v>19</v>
      </c>
      <c r="F3089" s="8" t="s">
        <v>20</v>
      </c>
      <c r="G3089" s="8" t="s">
        <v>21</v>
      </c>
      <c r="H3089" s="9"/>
      <c r="I3089" s="9"/>
      <c r="J3089" s="10">
        <f t="shared" ref="J3089:M3089" si="1897">ifs(OR($H3089="R",$I3089="N"),"N/A",OR(C3089="A",C3089="B",C3089="C",C3089="U"),3,TRUE,"FLAG")</f>
        <v>3</v>
      </c>
      <c r="K3089" s="10">
        <f t="shared" si="1897"/>
        <v>3</v>
      </c>
      <c r="L3089" s="10">
        <f t="shared" si="1897"/>
        <v>3</v>
      </c>
      <c r="M3089" s="10" t="str">
        <f t="shared" si="1897"/>
        <v>FLAG</v>
      </c>
      <c r="N3089" s="10" t="str">
        <f t="shared" si="2"/>
        <v>32-1002(a)(2) - Wildlife Parks &amp; Tourism; Unauthorized possession of, any wildlife, dead or alive, at any time or in any number, in this state</v>
      </c>
      <c r="O3089" s="10" t="str">
        <f t="shared" si="3"/>
        <v>Wildlife Parks &amp; Tourism</v>
      </c>
    </row>
    <row r="3090">
      <c r="A3090" s="7" t="s">
        <v>5518</v>
      </c>
      <c r="B3090" s="8" t="s">
        <v>5519</v>
      </c>
      <c r="C3090" s="8" t="s">
        <v>19</v>
      </c>
      <c r="D3090" s="8" t="s">
        <v>19</v>
      </c>
      <c r="E3090" s="8" t="s">
        <v>19</v>
      </c>
      <c r="F3090" s="8" t="s">
        <v>20</v>
      </c>
      <c r="G3090" s="8" t="s">
        <v>21</v>
      </c>
      <c r="H3090" s="9"/>
      <c r="I3090" s="9"/>
      <c r="J3090" s="10">
        <f t="shared" ref="J3090:M3090" si="1898">ifs(OR($H3090="R",$I3090="N"),"N/A",OR(C3090="A",C3090="B",C3090="C",C3090="U"),3,TRUE,"FLAG")</f>
        <v>3</v>
      </c>
      <c r="K3090" s="10">
        <f t="shared" si="1898"/>
        <v>3</v>
      </c>
      <c r="L3090" s="10">
        <f t="shared" si="1898"/>
        <v>3</v>
      </c>
      <c r="M3090" s="10" t="str">
        <f t="shared" si="1898"/>
        <v>FLAG</v>
      </c>
      <c r="N3090" s="10" t="str">
        <f t="shared" si="2"/>
        <v>32-1002(a)(3) - Wildlife Parks &amp; Tourism; Unauthorized purchase, sell, exchange, ship or offer for sale, exchange or shipment any wildlife in this state</v>
      </c>
      <c r="O3090" s="10" t="str">
        <f t="shared" si="3"/>
        <v>Wildlife Parks &amp; Tourism</v>
      </c>
    </row>
    <row r="3091">
      <c r="A3091" s="7" t="s">
        <v>5520</v>
      </c>
      <c r="B3091" s="8" t="s">
        <v>5521</v>
      </c>
      <c r="C3091" s="8" t="s">
        <v>19</v>
      </c>
      <c r="D3091" s="8" t="s">
        <v>19</v>
      </c>
      <c r="E3091" s="8" t="s">
        <v>19</v>
      </c>
      <c r="F3091" s="8" t="s">
        <v>20</v>
      </c>
      <c r="G3091" s="8" t="s">
        <v>21</v>
      </c>
      <c r="H3091" s="9"/>
      <c r="I3091" s="9"/>
      <c r="J3091" s="10">
        <f t="shared" ref="J3091:M3091" si="1899">ifs(OR($H3091="R",$I3091="N"),"N/A",OR(C3091="A",C3091="B",C3091="C",C3091="U"),3,TRUE,"FLAG")</f>
        <v>3</v>
      </c>
      <c r="K3091" s="10">
        <f t="shared" si="1899"/>
        <v>3</v>
      </c>
      <c r="L3091" s="10">
        <f t="shared" si="1899"/>
        <v>3</v>
      </c>
      <c r="M3091" s="10" t="str">
        <f t="shared" si="1899"/>
        <v>FLAG</v>
      </c>
      <c r="N3091" s="10" t="str">
        <f t="shared" si="2"/>
        <v>32-1002(a)(4) - Wildlife Parks &amp; Tourism; Unauthorized taking of any wildlife in this state for sale, exchange or other commercial purposes</v>
      </c>
      <c r="O3091" s="10" t="str">
        <f t="shared" si="3"/>
        <v>Wildlife Parks &amp; Tourism</v>
      </c>
    </row>
    <row r="3092">
      <c r="A3092" s="7" t="s">
        <v>5522</v>
      </c>
      <c r="B3092" s="8" t="s">
        <v>5523</v>
      </c>
      <c r="C3092" s="8" t="s">
        <v>19</v>
      </c>
      <c r="D3092" s="8" t="s">
        <v>19</v>
      </c>
      <c r="E3092" s="8" t="s">
        <v>19</v>
      </c>
      <c r="F3092" s="8" t="s">
        <v>20</v>
      </c>
      <c r="G3092" s="8" t="s">
        <v>21</v>
      </c>
      <c r="H3092" s="9"/>
      <c r="I3092" s="9"/>
      <c r="J3092" s="10">
        <f t="shared" ref="J3092:M3092" si="1900">ifs(OR($H3092="R",$I3092="N"),"N/A",OR(C3092="A",C3092="B",C3092="C",C3092="U"),3,TRUE,"FLAG")</f>
        <v>3</v>
      </c>
      <c r="K3092" s="10">
        <f t="shared" si="1900"/>
        <v>3</v>
      </c>
      <c r="L3092" s="10">
        <f t="shared" si="1900"/>
        <v>3</v>
      </c>
      <c r="M3092" s="10" t="str">
        <f t="shared" si="1900"/>
        <v>FLAG</v>
      </c>
      <c r="N3092" s="10" t="str">
        <f t="shared" si="2"/>
        <v>32-1002(a)(6) - Wildlife Parks &amp; Tourism; Unauthorized taking or using, at any time or in any manner, any game bird, game animal, coyote or furbearing animal, whether pen-raised or wild, in any field trial or for training dogs</v>
      </c>
      <c r="O3092" s="10" t="str">
        <f t="shared" si="3"/>
        <v>Wildlife Parks &amp; Tourism</v>
      </c>
    </row>
    <row r="3093">
      <c r="A3093" s="7" t="s">
        <v>5524</v>
      </c>
      <c r="B3093" s="8" t="s">
        <v>5525</v>
      </c>
      <c r="C3093" s="8" t="s">
        <v>19</v>
      </c>
      <c r="D3093" s="8" t="s">
        <v>19</v>
      </c>
      <c r="E3093" s="8" t="s">
        <v>19</v>
      </c>
      <c r="F3093" s="8" t="s">
        <v>20</v>
      </c>
      <c r="G3093" s="8" t="s">
        <v>21</v>
      </c>
      <c r="H3093" s="9"/>
      <c r="I3093" s="9"/>
      <c r="J3093" s="10">
        <f t="shared" ref="J3093:M3093" si="1901">ifs(OR($H3093="R",$I3093="N"),"N/A",OR(C3093="A",C3093="B",C3093="C",C3093="U"),3,TRUE,"FLAG")</f>
        <v>3</v>
      </c>
      <c r="K3093" s="10">
        <f t="shared" si="1901"/>
        <v>3</v>
      </c>
      <c r="L3093" s="10">
        <f t="shared" si="1901"/>
        <v>3</v>
      </c>
      <c r="M3093" s="10" t="str">
        <f t="shared" si="1901"/>
        <v>FLAG</v>
      </c>
      <c r="N3093" s="10" t="str">
        <f t="shared" si="2"/>
        <v>32-1003(a)(4) - Wildlife Parks &amp; Tourism; Unauthorized use of poison, poisonous gas, smoke or ferrets, or any smoke gun or other device for forcing smoke or any other asphyxiating or deadly gas or liquid into the holes, dens, runways or houses of wildlife</v>
      </c>
      <c r="O3093" s="10" t="str">
        <f t="shared" si="3"/>
        <v>Wildlife Parks &amp; Tourism</v>
      </c>
    </row>
    <row r="3094">
      <c r="A3094" s="7" t="s">
        <v>5526</v>
      </c>
      <c r="B3094" s="8" t="s">
        <v>5527</v>
      </c>
      <c r="C3094" s="8" t="s">
        <v>19</v>
      </c>
      <c r="D3094" s="8" t="s">
        <v>19</v>
      </c>
      <c r="E3094" s="8" t="s">
        <v>19</v>
      </c>
      <c r="F3094" s="8" t="s">
        <v>20</v>
      </c>
      <c r="G3094" s="8" t="s">
        <v>21</v>
      </c>
      <c r="H3094" s="9"/>
      <c r="I3094" s="9"/>
      <c r="J3094" s="10">
        <f t="shared" ref="J3094:M3094" si="1902">ifs(OR($H3094="R",$I3094="N"),"N/A",OR(C3094="A",C3094="B",C3094="C",C3094="U"),3,TRUE,"FLAG")</f>
        <v>3</v>
      </c>
      <c r="K3094" s="10">
        <f t="shared" si="1902"/>
        <v>3</v>
      </c>
      <c r="L3094" s="10">
        <f t="shared" si="1902"/>
        <v>3</v>
      </c>
      <c r="M3094" s="10" t="str">
        <f t="shared" si="1902"/>
        <v>FLAG</v>
      </c>
      <c r="N3094" s="10" t="str">
        <f t="shared" si="2"/>
        <v>32-1003(a)(3) - Wildlife Parks &amp; Tourism; Unauthorized use of sodium fluoroacetate, commonly called formula 1080</v>
      </c>
      <c r="O3094" s="10" t="str">
        <f t="shared" si="3"/>
        <v>Wildlife Parks &amp; Tourism</v>
      </c>
    </row>
    <row r="3095">
      <c r="A3095" s="7" t="s">
        <v>5528</v>
      </c>
      <c r="B3095" s="8" t="s">
        <v>5529</v>
      </c>
      <c r="C3095" s="8" t="s">
        <v>19</v>
      </c>
      <c r="D3095" s="8" t="s">
        <v>19</v>
      </c>
      <c r="E3095" s="8" t="s">
        <v>19</v>
      </c>
      <c r="F3095" s="8" t="s">
        <v>20</v>
      </c>
      <c r="G3095" s="8" t="s">
        <v>21</v>
      </c>
      <c r="H3095" s="9"/>
      <c r="I3095" s="9"/>
      <c r="J3095" s="10">
        <f t="shared" ref="J3095:M3095" si="1903">ifs(OR($H3095="R",$I3095="N"),"N/A",OR(C3095="A",C3095="B",C3095="C",C3095="U"),3,TRUE,"FLAG")</f>
        <v>3</v>
      </c>
      <c r="K3095" s="10">
        <f t="shared" si="1903"/>
        <v>3</v>
      </c>
      <c r="L3095" s="10">
        <f t="shared" si="1903"/>
        <v>3</v>
      </c>
      <c r="M3095" s="10" t="str">
        <f t="shared" si="1903"/>
        <v>FLAG</v>
      </c>
      <c r="N3095" s="10" t="str">
        <f t="shared" si="2"/>
        <v>32-1010 - Wildlife Parks &amp; Tourism; Unlawful taking of a threatened species</v>
      </c>
      <c r="O3095" s="10" t="str">
        <f t="shared" si="3"/>
        <v>Wildlife Parks &amp; Tourism</v>
      </c>
    </row>
    <row r="3096">
      <c r="A3096" s="7" t="s">
        <v>5530</v>
      </c>
      <c r="B3096" s="8" t="s">
        <v>5531</v>
      </c>
      <c r="C3096" s="8" t="s">
        <v>19</v>
      </c>
      <c r="D3096" s="8" t="s">
        <v>19</v>
      </c>
      <c r="E3096" s="8" t="s">
        <v>19</v>
      </c>
      <c r="F3096" s="8" t="s">
        <v>20</v>
      </c>
      <c r="G3096" s="8" t="s">
        <v>21</v>
      </c>
      <c r="H3096" s="9"/>
      <c r="I3096" s="9"/>
      <c r="J3096" s="10">
        <f t="shared" ref="J3096:M3096" si="1904">ifs(OR($H3096="R",$I3096="N"),"N/A",OR(C3096="A",C3096="B",C3096="C",C3096="U"),3,TRUE,"FLAG")</f>
        <v>3</v>
      </c>
      <c r="K3096" s="10">
        <f t="shared" si="1904"/>
        <v>3</v>
      </c>
      <c r="L3096" s="10">
        <f t="shared" si="1904"/>
        <v>3</v>
      </c>
      <c r="M3096" s="10" t="str">
        <f t="shared" si="1904"/>
        <v>FLAG</v>
      </c>
      <c r="N3096" s="10" t="str">
        <f t="shared" si="2"/>
        <v>32-1011 - Wildlife Parks &amp; Tourism; Unlawful taking of an endangered species</v>
      </c>
      <c r="O3096" s="10" t="str">
        <f t="shared" si="3"/>
        <v>Wildlife Parks &amp; Tourism</v>
      </c>
    </row>
    <row r="3097">
      <c r="A3097" s="7" t="s">
        <v>5532</v>
      </c>
      <c r="B3097" s="8" t="s">
        <v>5533</v>
      </c>
      <c r="C3097" s="8" t="s">
        <v>19</v>
      </c>
      <c r="D3097" s="8" t="s">
        <v>19</v>
      </c>
      <c r="E3097" s="8" t="s">
        <v>19</v>
      </c>
      <c r="F3097" s="8" t="s">
        <v>20</v>
      </c>
      <c r="G3097" s="8" t="s">
        <v>21</v>
      </c>
      <c r="H3097" s="9"/>
      <c r="I3097" s="9"/>
      <c r="J3097" s="10">
        <f t="shared" ref="J3097:M3097" si="1905">ifs(OR($H3097="R",$I3097="N"),"N/A",OR(C3097="A",C3097="B",C3097="C",C3097="U"),3,TRUE,"FLAG")</f>
        <v>3</v>
      </c>
      <c r="K3097" s="10">
        <f t="shared" si="1905"/>
        <v>3</v>
      </c>
      <c r="L3097" s="10">
        <f t="shared" si="1905"/>
        <v>3</v>
      </c>
      <c r="M3097" s="10" t="str">
        <f t="shared" si="1905"/>
        <v>FLAG</v>
      </c>
      <c r="N3097" s="10" t="str">
        <f t="shared" si="2"/>
        <v>32-1006(b) - Wildlife Parks &amp; Tourism; Unlawful taking of coyotes, moles, gophers</v>
      </c>
      <c r="O3097" s="10" t="str">
        <f t="shared" si="3"/>
        <v>Wildlife Parks &amp; Tourism</v>
      </c>
    </row>
    <row r="3098">
      <c r="A3098" s="7" t="s">
        <v>5534</v>
      </c>
      <c r="B3098" s="8" t="s">
        <v>5535</v>
      </c>
      <c r="C3098" s="8" t="s">
        <v>27</v>
      </c>
      <c r="D3098" s="8" t="s">
        <v>28</v>
      </c>
      <c r="E3098" s="8" t="s">
        <v>19</v>
      </c>
      <c r="F3098" s="8" t="s">
        <v>20</v>
      </c>
      <c r="G3098" s="8" t="s">
        <v>21</v>
      </c>
      <c r="H3098" s="9"/>
      <c r="I3098" s="9"/>
      <c r="J3098" s="10">
        <f t="shared" ref="J3098:M3098" si="1906">ifs(OR($H3098="R",$I3098="N"),"N/A",OR(C3098="A",C3098="B",C3098="C",C3098="U"),3,TRUE,"FLAG")</f>
        <v>3</v>
      </c>
      <c r="K3098" s="10">
        <f t="shared" si="1906"/>
        <v>3</v>
      </c>
      <c r="L3098" s="10">
        <f t="shared" si="1906"/>
        <v>3</v>
      </c>
      <c r="M3098" s="10" t="str">
        <f t="shared" si="1906"/>
        <v>FLAG</v>
      </c>
      <c r="N3098" s="10" t="str">
        <f t="shared" si="2"/>
        <v>32-1033 - Wildlife Parks &amp; Tourism; Unlawful taking of endangered species</v>
      </c>
      <c r="O3098" s="10" t="str">
        <f t="shared" si="3"/>
        <v>Wildlife Parks &amp; Tourism</v>
      </c>
    </row>
    <row r="3099">
      <c r="A3099" s="7" t="s">
        <v>5536</v>
      </c>
      <c r="B3099" s="8" t="s">
        <v>5537</v>
      </c>
      <c r="C3099" s="8" t="s">
        <v>19</v>
      </c>
      <c r="D3099" s="8" t="s">
        <v>19</v>
      </c>
      <c r="E3099" s="8" t="s">
        <v>19</v>
      </c>
      <c r="F3099" s="8" t="s">
        <v>20</v>
      </c>
      <c r="G3099" s="8" t="s">
        <v>21</v>
      </c>
      <c r="H3099" s="9"/>
      <c r="I3099" s="9"/>
      <c r="J3099" s="10">
        <f t="shared" ref="J3099:M3099" si="1907">ifs(OR($H3099="R",$I3099="N"),"N/A",OR(C3099="A",C3099="B",C3099="C",C3099="U"),3,TRUE,"FLAG")</f>
        <v>3</v>
      </c>
      <c r="K3099" s="10">
        <f t="shared" si="1907"/>
        <v>3</v>
      </c>
      <c r="L3099" s="10">
        <f t="shared" si="1907"/>
        <v>3</v>
      </c>
      <c r="M3099" s="10" t="str">
        <f t="shared" si="1907"/>
        <v>FLAG</v>
      </c>
      <c r="N3099" s="10" t="str">
        <f t="shared" si="2"/>
        <v>32-1015(a)(4) - Wildlife Parks &amp; Tourism; Use any manner or means of taking fish which may escape from a private water fishing impoundment and kill or endanger fish in another such impoundment or in public waters</v>
      </c>
      <c r="O3099" s="10" t="str">
        <f t="shared" si="3"/>
        <v>Wildlife Parks &amp; Tourism</v>
      </c>
    </row>
    <row r="3100">
      <c r="A3100" s="7" t="s">
        <v>5538</v>
      </c>
      <c r="B3100" s="8" t="s">
        <v>5539</v>
      </c>
      <c r="C3100" s="8" t="s">
        <v>27</v>
      </c>
      <c r="D3100" s="8" t="s">
        <v>28</v>
      </c>
      <c r="E3100" s="8" t="s">
        <v>19</v>
      </c>
      <c r="F3100" s="8" t="s">
        <v>20</v>
      </c>
      <c r="G3100" s="8" t="s">
        <v>21</v>
      </c>
      <c r="H3100" s="9"/>
      <c r="I3100" s="9"/>
      <c r="J3100" s="10">
        <f t="shared" ref="J3100:M3100" si="1908">ifs(OR($H3100="R",$I3100="N"),"N/A",OR(C3100="A",C3100="B",C3100="C",C3100="U"),3,TRUE,"FLAG")</f>
        <v>3</v>
      </c>
      <c r="K3100" s="10">
        <f t="shared" si="1908"/>
        <v>3</v>
      </c>
      <c r="L3100" s="10">
        <f t="shared" si="1908"/>
        <v>3</v>
      </c>
      <c r="M3100" s="10" t="str">
        <f t="shared" si="1908"/>
        <v>FLAG</v>
      </c>
      <c r="N3100" s="10" t="str">
        <f t="shared" si="2"/>
        <v>32-1063(a) - Wildlife Violator Compact; Knowingly hunt, fish, trap, possess, or transport wildlife in violation of Act</v>
      </c>
      <c r="O3100" s="10" t="str">
        <f t="shared" si="3"/>
        <v>Wildlife Violator Compact</v>
      </c>
    </row>
    <row r="3101">
      <c r="A3101" s="7" t="s">
        <v>5540</v>
      </c>
      <c r="B3101" s="8" t="s">
        <v>5541</v>
      </c>
      <c r="C3101" s="8" t="s">
        <v>27</v>
      </c>
      <c r="D3101" s="8" t="s">
        <v>28</v>
      </c>
      <c r="E3101" s="8" t="s">
        <v>19</v>
      </c>
      <c r="F3101" s="8" t="s">
        <v>20</v>
      </c>
      <c r="G3101" s="8" t="s">
        <v>21</v>
      </c>
      <c r="H3101" s="9"/>
      <c r="I3101" s="9"/>
      <c r="J3101" s="10">
        <f t="shared" ref="J3101:M3101" si="1909">ifs(OR($H3101="R",$I3101="N"),"N/A",OR(C3101="A",C3101="B",C3101="C",C3101="U"),3,TRUE,"FLAG")</f>
        <v>3</v>
      </c>
      <c r="K3101" s="10">
        <f t="shared" si="1909"/>
        <v>3</v>
      </c>
      <c r="L3101" s="10">
        <f t="shared" si="1909"/>
        <v>3</v>
      </c>
      <c r="M3101" s="10" t="str">
        <f t="shared" si="1909"/>
        <v>FLAG</v>
      </c>
      <c r="N3101" s="10" t="str">
        <f t="shared" si="2"/>
        <v>32-1063(b) - Wildlife Violator Compact; Knowingly purchase or possess a license to fish, trap, hunt possess or transport wildlife in violation of Act</v>
      </c>
      <c r="O3101" s="10" t="str">
        <f t="shared" si="3"/>
        <v>Wildlife Violator Compact</v>
      </c>
    </row>
    <row r="3102">
      <c r="A3102" s="7" t="s">
        <v>5542</v>
      </c>
      <c r="B3102" s="8" t="s">
        <v>5543</v>
      </c>
      <c r="C3102" s="8" t="s">
        <v>18</v>
      </c>
      <c r="D3102" s="8" t="s">
        <v>18</v>
      </c>
      <c r="E3102" s="8" t="s">
        <v>19</v>
      </c>
      <c r="F3102" s="8" t="s">
        <v>20</v>
      </c>
      <c r="G3102" s="8" t="s">
        <v>21</v>
      </c>
      <c r="H3102" s="9"/>
      <c r="I3102" s="9"/>
      <c r="J3102" s="10">
        <f t="shared" ref="J3102:M3102" si="1910">ifs(OR($H3102="R",$I3102="N"),"N/A",OR(C3102="A",C3102="B",C3102="C",C3102="U"),3,TRUE,"FLAG")</f>
        <v>3</v>
      </c>
      <c r="K3102" s="10">
        <f t="shared" si="1910"/>
        <v>3</v>
      </c>
      <c r="L3102" s="10">
        <f t="shared" si="1910"/>
        <v>3</v>
      </c>
      <c r="M3102" s="10" t="str">
        <f t="shared" si="1910"/>
        <v>FLAG</v>
      </c>
      <c r="N3102" s="10" t="str">
        <f t="shared" si="2"/>
        <v>60-1208(a) - Witnesses; Disobey subpoena, or refuse to answer any proper question propounded by the attorney general, assistant attorney general, or county attorney, at inquiry</v>
      </c>
      <c r="O3102" s="10" t="str">
        <f t="shared" si="3"/>
        <v>Witnesses</v>
      </c>
    </row>
    <row r="3103">
      <c r="A3103" s="7" t="s">
        <v>5544</v>
      </c>
      <c r="B3103" s="8" t="s">
        <v>5545</v>
      </c>
      <c r="C3103" s="8" t="s">
        <v>27</v>
      </c>
      <c r="D3103" s="8" t="s">
        <v>28</v>
      </c>
      <c r="E3103" s="8" t="s">
        <v>19</v>
      </c>
      <c r="F3103" s="8" t="s">
        <v>20</v>
      </c>
      <c r="G3103" s="8" t="s">
        <v>21</v>
      </c>
      <c r="H3103" s="9"/>
      <c r="I3103" s="9"/>
      <c r="J3103" s="10">
        <f t="shared" ref="J3103:M3103" si="1911">ifs(OR($H3103="R",$I3103="N"),"N/A",OR(C3103="A",C3103="B",C3103="C",C3103="U"),3,TRUE,"FLAG")</f>
        <v>3</v>
      </c>
      <c r="K3103" s="10">
        <f t="shared" si="1911"/>
        <v>3</v>
      </c>
      <c r="L3103" s="10">
        <f t="shared" si="1911"/>
        <v>3</v>
      </c>
      <c r="M3103" s="10" t="str">
        <f t="shared" si="1911"/>
        <v>FLAG</v>
      </c>
      <c r="N3103" s="10" t="str">
        <f t="shared" si="2"/>
        <v>44-5,125(a)(1)(i) - Worker's Comp. Fraud; Amount received as a benefit, less than $1,000</v>
      </c>
      <c r="O3103" s="10" t="str">
        <f t="shared" si="3"/>
        <v>Worker's Comp. Fraud</v>
      </c>
    </row>
    <row r="3104">
      <c r="A3104" s="7" t="s">
        <v>5546</v>
      </c>
      <c r="B3104" s="8" t="s">
        <v>5547</v>
      </c>
      <c r="C3104" s="8">
        <v>9.0</v>
      </c>
      <c r="D3104" s="8">
        <v>10.0</v>
      </c>
      <c r="E3104" s="8">
        <v>10.0</v>
      </c>
      <c r="F3104" s="8">
        <v>10.0</v>
      </c>
      <c r="G3104" s="8" t="s">
        <v>21</v>
      </c>
      <c r="H3104" s="9"/>
      <c r="I3104" s="9"/>
      <c r="N3104" s="10" t="str">
        <f t="shared" si="2"/>
        <v>44-5,125(a)(1)(E) - Worker's Comp. Fraud; Attempt to Gain Benefits; conspire with another person to commit any act described by paragraph (1) of this subsection (a); $1,000 to $25,000</v>
      </c>
      <c r="O3104" s="10" t="str">
        <f t="shared" si="3"/>
        <v>Worker's Comp. Fraud</v>
      </c>
    </row>
    <row r="3105">
      <c r="A3105" s="7" t="s">
        <v>5548</v>
      </c>
      <c r="B3105" s="8" t="s">
        <v>5547</v>
      </c>
      <c r="C3105" s="8">
        <v>5.0</v>
      </c>
      <c r="D3105" s="8">
        <v>7.0</v>
      </c>
      <c r="E3105" s="8">
        <v>7.0</v>
      </c>
      <c r="F3105" s="8">
        <v>8.0</v>
      </c>
      <c r="G3105" s="8" t="s">
        <v>21</v>
      </c>
      <c r="H3105" s="9"/>
      <c r="I3105" s="9"/>
      <c r="N3105" s="10" t="str">
        <f t="shared" si="2"/>
        <v>44-5,125(a)(1)(E) - Worker's Comp. Fraud; Attempt to Gain Benefits; conspire with another person to commit any act described by paragraph (1) of this subsection (a); $100,000 or more</v>
      </c>
      <c r="O3105" s="10" t="str">
        <f t="shared" si="3"/>
        <v>Worker's Comp. Fraud</v>
      </c>
    </row>
    <row r="3106">
      <c r="A3106" s="7" t="s">
        <v>5549</v>
      </c>
      <c r="B3106" s="8" t="s">
        <v>5547</v>
      </c>
      <c r="C3106" s="8">
        <v>7.0</v>
      </c>
      <c r="D3106" s="8">
        <v>9.0</v>
      </c>
      <c r="E3106" s="8">
        <v>9.0</v>
      </c>
      <c r="F3106" s="8">
        <v>10.0</v>
      </c>
      <c r="G3106" s="8" t="s">
        <v>21</v>
      </c>
      <c r="H3106" s="9"/>
      <c r="I3106" s="9"/>
      <c r="N3106" s="10" t="str">
        <f t="shared" si="2"/>
        <v>44-5,125(a)(1)(E) - Worker's Comp. Fraud; Attempt to Gain Benefits; conspire with another person to commit any act described by paragraph (1) of this subsection (a); $25,000 to $50,000</v>
      </c>
      <c r="O3106" s="10" t="str">
        <f t="shared" si="3"/>
        <v>Worker's Comp. Fraud</v>
      </c>
    </row>
    <row r="3107">
      <c r="A3107" s="7" t="s">
        <v>5550</v>
      </c>
      <c r="B3107" s="8" t="s">
        <v>5547</v>
      </c>
      <c r="C3107" s="8">
        <v>6.0</v>
      </c>
      <c r="D3107" s="8">
        <v>8.0</v>
      </c>
      <c r="E3107" s="8">
        <v>8.0</v>
      </c>
      <c r="F3107" s="8">
        <v>9.0</v>
      </c>
      <c r="G3107" s="8" t="s">
        <v>21</v>
      </c>
      <c r="H3107" s="9"/>
      <c r="I3107" s="9"/>
      <c r="N3107" s="10" t="str">
        <f t="shared" si="2"/>
        <v>44-5,125(a)(1)(E) - Worker's Comp. Fraud; Attempt to Gain Benefits; conspire with another person to commit any act described by paragraph (1) of this subsection (a); $50,000 to $100,000</v>
      </c>
      <c r="O3107" s="10" t="str">
        <f t="shared" si="3"/>
        <v>Worker's Comp. Fraud</v>
      </c>
    </row>
    <row r="3108">
      <c r="A3108" s="7" t="s">
        <v>5551</v>
      </c>
      <c r="B3108" s="8" t="s">
        <v>5552</v>
      </c>
      <c r="C3108" s="8">
        <v>5.0</v>
      </c>
      <c r="D3108" s="8">
        <v>7.0</v>
      </c>
      <c r="E3108" s="8">
        <v>7.0</v>
      </c>
      <c r="F3108" s="8">
        <v>8.0</v>
      </c>
      <c r="G3108" s="8" t="s">
        <v>21</v>
      </c>
      <c r="H3108" s="9"/>
      <c r="I3108" s="9"/>
      <c r="N3108" s="10" t="str">
        <f t="shared" si="2"/>
        <v>44-5,125(a)(1)(C) - Worker's Comp. Fraud; Attempt to Gain Benefits; fabricate, alter, conceal or destroy a document; $100,000 or more</v>
      </c>
      <c r="O3108" s="10" t="str">
        <f t="shared" si="3"/>
        <v>Worker's Comp. Fraud</v>
      </c>
    </row>
    <row r="3109">
      <c r="A3109" s="7" t="s">
        <v>5553</v>
      </c>
      <c r="B3109" s="8" t="s">
        <v>5552</v>
      </c>
      <c r="C3109" s="8">
        <v>9.0</v>
      </c>
      <c r="D3109" s="8">
        <v>10.0</v>
      </c>
      <c r="E3109" s="8">
        <v>10.0</v>
      </c>
      <c r="F3109" s="8">
        <v>10.0</v>
      </c>
      <c r="G3109" s="8" t="s">
        <v>21</v>
      </c>
      <c r="H3109" s="9"/>
      <c r="I3109" s="9"/>
      <c r="N3109" s="10" t="str">
        <f t="shared" si="2"/>
        <v>44-5,125(a)(1)(C) - Worker's Comp. Fraud; Attempt to Gain Benefits; fabricate, alter, conceal or destroy a document; $1000 to $25,000</v>
      </c>
      <c r="O3109" s="10" t="str">
        <f t="shared" si="3"/>
        <v>Worker's Comp. Fraud</v>
      </c>
    </row>
    <row r="3110">
      <c r="A3110" s="7" t="s">
        <v>5554</v>
      </c>
      <c r="B3110" s="8" t="s">
        <v>5552</v>
      </c>
      <c r="C3110" s="8">
        <v>7.0</v>
      </c>
      <c r="D3110" s="8">
        <v>9.0</v>
      </c>
      <c r="E3110" s="8">
        <v>9.0</v>
      </c>
      <c r="F3110" s="8">
        <v>10.0</v>
      </c>
      <c r="G3110" s="8" t="s">
        <v>21</v>
      </c>
      <c r="H3110" s="9"/>
      <c r="I3110" s="9"/>
      <c r="N3110" s="10" t="str">
        <f t="shared" si="2"/>
        <v>44-5,125(a)(1)(C) - Worker's Comp. Fraud; Attempt to Gain Benefits; fabricate, alter, conceal or destroy a document; $25,000 to $50,000</v>
      </c>
      <c r="O3110" s="10" t="str">
        <f t="shared" si="3"/>
        <v>Worker's Comp. Fraud</v>
      </c>
    </row>
    <row r="3111">
      <c r="A3111" s="7" t="s">
        <v>5555</v>
      </c>
      <c r="B3111" s="8" t="s">
        <v>5552</v>
      </c>
      <c r="C3111" s="8">
        <v>6.0</v>
      </c>
      <c r="D3111" s="8">
        <v>8.0</v>
      </c>
      <c r="E3111" s="8">
        <v>8.0</v>
      </c>
      <c r="F3111" s="8">
        <v>9.0</v>
      </c>
      <c r="G3111" s="8" t="s">
        <v>21</v>
      </c>
      <c r="H3111" s="9"/>
      <c r="I3111" s="9"/>
      <c r="N3111" s="10" t="str">
        <f t="shared" si="2"/>
        <v>44-5,125(a)(1)(C) - Worker's Comp. Fraud; Attempt to Gain Benefits; fabricate, alter, conceal or destroy a document; $50,000 to $100,000</v>
      </c>
      <c r="O3111" s="10" t="str">
        <f t="shared" si="3"/>
        <v>Worker's Comp. Fraud</v>
      </c>
    </row>
    <row r="3112">
      <c r="A3112" s="7" t="s">
        <v>5556</v>
      </c>
      <c r="B3112" s="8" t="s">
        <v>5557</v>
      </c>
      <c r="C3112" s="8">
        <v>9.0</v>
      </c>
      <c r="D3112" s="8">
        <v>10.0</v>
      </c>
      <c r="E3112" s="8">
        <v>10.0</v>
      </c>
      <c r="F3112" s="8">
        <v>10.0</v>
      </c>
      <c r="G3112" s="8" t="s">
        <v>21</v>
      </c>
      <c r="H3112" s="9"/>
      <c r="I3112" s="9"/>
      <c r="N3112" s="10" t="str">
        <f t="shared" si="2"/>
        <v>44-5,125(a)(1)(A) - Worker's Comp. Fraud; Attempt to Gain Benefits; false or misleading statement; $1,000 to $25,000</v>
      </c>
      <c r="O3112" s="10" t="str">
        <f t="shared" si="3"/>
        <v>Worker's Comp. Fraud</v>
      </c>
    </row>
    <row r="3113">
      <c r="A3113" s="7" t="s">
        <v>5558</v>
      </c>
      <c r="B3113" s="8" t="s">
        <v>5557</v>
      </c>
      <c r="C3113" s="8">
        <v>5.0</v>
      </c>
      <c r="D3113" s="8">
        <v>7.0</v>
      </c>
      <c r="E3113" s="8">
        <v>7.0</v>
      </c>
      <c r="F3113" s="8">
        <v>8.0</v>
      </c>
      <c r="G3113" s="8" t="s">
        <v>21</v>
      </c>
      <c r="H3113" s="9"/>
      <c r="I3113" s="9"/>
      <c r="N3113" s="10" t="str">
        <f t="shared" si="2"/>
        <v>44-5,125(a)(1)(A) - Worker's Comp. Fraud; Attempt to Gain Benefits; false or misleading statement; $100,000 or more</v>
      </c>
      <c r="O3113" s="10" t="str">
        <f t="shared" si="3"/>
        <v>Worker's Comp. Fraud</v>
      </c>
    </row>
    <row r="3114">
      <c r="A3114" s="7" t="s">
        <v>5559</v>
      </c>
      <c r="B3114" s="8" t="s">
        <v>5557</v>
      </c>
      <c r="C3114" s="8">
        <v>7.0</v>
      </c>
      <c r="D3114" s="8">
        <v>9.0</v>
      </c>
      <c r="E3114" s="8">
        <v>9.0</v>
      </c>
      <c r="F3114" s="8">
        <v>10.0</v>
      </c>
      <c r="G3114" s="8" t="s">
        <v>21</v>
      </c>
      <c r="H3114" s="9"/>
      <c r="I3114" s="9"/>
      <c r="N3114" s="10" t="str">
        <f t="shared" si="2"/>
        <v>44-5,125(a)(1)(A) - Worker's Comp. Fraud; Attempt to Gain Benefits; false or misleading statement; $25,000 to $50,000</v>
      </c>
      <c r="O3114" s="10" t="str">
        <f t="shared" si="3"/>
        <v>Worker's Comp. Fraud</v>
      </c>
    </row>
    <row r="3115">
      <c r="A3115" s="7" t="s">
        <v>5560</v>
      </c>
      <c r="B3115" s="8" t="s">
        <v>5557</v>
      </c>
      <c r="C3115" s="8">
        <v>6.0</v>
      </c>
      <c r="D3115" s="8">
        <v>8.0</v>
      </c>
      <c r="E3115" s="8">
        <v>8.0</v>
      </c>
      <c r="F3115" s="8">
        <v>9.0</v>
      </c>
      <c r="G3115" s="8" t="s">
        <v>21</v>
      </c>
      <c r="H3115" s="9"/>
      <c r="I3115" s="9"/>
      <c r="N3115" s="10" t="str">
        <f t="shared" si="2"/>
        <v>44-5,125(a)(1)(A) - Worker's Comp. Fraud; Attempt to Gain Benefits; false or misleading statement; $50,000 to $100,000</v>
      </c>
      <c r="O3115" s="10" t="str">
        <f t="shared" si="3"/>
        <v>Worker's Comp. Fraud</v>
      </c>
    </row>
    <row r="3116">
      <c r="A3116" s="7" t="s">
        <v>5561</v>
      </c>
      <c r="B3116" s="8" t="s">
        <v>5562</v>
      </c>
      <c r="C3116" s="8">
        <v>9.0</v>
      </c>
      <c r="D3116" s="8">
        <v>10.0</v>
      </c>
      <c r="E3116" s="8">
        <v>10.0</v>
      </c>
      <c r="F3116" s="8">
        <v>10.0</v>
      </c>
      <c r="G3116" s="8" t="s">
        <v>21</v>
      </c>
      <c r="H3116" s="9"/>
      <c r="I3116" s="9"/>
      <c r="N3116" s="10" t="str">
        <f t="shared" si="2"/>
        <v>44-5,125(a)(1)(B) - Worker's Comp. Fraud; Attempt to Gain Benefits; misrepresent/conceal a material fact; $1,000 to $25,000</v>
      </c>
      <c r="O3116" s="10" t="str">
        <f t="shared" si="3"/>
        <v>Worker's Comp. Fraud</v>
      </c>
    </row>
    <row r="3117">
      <c r="A3117" s="7" t="s">
        <v>5563</v>
      </c>
      <c r="B3117" s="8" t="s">
        <v>5562</v>
      </c>
      <c r="C3117" s="8">
        <v>5.0</v>
      </c>
      <c r="D3117" s="8">
        <v>7.0</v>
      </c>
      <c r="E3117" s="8">
        <v>7.0</v>
      </c>
      <c r="F3117" s="8">
        <v>8.0</v>
      </c>
      <c r="G3117" s="8" t="s">
        <v>21</v>
      </c>
      <c r="H3117" s="9"/>
      <c r="I3117" s="9"/>
      <c r="N3117" s="10" t="str">
        <f t="shared" si="2"/>
        <v>44-5,125(a)(1)(B) - Worker's Comp. Fraud; Attempt to Gain Benefits; misrepresent/conceal a material fact; $100,000 or more</v>
      </c>
      <c r="O3117" s="10" t="str">
        <f t="shared" si="3"/>
        <v>Worker's Comp. Fraud</v>
      </c>
    </row>
    <row r="3118">
      <c r="A3118" s="7" t="s">
        <v>5564</v>
      </c>
      <c r="B3118" s="8" t="s">
        <v>5562</v>
      </c>
      <c r="C3118" s="8">
        <v>7.0</v>
      </c>
      <c r="D3118" s="8">
        <v>9.0</v>
      </c>
      <c r="E3118" s="8">
        <v>9.0</v>
      </c>
      <c r="F3118" s="8">
        <v>10.0</v>
      </c>
      <c r="G3118" s="8" t="s">
        <v>21</v>
      </c>
      <c r="H3118" s="9"/>
      <c r="I3118" s="9"/>
      <c r="N3118" s="10" t="str">
        <f t="shared" si="2"/>
        <v>44-5,125(a)(1)(B) - Worker's Comp. Fraud; Attempt to Gain Benefits; misrepresent/conceal a material fact; $25,000 to $50,000</v>
      </c>
      <c r="O3118" s="10" t="str">
        <f t="shared" si="3"/>
        <v>Worker's Comp. Fraud</v>
      </c>
    </row>
    <row r="3119">
      <c r="A3119" s="7" t="s">
        <v>5565</v>
      </c>
      <c r="B3119" s="8" t="s">
        <v>5562</v>
      </c>
      <c r="C3119" s="8">
        <v>6.0</v>
      </c>
      <c r="D3119" s="8">
        <v>8.0</v>
      </c>
      <c r="E3119" s="8">
        <v>8.0</v>
      </c>
      <c r="F3119" s="8">
        <v>9.0</v>
      </c>
      <c r="G3119" s="8" t="s">
        <v>21</v>
      </c>
      <c r="H3119" s="9"/>
      <c r="I3119" s="9"/>
      <c r="N3119" s="10" t="str">
        <f t="shared" si="2"/>
        <v>44-5,125(a)(1)(B) - Worker's Comp. Fraud; Attempt to Gain Benefits; misrepresent/conceal a material fact; $50,000 to $100,000</v>
      </c>
      <c r="O3119" s="10" t="str">
        <f t="shared" si="3"/>
        <v>Worker's Comp. Fraud</v>
      </c>
    </row>
    <row r="3120">
      <c r="A3120" s="7" t="s">
        <v>5566</v>
      </c>
      <c r="B3120" s="8" t="s">
        <v>5567</v>
      </c>
      <c r="C3120" s="8">
        <v>9.0</v>
      </c>
      <c r="D3120" s="8">
        <v>10.0</v>
      </c>
      <c r="E3120" s="8">
        <v>10.0</v>
      </c>
      <c r="F3120" s="8">
        <v>10.0</v>
      </c>
      <c r="G3120" s="8" t="s">
        <v>21</v>
      </c>
      <c r="H3120" s="9"/>
      <c r="I3120" s="9"/>
      <c r="N3120" s="10" t="str">
        <f t="shared" si="2"/>
        <v>44-5,125(a)(1)(D) - Worker's Comp. Fraud; Attempt to Gain Benefits; receive temporary total disability benefits or permanent total disability benefits, not entitled to, while employed; $1,000 to $25,000</v>
      </c>
      <c r="O3120" s="10" t="str">
        <f t="shared" si="3"/>
        <v>Worker's Comp. Fraud</v>
      </c>
    </row>
    <row r="3121">
      <c r="A3121" s="7" t="s">
        <v>5568</v>
      </c>
      <c r="B3121" s="8" t="s">
        <v>5567</v>
      </c>
      <c r="C3121" s="8">
        <v>5.0</v>
      </c>
      <c r="D3121" s="8">
        <v>7.0</v>
      </c>
      <c r="E3121" s="8">
        <v>7.0</v>
      </c>
      <c r="F3121" s="8">
        <v>8.0</v>
      </c>
      <c r="G3121" s="8" t="s">
        <v>21</v>
      </c>
      <c r="H3121" s="9"/>
      <c r="I3121" s="9"/>
      <c r="N3121" s="10" t="str">
        <f t="shared" si="2"/>
        <v>44-5,125(a)(1)(D) - Worker's Comp. Fraud; Attempt to Gain Benefits; receive temporary total disability benefits or permanent total disability benefits, not entitled to, while employed; $100,000 or more</v>
      </c>
      <c r="O3121" s="10" t="str">
        <f t="shared" si="3"/>
        <v>Worker's Comp. Fraud</v>
      </c>
      <c r="Q3121" s="11">
        <v>0.0</v>
      </c>
    </row>
    <row r="3122">
      <c r="A3122" s="7" t="s">
        <v>5569</v>
      </c>
      <c r="B3122" s="8" t="s">
        <v>5567</v>
      </c>
      <c r="C3122" s="8">
        <v>7.0</v>
      </c>
      <c r="D3122" s="8">
        <v>9.0</v>
      </c>
      <c r="E3122" s="8">
        <v>9.0</v>
      </c>
      <c r="F3122" s="8">
        <v>10.0</v>
      </c>
      <c r="G3122" s="8" t="s">
        <v>21</v>
      </c>
      <c r="H3122" s="9"/>
      <c r="I3122" s="9"/>
      <c r="N3122" s="10" t="str">
        <f t="shared" si="2"/>
        <v>44-5,125(a)(1)(D) - Worker's Comp. Fraud; Attempt to Gain Benefits; receive temporary total disability benefits or permanent total disability benefits, not entitled to, while employed; $25,000 to $50,000</v>
      </c>
      <c r="O3122" s="10" t="str">
        <f t="shared" si="3"/>
        <v>Worker's Comp. Fraud</v>
      </c>
    </row>
    <row r="3123">
      <c r="A3123" s="7" t="s">
        <v>5570</v>
      </c>
      <c r="B3123" s="8" t="s">
        <v>5567</v>
      </c>
      <c r="C3123" s="8">
        <v>6.0</v>
      </c>
      <c r="D3123" s="8">
        <v>8.0</v>
      </c>
      <c r="E3123" s="8">
        <v>8.0</v>
      </c>
      <c r="F3123" s="8">
        <v>9.0</v>
      </c>
      <c r="G3123" s="8" t="s">
        <v>21</v>
      </c>
      <c r="H3123" s="9"/>
      <c r="I3123" s="9"/>
      <c r="N3123" s="10" t="str">
        <f t="shared" si="2"/>
        <v>44-5,125(a)(1)(D) - Worker's Comp. Fraud; Attempt to Gain Benefits; receive temporary total disability benefits or permanent total disability benefits, not entitled to, while employed; $50,000 to $100,000</v>
      </c>
      <c r="O3123" s="10" t="str">
        <f t="shared" si="3"/>
        <v>Worker's Comp. Fraud</v>
      </c>
    </row>
    <row r="3124">
      <c r="A3124" s="7" t="s">
        <v>5571</v>
      </c>
      <c r="B3124" s="8" t="s">
        <v>5572</v>
      </c>
      <c r="C3124" s="8">
        <v>9.0</v>
      </c>
      <c r="D3124" s="8">
        <v>10.0</v>
      </c>
      <c r="E3124" s="8">
        <v>10.0</v>
      </c>
      <c r="F3124" s="8">
        <v>10.0</v>
      </c>
      <c r="G3124" s="8" t="s">
        <v>21</v>
      </c>
      <c r="H3124" s="9"/>
      <c r="I3124" s="9"/>
      <c r="N3124" s="10" t="str">
        <f t="shared" si="2"/>
        <v>44-5,125(d)(4) - Worker's Comp. Fraud; Attempt to Obtain Better Premium than Entitled; conspire with another person or persons to commit the acts described in clause (1), (2) or (3)</v>
      </c>
      <c r="O3124" s="10" t="str">
        <f t="shared" si="3"/>
        <v>Worker's Comp. Fraud</v>
      </c>
    </row>
    <row r="3125">
      <c r="A3125" s="7" t="s">
        <v>5573</v>
      </c>
      <c r="B3125" s="8" t="s">
        <v>5574</v>
      </c>
      <c r="C3125" s="8">
        <v>9.0</v>
      </c>
      <c r="D3125" s="8">
        <v>10.0</v>
      </c>
      <c r="E3125" s="8">
        <v>10.0</v>
      </c>
      <c r="F3125" s="8">
        <v>10.0</v>
      </c>
      <c r="G3125" s="8" t="s">
        <v>21</v>
      </c>
      <c r="H3125" s="9"/>
      <c r="I3125" s="9"/>
      <c r="N3125" s="10" t="str">
        <f t="shared" si="2"/>
        <v>44-5,125(d)(3) - Worker's Comp. Fraud; Attempt to Obtain Better Premium than Entitled; fabricate, conceal or destroy a document</v>
      </c>
      <c r="O3125" s="10" t="str">
        <f t="shared" si="3"/>
        <v>Worker's Comp. Fraud</v>
      </c>
    </row>
    <row r="3126">
      <c r="A3126" s="7" t="s">
        <v>5575</v>
      </c>
      <c r="B3126" s="8" t="s">
        <v>5576</v>
      </c>
      <c r="C3126" s="8">
        <v>9.0</v>
      </c>
      <c r="D3126" s="8">
        <v>10.0</v>
      </c>
      <c r="E3126" s="8">
        <v>10.0</v>
      </c>
      <c r="F3126" s="8">
        <v>10.0</v>
      </c>
      <c r="G3126" s="8" t="s">
        <v>21</v>
      </c>
      <c r="H3126" s="9"/>
      <c r="I3126" s="9"/>
      <c r="N3126" s="10" t="str">
        <f t="shared" si="2"/>
        <v>44-5,125(d)(1) - Worker's Comp. Fraud; Attempt to Obtain Better Premium than Entitled; false or misleading statement</v>
      </c>
      <c r="O3126" s="10" t="str">
        <f t="shared" si="3"/>
        <v>Worker's Comp. Fraud</v>
      </c>
    </row>
    <row r="3127">
      <c r="A3127" s="7" t="s">
        <v>5577</v>
      </c>
      <c r="B3127" s="8" t="s">
        <v>5578</v>
      </c>
      <c r="C3127" s="8">
        <v>9.0</v>
      </c>
      <c r="D3127" s="8">
        <v>10.0</v>
      </c>
      <c r="E3127" s="8">
        <v>10.0</v>
      </c>
      <c r="F3127" s="8">
        <v>10.0</v>
      </c>
      <c r="G3127" s="8" t="s">
        <v>21</v>
      </c>
      <c r="H3127" s="9"/>
      <c r="I3127" s="9"/>
      <c r="N3127" s="10" t="str">
        <f t="shared" si="2"/>
        <v>44-5,125(d)(2) - Worker's Comp. Fraud; Attempt to Obtain Better Premium than Entitled; misrepresent/conceal a material fact</v>
      </c>
      <c r="O3127" s="10" t="str">
        <f t="shared" si="3"/>
        <v>Worker's Comp. Fraud</v>
      </c>
    </row>
    <row r="3128">
      <c r="A3128" s="7" t="s">
        <v>5579</v>
      </c>
      <c r="B3128" s="8" t="s">
        <v>5580</v>
      </c>
      <c r="C3128" s="8">
        <v>9.0</v>
      </c>
      <c r="D3128" s="8">
        <v>10.0</v>
      </c>
      <c r="E3128" s="8">
        <v>10.0</v>
      </c>
      <c r="F3128" s="8">
        <v>10.0</v>
      </c>
      <c r="G3128" s="8" t="s">
        <v>21</v>
      </c>
      <c r="H3128" s="9"/>
      <c r="I3128" s="9"/>
      <c r="N3128" s="10" t="str">
        <f t="shared" si="2"/>
        <v>44-5,125(c) - Worker's Comp. Fraud; Health Care Worker; submit claim for care not provided</v>
      </c>
      <c r="O3128" s="10" t="str">
        <f t="shared" si="3"/>
        <v>Worker's Comp. Fraud</v>
      </c>
    </row>
    <row r="3129">
      <c r="A3129" s="7" t="s">
        <v>5581</v>
      </c>
      <c r="B3129" s="8" t="s">
        <v>5582</v>
      </c>
      <c r="C3129" s="8">
        <v>8.0</v>
      </c>
      <c r="D3129" s="8">
        <v>10.0</v>
      </c>
      <c r="E3129" s="8">
        <v>10.0</v>
      </c>
      <c r="F3129" s="8">
        <v>10.0</v>
      </c>
      <c r="G3129" s="8" t="s">
        <v>21</v>
      </c>
      <c r="H3129" s="9"/>
      <c r="I3129" s="9"/>
      <c r="N3129" s="10" t="str">
        <f t="shared" si="2"/>
        <v>44-5,125(b) - Worker's Comp. Fraud; Submit false claim that worker is covered by act</v>
      </c>
      <c r="O3129" s="10" t="str">
        <f t="shared" si="3"/>
        <v>Worker's Comp. Fraud</v>
      </c>
    </row>
    <row r="3130">
      <c r="A3130" s="7" t="s">
        <v>5583</v>
      </c>
      <c r="B3130" s="8" t="s">
        <v>5584</v>
      </c>
      <c r="C3130" s="8" t="s">
        <v>27</v>
      </c>
      <c r="D3130" s="8" t="s">
        <v>28</v>
      </c>
      <c r="E3130" s="8" t="s">
        <v>19</v>
      </c>
      <c r="F3130" s="8" t="s">
        <v>20</v>
      </c>
      <c r="G3130" s="8" t="s">
        <v>21</v>
      </c>
      <c r="H3130" s="9"/>
      <c r="I3130" s="9"/>
      <c r="J3130" s="10">
        <f t="shared" ref="J3130:M3130" si="1912">ifs(OR($H3130="R",$I3130="N"),"N/A",OR(C3130="A",C3130="B",C3130="C",C3130="U"),3,TRUE,"FLAG")</f>
        <v>3</v>
      </c>
      <c r="K3130" s="10">
        <f t="shared" si="1912"/>
        <v>3</v>
      </c>
      <c r="L3130" s="10">
        <f t="shared" si="1912"/>
        <v>3</v>
      </c>
      <c r="M3130" s="10" t="str">
        <f t="shared" si="1912"/>
        <v>FLAG</v>
      </c>
      <c r="N3130" s="10" t="str">
        <f t="shared" si="2"/>
        <v>44-532(b) - Worker's Compensation; Knowing and intentional failure of an employer to secure the payment of workers compensation to the employer's employees as required</v>
      </c>
      <c r="O3130" s="10" t="str">
        <f t="shared" si="3"/>
        <v>Worker's Compensation</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8.5"/>
    <col customWidth="1" min="2" max="2" width="11.88"/>
    <col customWidth="1" min="3" max="4" width="6.75"/>
    <col customWidth="1" min="5" max="5" width="9.0"/>
    <col customWidth="1" min="6" max="6" width="12.0"/>
    <col customWidth="1" min="7" max="7" width="11.5"/>
  </cols>
  <sheetData>
    <row r="1">
      <c r="A1" s="14" t="s">
        <v>0</v>
      </c>
      <c r="B1" s="15" t="s">
        <v>5585</v>
      </c>
      <c r="C1" s="15" t="s">
        <v>7</v>
      </c>
      <c r="D1" s="15" t="s">
        <v>9</v>
      </c>
      <c r="E1" s="15" t="s">
        <v>10</v>
      </c>
      <c r="F1" s="15" t="s">
        <v>11</v>
      </c>
      <c r="G1" s="15" t="s">
        <v>12</v>
      </c>
      <c r="H1" s="15" t="s">
        <v>5586</v>
      </c>
      <c r="I1" s="15" t="s">
        <v>5587</v>
      </c>
      <c r="J1" s="15" t="s">
        <v>3</v>
      </c>
      <c r="K1" s="15" t="s">
        <v>4</v>
      </c>
      <c r="L1" s="15" t="s">
        <v>5</v>
      </c>
      <c r="M1" s="15" t="s">
        <v>6</v>
      </c>
      <c r="N1" s="15" t="s">
        <v>7</v>
      </c>
      <c r="O1" s="15" t="s">
        <v>8</v>
      </c>
      <c r="P1" s="16"/>
      <c r="Q1" s="16"/>
      <c r="R1" s="16"/>
      <c r="S1" s="16"/>
      <c r="T1" s="16"/>
      <c r="U1" s="16"/>
      <c r="V1" s="16"/>
      <c r="W1" s="16"/>
      <c r="X1" s="16"/>
      <c r="Y1" s="16"/>
      <c r="Z1" s="16"/>
      <c r="AA1" s="16"/>
      <c r="AB1" s="16"/>
      <c r="AC1" s="16"/>
      <c r="AD1" s="16"/>
      <c r="AE1" s="16"/>
    </row>
    <row r="2">
      <c r="A2" s="11" t="s">
        <v>5588</v>
      </c>
      <c r="B2" s="8"/>
      <c r="C2" s="8"/>
      <c r="D2" s="8">
        <v>3.0</v>
      </c>
      <c r="E2" s="8">
        <v>3.0</v>
      </c>
      <c r="F2" s="8">
        <v>3.0</v>
      </c>
      <c r="G2" s="8">
        <v>3.0</v>
      </c>
      <c r="H2" s="8" t="s">
        <v>18</v>
      </c>
      <c r="I2" s="8" t="s">
        <v>18</v>
      </c>
      <c r="J2" s="8" t="s">
        <v>18</v>
      </c>
      <c r="K2" s="8" t="s">
        <v>19</v>
      </c>
      <c r="L2" s="8" t="s">
        <v>20</v>
      </c>
      <c r="M2" s="8" t="s">
        <v>21</v>
      </c>
      <c r="N2" s="9"/>
      <c r="O2" s="9"/>
    </row>
    <row r="3">
      <c r="A3" s="11" t="s">
        <v>5589</v>
      </c>
      <c r="B3" s="8"/>
      <c r="C3" s="8"/>
      <c r="D3" s="8">
        <v>3.0</v>
      </c>
      <c r="E3" s="8">
        <v>3.0</v>
      </c>
      <c r="F3" s="8">
        <v>3.0</v>
      </c>
      <c r="G3" s="8">
        <v>3.0</v>
      </c>
      <c r="H3" s="8">
        <v>8.0</v>
      </c>
      <c r="I3" s="8">
        <v>8.0</v>
      </c>
      <c r="J3" s="8">
        <v>10.0</v>
      </c>
      <c r="K3" s="8">
        <v>10.0</v>
      </c>
      <c r="L3" s="8">
        <v>10.0</v>
      </c>
      <c r="M3" s="8" t="s">
        <v>24</v>
      </c>
      <c r="N3" s="9"/>
      <c r="O3" s="9"/>
    </row>
    <row r="4">
      <c r="A4" s="11" t="s">
        <v>5590</v>
      </c>
      <c r="B4" s="8"/>
      <c r="C4" s="8"/>
      <c r="D4" s="8">
        <v>3.0</v>
      </c>
      <c r="E4" s="8">
        <v>3.0</v>
      </c>
      <c r="F4" s="8">
        <v>3.0</v>
      </c>
      <c r="G4" s="8">
        <v>3.0</v>
      </c>
      <c r="H4" s="17" t="s">
        <v>27</v>
      </c>
      <c r="I4" s="8" t="s">
        <v>27</v>
      </c>
      <c r="J4" s="8" t="s">
        <v>28</v>
      </c>
      <c r="K4" s="8" t="s">
        <v>19</v>
      </c>
      <c r="L4" s="8" t="s">
        <v>20</v>
      </c>
      <c r="M4" s="8" t="s">
        <v>24</v>
      </c>
      <c r="N4" s="9"/>
      <c r="O4" s="9"/>
    </row>
    <row r="5">
      <c r="A5" s="11" t="s">
        <v>5591</v>
      </c>
      <c r="B5" s="8" t="s">
        <v>54</v>
      </c>
      <c r="C5" s="8"/>
      <c r="D5" s="8"/>
      <c r="E5" s="8"/>
      <c r="F5" s="8"/>
      <c r="G5" s="8"/>
      <c r="H5" s="8">
        <v>8.0</v>
      </c>
      <c r="I5" s="8">
        <v>10.0</v>
      </c>
      <c r="J5" s="8">
        <v>10.0</v>
      </c>
      <c r="K5" s="8">
        <v>10.0</v>
      </c>
      <c r="L5" s="8">
        <v>10.0</v>
      </c>
      <c r="M5" s="8" t="s">
        <v>24</v>
      </c>
      <c r="N5" s="9"/>
      <c r="O5" s="9"/>
    </row>
    <row r="6">
      <c r="A6" s="11" t="s">
        <v>5592</v>
      </c>
      <c r="B6" s="8"/>
      <c r="C6" s="8"/>
      <c r="D6" s="8">
        <v>3.0</v>
      </c>
      <c r="E6" s="8">
        <v>3.0</v>
      </c>
      <c r="F6" s="8">
        <v>3.0</v>
      </c>
      <c r="G6" s="8">
        <v>3.0</v>
      </c>
      <c r="H6" s="9"/>
      <c r="I6" s="9"/>
      <c r="J6" s="9"/>
      <c r="K6" s="9"/>
      <c r="L6" s="9"/>
      <c r="M6" s="9"/>
      <c r="N6" s="9"/>
      <c r="O6" s="9"/>
    </row>
    <row r="7">
      <c r="A7" s="11" t="s">
        <v>5593</v>
      </c>
      <c r="B7" s="8"/>
      <c r="C7" s="8"/>
      <c r="D7" s="8">
        <v>3.0</v>
      </c>
      <c r="E7" s="8">
        <v>3.0</v>
      </c>
      <c r="F7" s="8">
        <v>3.0</v>
      </c>
      <c r="G7" s="8">
        <v>3.0</v>
      </c>
      <c r="H7" s="9"/>
      <c r="I7" s="9"/>
      <c r="J7" s="9"/>
      <c r="K7" s="9"/>
      <c r="L7" s="9"/>
      <c r="M7" s="9"/>
      <c r="N7" s="9"/>
      <c r="O7" s="9"/>
    </row>
    <row r="8">
      <c r="A8" s="11" t="s">
        <v>5594</v>
      </c>
      <c r="B8" s="8"/>
      <c r="C8" s="8"/>
      <c r="D8" s="8">
        <v>3.0</v>
      </c>
      <c r="E8" s="8">
        <v>3.0</v>
      </c>
      <c r="F8" s="8">
        <v>3.0</v>
      </c>
      <c r="G8" s="8">
        <v>3.0</v>
      </c>
      <c r="H8" s="8">
        <v>5.0</v>
      </c>
      <c r="I8" s="8">
        <v>5.0</v>
      </c>
      <c r="J8" s="8">
        <v>7.0</v>
      </c>
      <c r="K8" s="8">
        <v>7.0</v>
      </c>
      <c r="L8" s="8">
        <v>8.0</v>
      </c>
      <c r="M8" s="8" t="s">
        <v>24</v>
      </c>
      <c r="N8" s="9"/>
      <c r="O8" s="8" t="s">
        <v>54</v>
      </c>
    </row>
    <row r="9">
      <c r="A9" s="11" t="s">
        <v>5595</v>
      </c>
      <c r="B9" s="8"/>
      <c r="C9" s="8"/>
      <c r="D9" s="8">
        <v>3.0</v>
      </c>
      <c r="E9" s="8">
        <v>3.0</v>
      </c>
      <c r="F9" s="8">
        <v>3.0</v>
      </c>
      <c r="G9" s="8">
        <v>3.0</v>
      </c>
      <c r="H9" s="9"/>
      <c r="I9" s="9"/>
      <c r="J9" s="9"/>
      <c r="K9" s="9"/>
      <c r="L9" s="9"/>
      <c r="M9" s="9"/>
      <c r="N9" s="9"/>
      <c r="O9" s="9"/>
    </row>
    <row r="10">
      <c r="A10" s="11" t="s">
        <v>5596</v>
      </c>
      <c r="B10" s="8"/>
      <c r="C10" s="8" t="s">
        <v>133</v>
      </c>
      <c r="D10" s="9"/>
      <c r="E10" s="9"/>
      <c r="F10" s="9"/>
      <c r="G10" s="9"/>
      <c r="H10" s="9"/>
      <c r="I10" s="9"/>
      <c r="J10" s="9"/>
      <c r="K10" s="9"/>
      <c r="L10" s="9"/>
      <c r="M10" s="9"/>
      <c r="N10" s="9"/>
      <c r="O10" s="9"/>
    </row>
    <row r="11">
      <c r="A11" s="11" t="s">
        <v>5597</v>
      </c>
      <c r="B11" s="8"/>
      <c r="C11" s="9"/>
      <c r="D11" s="8">
        <v>5.0</v>
      </c>
      <c r="E11" s="8">
        <v>3.0</v>
      </c>
      <c r="F11" s="8">
        <v>3.0</v>
      </c>
      <c r="G11" s="8">
        <v>3.0</v>
      </c>
      <c r="H11" s="9"/>
      <c r="I11" s="9"/>
      <c r="J11" s="9"/>
      <c r="K11" s="9"/>
      <c r="L11" s="9"/>
      <c r="M11" s="9"/>
      <c r="N11" s="9"/>
      <c r="O11" s="9"/>
    </row>
    <row r="12">
      <c r="A12" s="11" t="s">
        <v>5598</v>
      </c>
      <c r="B12" s="8"/>
      <c r="C12" s="9"/>
      <c r="D12" s="11">
        <v>3.0</v>
      </c>
      <c r="H12" s="9"/>
      <c r="I12" s="9"/>
      <c r="J12" s="9"/>
      <c r="K12" s="9"/>
      <c r="L12" s="9"/>
      <c r="M12" s="9"/>
      <c r="N12" s="9"/>
      <c r="O12" s="9"/>
    </row>
    <row r="13">
      <c r="A13" s="11" t="s">
        <v>5599</v>
      </c>
      <c r="B13" s="8"/>
      <c r="C13" s="9"/>
      <c r="D13" s="8">
        <v>5.0</v>
      </c>
      <c r="E13" s="8">
        <v>5.0</v>
      </c>
      <c r="F13" s="8">
        <v>5.0</v>
      </c>
      <c r="G13" s="8">
        <v>3.0</v>
      </c>
      <c r="H13" s="9"/>
      <c r="I13" s="9"/>
      <c r="J13" s="9"/>
      <c r="K13" s="9"/>
      <c r="L13" s="9"/>
      <c r="M13" s="9"/>
      <c r="N13" s="9"/>
      <c r="O13" s="9"/>
    </row>
    <row r="14">
      <c r="A14" s="11" t="s">
        <v>5600</v>
      </c>
      <c r="B14" s="8"/>
      <c r="C14" s="9"/>
      <c r="D14" s="8">
        <v>3.0</v>
      </c>
      <c r="E14" s="9"/>
      <c r="F14" s="9"/>
      <c r="G14" s="9"/>
      <c r="H14" s="9"/>
      <c r="I14" s="9"/>
      <c r="J14" s="9"/>
      <c r="K14" s="9"/>
      <c r="L14" s="9"/>
      <c r="M14" s="9"/>
      <c r="N14" s="9"/>
      <c r="O14" s="9"/>
    </row>
    <row r="15">
      <c r="A15" s="18" t="s">
        <v>5601</v>
      </c>
      <c r="B15" s="8"/>
      <c r="D15" s="11">
        <v>5.0</v>
      </c>
      <c r="E15" s="11">
        <v>5.0</v>
      </c>
      <c r="F15" s="11">
        <v>5.0</v>
      </c>
      <c r="G15" s="8">
        <v>3.0</v>
      </c>
      <c r="H15" s="9"/>
      <c r="I15" s="9"/>
      <c r="J15" s="9"/>
      <c r="K15" s="9"/>
      <c r="L15" s="9"/>
      <c r="M15" s="9"/>
      <c r="N15" s="9"/>
      <c r="O15" s="9"/>
    </row>
    <row r="16">
      <c r="A16" s="18" t="s">
        <v>5602</v>
      </c>
      <c r="B16" s="8"/>
      <c r="C16" s="9"/>
      <c r="D16" s="11">
        <v>5.0</v>
      </c>
      <c r="E16" s="11">
        <v>5.0</v>
      </c>
      <c r="F16" s="11">
        <v>5.0</v>
      </c>
      <c r="G16" s="8">
        <v>3.0</v>
      </c>
      <c r="H16" s="9"/>
      <c r="I16" s="9"/>
      <c r="J16" s="9"/>
      <c r="K16" s="9"/>
      <c r="L16" s="9"/>
      <c r="M16" s="9"/>
      <c r="N16" s="9"/>
      <c r="O16" s="9"/>
    </row>
    <row r="17">
      <c r="A17" s="18" t="s">
        <v>5603</v>
      </c>
      <c r="B17" s="8"/>
      <c r="C17" s="9"/>
      <c r="D17" s="11">
        <v>5.0</v>
      </c>
      <c r="E17" s="8">
        <v>3.0</v>
      </c>
      <c r="F17" s="8">
        <v>3.0</v>
      </c>
      <c r="G17" s="8">
        <v>3.0</v>
      </c>
      <c r="H17" s="9"/>
      <c r="I17" s="9"/>
      <c r="J17" s="9"/>
      <c r="K17" s="9"/>
      <c r="L17" s="9"/>
      <c r="M17" s="9"/>
      <c r="N17" s="9"/>
      <c r="O17" s="9"/>
    </row>
    <row r="18">
      <c r="A18" s="18" t="s">
        <v>5604</v>
      </c>
      <c r="B18" s="8"/>
      <c r="C18" s="9"/>
      <c r="D18" s="11">
        <v>5.0</v>
      </c>
      <c r="E18" s="8">
        <v>3.0</v>
      </c>
      <c r="F18" s="8">
        <v>3.0</v>
      </c>
      <c r="G18" s="8">
        <v>3.0</v>
      </c>
      <c r="H18" s="9"/>
      <c r="I18" s="9"/>
      <c r="J18" s="9"/>
      <c r="K18" s="9"/>
      <c r="L18" s="9"/>
      <c r="M18" s="9"/>
      <c r="N18" s="9"/>
      <c r="O18" s="9"/>
    </row>
    <row r="19">
      <c r="A19" s="18" t="s">
        <v>5605</v>
      </c>
      <c r="B19" s="8"/>
      <c r="C19" s="9"/>
      <c r="D19" s="11">
        <v>5.0</v>
      </c>
      <c r="E19" s="8">
        <v>3.0</v>
      </c>
      <c r="F19" s="8">
        <v>3.0</v>
      </c>
      <c r="G19" s="8">
        <v>3.0</v>
      </c>
      <c r="H19" s="9"/>
      <c r="I19" s="9"/>
      <c r="J19" s="9"/>
      <c r="K19" s="9"/>
      <c r="L19" s="9"/>
      <c r="M19" s="9"/>
      <c r="N19" s="9"/>
      <c r="O19" s="9"/>
    </row>
    <row r="20">
      <c r="A20" s="18" t="s">
        <v>5606</v>
      </c>
      <c r="B20" s="8"/>
      <c r="C20" s="9"/>
      <c r="D20" s="8">
        <v>5.0</v>
      </c>
      <c r="E20" s="8">
        <v>3.0</v>
      </c>
      <c r="F20" s="8">
        <v>3.0</v>
      </c>
      <c r="G20" s="8">
        <v>3.0</v>
      </c>
      <c r="H20" s="9"/>
      <c r="I20" s="9"/>
      <c r="J20" s="9"/>
      <c r="K20" s="9"/>
      <c r="L20" s="9"/>
      <c r="M20" s="9"/>
      <c r="N20" s="9"/>
      <c r="O20" s="9"/>
    </row>
    <row r="21">
      <c r="A21" s="18" t="s">
        <v>5607</v>
      </c>
      <c r="B21" s="8"/>
      <c r="C21" s="9"/>
      <c r="D21" s="8">
        <v>3.0</v>
      </c>
      <c r="E21" s="8">
        <v>3.0</v>
      </c>
      <c r="F21" s="8">
        <v>3.0</v>
      </c>
      <c r="G21" s="8">
        <v>3.0</v>
      </c>
      <c r="H21" s="9"/>
      <c r="I21" s="9"/>
      <c r="J21" s="9"/>
      <c r="K21" s="9"/>
      <c r="L21" s="9"/>
      <c r="M21" s="9"/>
      <c r="N21" s="9"/>
      <c r="O21" s="9"/>
    </row>
    <row r="22">
      <c r="A22" s="11" t="s">
        <v>5608</v>
      </c>
      <c r="B22" s="8"/>
      <c r="C22" s="9"/>
      <c r="D22" s="8">
        <v>5.0</v>
      </c>
      <c r="E22" s="8">
        <v>3.0</v>
      </c>
      <c r="F22" s="8">
        <v>3.0</v>
      </c>
      <c r="G22" s="8">
        <v>3.0</v>
      </c>
      <c r="H22" s="9"/>
      <c r="I22" s="9"/>
      <c r="J22" s="9"/>
      <c r="K22" s="9"/>
      <c r="L22" s="9"/>
      <c r="M22" s="9"/>
      <c r="N22" s="9"/>
      <c r="O22" s="9"/>
    </row>
    <row r="23">
      <c r="A23" s="11" t="s">
        <v>5609</v>
      </c>
      <c r="B23" s="8"/>
      <c r="C23" s="9"/>
      <c r="D23" s="8">
        <v>3.0</v>
      </c>
      <c r="E23" s="9"/>
      <c r="F23" s="9"/>
      <c r="G23" s="9"/>
      <c r="H23" s="9"/>
      <c r="I23" s="9"/>
      <c r="J23" s="9"/>
      <c r="K23" s="9"/>
      <c r="L23" s="9"/>
      <c r="M23" s="9"/>
      <c r="N23" s="9"/>
      <c r="O23" s="9"/>
    </row>
    <row r="24">
      <c r="A24" s="11" t="s">
        <v>5610</v>
      </c>
      <c r="B24" s="8" t="s">
        <v>54</v>
      </c>
      <c r="C24" s="9"/>
      <c r="E24" s="9"/>
      <c r="F24" s="9"/>
      <c r="G24" s="9"/>
      <c r="H24" s="9"/>
      <c r="I24" s="9"/>
      <c r="J24" s="9"/>
      <c r="K24" s="9"/>
      <c r="L24" s="9"/>
      <c r="M24" s="9"/>
      <c r="N24" s="9"/>
      <c r="O24" s="9"/>
    </row>
    <row r="25">
      <c r="A25" s="11" t="s">
        <v>5611</v>
      </c>
      <c r="B25" s="8"/>
      <c r="C25" s="9"/>
      <c r="D25" s="8">
        <v>5.0</v>
      </c>
      <c r="E25" s="8">
        <v>3.0</v>
      </c>
      <c r="F25" s="8">
        <v>3.0</v>
      </c>
      <c r="G25" s="8">
        <v>3.0</v>
      </c>
      <c r="H25" s="9"/>
      <c r="I25" s="9"/>
      <c r="J25" s="9"/>
      <c r="K25" s="9"/>
      <c r="L25" s="9"/>
      <c r="M25" s="9"/>
      <c r="N25" s="9"/>
      <c r="O25" s="9"/>
    </row>
    <row r="26">
      <c r="A26" s="11" t="s">
        <v>5612</v>
      </c>
      <c r="B26" s="8" t="s">
        <v>54</v>
      </c>
      <c r="C26" s="9"/>
      <c r="E26" s="9"/>
      <c r="F26" s="9"/>
      <c r="G26" s="9"/>
      <c r="H26" s="9"/>
      <c r="I26" s="9"/>
      <c r="J26" s="9"/>
      <c r="K26" s="9"/>
      <c r="L26" s="9"/>
      <c r="M26" s="9"/>
      <c r="N26" s="9"/>
      <c r="O26" s="9"/>
    </row>
    <row r="27">
      <c r="A27" s="11" t="s">
        <v>5613</v>
      </c>
      <c r="B27" s="8"/>
      <c r="C27" s="9"/>
      <c r="D27" s="17">
        <v>5.0</v>
      </c>
      <c r="E27" s="17">
        <v>5.0</v>
      </c>
      <c r="F27" s="17">
        <v>5.0</v>
      </c>
      <c r="G27" s="17">
        <v>3.0</v>
      </c>
      <c r="H27" s="9"/>
      <c r="I27" s="9"/>
      <c r="J27" s="9"/>
      <c r="K27" s="9"/>
      <c r="L27" s="9"/>
      <c r="M27" s="9"/>
      <c r="N27" s="9"/>
      <c r="O27" s="9"/>
    </row>
    <row r="28">
      <c r="A28" s="19" t="s">
        <v>5614</v>
      </c>
      <c r="B28" s="8"/>
      <c r="C28" s="9"/>
      <c r="D28" s="17">
        <v>3.0</v>
      </c>
      <c r="E28" s="9"/>
      <c r="F28" s="9"/>
      <c r="G28" s="9"/>
      <c r="H28" s="9"/>
      <c r="I28" s="9"/>
      <c r="J28" s="9"/>
      <c r="K28" s="9"/>
      <c r="L28" s="9"/>
      <c r="M28" s="9"/>
      <c r="N28" s="9"/>
      <c r="O28" s="9"/>
    </row>
    <row r="29">
      <c r="A29" s="19" t="s">
        <v>5615</v>
      </c>
      <c r="B29" s="8"/>
      <c r="C29" s="9"/>
      <c r="D29" s="17">
        <v>5.0</v>
      </c>
      <c r="E29" s="17">
        <v>3.0</v>
      </c>
      <c r="F29" s="17">
        <v>3.0</v>
      </c>
      <c r="G29" s="17">
        <v>3.0</v>
      </c>
      <c r="H29" s="9"/>
      <c r="I29" s="9"/>
      <c r="J29" s="9"/>
      <c r="K29" s="9"/>
      <c r="L29" s="9"/>
      <c r="M29" s="9"/>
      <c r="N29" s="9"/>
      <c r="O29" s="9"/>
    </row>
    <row r="30">
      <c r="A30" s="19" t="s">
        <v>5616</v>
      </c>
      <c r="B30" s="8"/>
      <c r="C30" s="9"/>
      <c r="D30" s="17">
        <v>5.0</v>
      </c>
      <c r="E30" s="17">
        <v>3.0</v>
      </c>
      <c r="F30" s="17">
        <v>3.0</v>
      </c>
      <c r="G30" s="17">
        <v>3.0</v>
      </c>
      <c r="H30" s="9"/>
      <c r="I30" s="9"/>
      <c r="J30" s="9"/>
      <c r="K30" s="9"/>
      <c r="L30" s="9"/>
      <c r="M30" s="9"/>
      <c r="N30" s="9"/>
      <c r="O30" s="9"/>
    </row>
    <row r="31">
      <c r="A31" s="11" t="s">
        <v>5617</v>
      </c>
      <c r="B31" s="8"/>
      <c r="C31" s="9"/>
      <c r="D31" s="8">
        <v>3.0</v>
      </c>
      <c r="E31" s="9"/>
      <c r="F31" s="9"/>
      <c r="G31" s="9"/>
      <c r="H31" s="9"/>
      <c r="I31" s="9"/>
      <c r="J31" s="9"/>
      <c r="K31" s="9"/>
      <c r="L31" s="9"/>
      <c r="M31" s="9"/>
      <c r="N31" s="9"/>
      <c r="O31" s="9"/>
    </row>
    <row r="32">
      <c r="A32" s="11" t="s">
        <v>5618</v>
      </c>
      <c r="B32" s="8"/>
      <c r="C32" s="9"/>
      <c r="D32" s="8">
        <v>3.0</v>
      </c>
      <c r="E32" s="9"/>
      <c r="F32" s="9"/>
      <c r="G32" s="9"/>
      <c r="H32" s="9"/>
      <c r="I32" s="9"/>
      <c r="J32" s="9"/>
      <c r="K32" s="9"/>
      <c r="L32" s="9"/>
      <c r="M32" s="9"/>
      <c r="N32" s="9"/>
      <c r="O32" s="9"/>
    </row>
    <row r="33">
      <c r="A33" s="11" t="s">
        <v>5619</v>
      </c>
      <c r="B33" s="8"/>
      <c r="C33" s="8" t="s">
        <v>133</v>
      </c>
      <c r="D33" s="11">
        <v>5.0</v>
      </c>
      <c r="E33" s="11">
        <v>5.0</v>
      </c>
      <c r="F33" s="11">
        <v>5.0</v>
      </c>
      <c r="G33" s="11">
        <v>5.0</v>
      </c>
      <c r="H33" s="9"/>
      <c r="I33" s="9"/>
      <c r="J33" s="9"/>
      <c r="K33" s="9"/>
      <c r="L33" s="9"/>
      <c r="M33" s="9"/>
      <c r="N33" s="9"/>
      <c r="O33" s="9"/>
    </row>
    <row r="34">
      <c r="A34" s="11" t="s">
        <v>5620</v>
      </c>
      <c r="B34" s="8" t="s">
        <v>54</v>
      </c>
      <c r="C34" s="9"/>
      <c r="D34" s="9"/>
      <c r="E34" s="9"/>
      <c r="F34" s="9"/>
      <c r="G34" s="9"/>
      <c r="H34" s="9"/>
      <c r="I34" s="9"/>
      <c r="J34" s="9"/>
      <c r="K34" s="9"/>
      <c r="L34" s="9"/>
      <c r="M34" s="9"/>
      <c r="N34" s="9"/>
      <c r="O34" s="9"/>
    </row>
    <row r="35">
      <c r="A35" s="11" t="s">
        <v>5621</v>
      </c>
      <c r="B35" s="8" t="s">
        <v>54</v>
      </c>
      <c r="C35" s="9"/>
      <c r="D35" s="9"/>
      <c r="E35" s="9"/>
      <c r="F35" s="9"/>
      <c r="G35" s="9"/>
      <c r="H35" s="9"/>
      <c r="I35" s="9"/>
      <c r="J35" s="9"/>
      <c r="K35" s="9"/>
      <c r="L35" s="9"/>
      <c r="M35" s="9"/>
      <c r="N35" s="9"/>
      <c r="O35" s="9"/>
    </row>
    <row r="36">
      <c r="A36" s="11" t="s">
        <v>5622</v>
      </c>
      <c r="B36" s="8" t="s">
        <v>54</v>
      </c>
      <c r="C36" s="9"/>
      <c r="D36" s="9"/>
      <c r="E36" s="9"/>
      <c r="F36" s="9"/>
      <c r="G36" s="9"/>
      <c r="H36" s="9"/>
      <c r="I36" s="9"/>
      <c r="J36" s="9"/>
      <c r="K36" s="9"/>
      <c r="L36" s="9"/>
      <c r="M36" s="9"/>
      <c r="N36" s="9"/>
      <c r="O36" s="9"/>
    </row>
    <row r="37">
      <c r="A37" s="11" t="s">
        <v>5623</v>
      </c>
      <c r="B37" s="8"/>
      <c r="C37" s="9"/>
      <c r="D37" s="8">
        <v>3.0</v>
      </c>
      <c r="E37" s="9"/>
      <c r="F37" s="9"/>
      <c r="G37" s="9"/>
      <c r="H37" s="9"/>
      <c r="I37" s="9"/>
      <c r="J37" s="9"/>
      <c r="K37" s="9"/>
      <c r="L37" s="9"/>
      <c r="M37" s="9"/>
      <c r="N37" s="9"/>
      <c r="O37" s="9"/>
    </row>
    <row r="38">
      <c r="A38" s="11" t="s">
        <v>5624</v>
      </c>
      <c r="B38" s="8"/>
      <c r="C38" s="9"/>
      <c r="D38" s="8">
        <v>3.0</v>
      </c>
      <c r="E38" s="9"/>
      <c r="F38" s="9"/>
      <c r="G38" s="9"/>
      <c r="H38" s="9"/>
      <c r="I38" s="9"/>
      <c r="J38" s="9"/>
      <c r="K38" s="9"/>
      <c r="L38" s="9"/>
      <c r="M38" s="9"/>
      <c r="N38" s="9"/>
      <c r="O38" s="9"/>
    </row>
    <row r="39">
      <c r="A39" s="11" t="s">
        <v>5625</v>
      </c>
      <c r="B39" s="8"/>
      <c r="C39" s="9"/>
      <c r="D39" s="8">
        <v>3.0</v>
      </c>
      <c r="E39" s="9"/>
      <c r="F39" s="9"/>
      <c r="G39" s="9"/>
      <c r="H39" s="9"/>
      <c r="I39" s="9"/>
      <c r="J39" s="9"/>
      <c r="K39" s="9"/>
      <c r="L39" s="9"/>
      <c r="M39" s="9"/>
      <c r="N39" s="9"/>
      <c r="O39" s="9"/>
    </row>
    <row r="40">
      <c r="A40" s="11" t="s">
        <v>5626</v>
      </c>
      <c r="B40" s="8"/>
      <c r="C40" s="8" t="s">
        <v>133</v>
      </c>
      <c r="D40" s="17">
        <v>5.0</v>
      </c>
      <c r="E40" s="17">
        <v>5.0</v>
      </c>
      <c r="F40" s="17">
        <v>5.0</v>
      </c>
      <c r="G40" s="17">
        <v>5.0</v>
      </c>
      <c r="H40" s="9"/>
      <c r="I40" s="9"/>
      <c r="J40" s="9"/>
      <c r="K40" s="9"/>
      <c r="L40" s="9"/>
      <c r="M40" s="9"/>
      <c r="N40" s="9"/>
      <c r="O40" s="9"/>
    </row>
    <row r="41">
      <c r="A41" s="11" t="s">
        <v>5627</v>
      </c>
      <c r="B41" s="8"/>
      <c r="C41" s="9"/>
      <c r="D41" s="17">
        <v>5.0</v>
      </c>
      <c r="E41" s="17">
        <v>5.0</v>
      </c>
      <c r="F41" s="17">
        <v>5.0</v>
      </c>
      <c r="G41" s="17">
        <v>3.0</v>
      </c>
      <c r="H41" s="9"/>
      <c r="I41" s="9"/>
      <c r="J41" s="9"/>
      <c r="K41" s="9"/>
      <c r="L41" s="9"/>
      <c r="M41" s="9"/>
      <c r="N41" s="9"/>
      <c r="O41" s="9"/>
    </row>
    <row r="42">
      <c r="A42" s="11" t="s">
        <v>5628</v>
      </c>
      <c r="B42" s="8" t="s">
        <v>54</v>
      </c>
      <c r="C42" s="9"/>
      <c r="D42" s="9"/>
      <c r="E42" s="9"/>
      <c r="F42" s="9"/>
      <c r="G42" s="9"/>
      <c r="H42" s="9"/>
      <c r="I42" s="9"/>
      <c r="J42" s="9"/>
      <c r="K42" s="9"/>
      <c r="L42" s="9"/>
      <c r="M42" s="9"/>
      <c r="N42" s="9"/>
      <c r="O42" s="9"/>
    </row>
    <row r="43">
      <c r="A43" s="11" t="s">
        <v>5629</v>
      </c>
      <c r="B43" s="8"/>
      <c r="C43" s="9"/>
      <c r="D43" s="8">
        <v>3.0</v>
      </c>
      <c r="E43" s="9"/>
      <c r="F43" s="9"/>
      <c r="G43" s="9"/>
      <c r="H43" s="9"/>
      <c r="I43" s="9"/>
      <c r="J43" s="9"/>
      <c r="K43" s="9"/>
      <c r="L43" s="9"/>
      <c r="M43" s="9"/>
      <c r="N43" s="9"/>
      <c r="O43" s="9"/>
    </row>
    <row r="44">
      <c r="A44" s="11" t="s">
        <v>5630</v>
      </c>
      <c r="B44" s="8"/>
      <c r="C44" s="9"/>
      <c r="D44" s="8">
        <v>3.0</v>
      </c>
      <c r="E44" s="9"/>
      <c r="F44" s="9"/>
      <c r="G44" s="9"/>
      <c r="H44" s="9"/>
      <c r="I44" s="9"/>
      <c r="J44" s="9"/>
      <c r="K44" s="9"/>
      <c r="L44" s="9"/>
      <c r="M44" s="9"/>
      <c r="N44" s="9"/>
      <c r="O44" s="9"/>
    </row>
    <row r="45">
      <c r="A45" s="11" t="s">
        <v>5631</v>
      </c>
      <c r="B45" s="8"/>
      <c r="C45" s="9"/>
      <c r="D45" s="8">
        <v>3.0</v>
      </c>
      <c r="E45" s="9"/>
      <c r="F45" s="9"/>
      <c r="G45" s="9"/>
      <c r="H45" s="9"/>
      <c r="I45" s="9"/>
      <c r="J45" s="9"/>
      <c r="K45" s="9"/>
      <c r="L45" s="9"/>
      <c r="M45" s="9"/>
      <c r="N45" s="9"/>
      <c r="O45" s="9"/>
    </row>
    <row r="46">
      <c r="A46" s="11" t="s">
        <v>5632</v>
      </c>
      <c r="B46" s="8"/>
      <c r="C46" s="9"/>
      <c r="D46" s="8">
        <v>3.0</v>
      </c>
      <c r="E46" s="9"/>
      <c r="F46" s="9"/>
      <c r="G46" s="9"/>
      <c r="H46" s="9"/>
      <c r="I46" s="9"/>
      <c r="J46" s="9"/>
      <c r="K46" s="9"/>
      <c r="L46" s="9"/>
      <c r="M46" s="9"/>
      <c r="N46" s="9"/>
      <c r="O46" s="9"/>
    </row>
    <row r="47">
      <c r="A47" s="11" t="s">
        <v>5633</v>
      </c>
      <c r="B47" s="8"/>
      <c r="C47" s="9"/>
      <c r="D47" s="8">
        <v>3.0</v>
      </c>
      <c r="E47" s="9"/>
      <c r="F47" s="9"/>
      <c r="G47" s="9"/>
      <c r="H47" s="9"/>
      <c r="I47" s="9"/>
      <c r="J47" s="9"/>
      <c r="K47" s="9"/>
      <c r="L47" s="9"/>
      <c r="M47" s="9"/>
      <c r="N47" s="9"/>
      <c r="O47" s="9"/>
    </row>
    <row r="48">
      <c r="A48" s="11" t="s">
        <v>5634</v>
      </c>
      <c r="B48" s="8"/>
      <c r="C48" s="9"/>
      <c r="D48" s="8">
        <v>3.0</v>
      </c>
      <c r="E48" s="9"/>
      <c r="F48" s="9"/>
      <c r="G48" s="9"/>
      <c r="H48" s="9"/>
      <c r="I48" s="9"/>
      <c r="J48" s="9"/>
      <c r="K48" s="9"/>
      <c r="L48" s="9"/>
      <c r="M48" s="9"/>
      <c r="N48" s="9"/>
      <c r="O48" s="9"/>
    </row>
    <row r="49">
      <c r="A49" s="11" t="s">
        <v>5635</v>
      </c>
      <c r="B49" s="8"/>
      <c r="C49" s="9"/>
      <c r="D49" s="8">
        <v>5.0</v>
      </c>
      <c r="E49" s="8">
        <v>3.0</v>
      </c>
      <c r="F49" s="8">
        <v>3.0</v>
      </c>
      <c r="G49" s="8">
        <v>3.0</v>
      </c>
      <c r="H49" s="9"/>
      <c r="I49" s="9"/>
      <c r="J49" s="9"/>
      <c r="K49" s="9"/>
      <c r="L49" s="9"/>
      <c r="M49" s="9"/>
      <c r="N49" s="9"/>
      <c r="O49" s="9"/>
    </row>
    <row r="50">
      <c r="A50" s="11" t="s">
        <v>5636</v>
      </c>
      <c r="B50" s="8"/>
      <c r="C50" s="9"/>
      <c r="D50" s="8">
        <v>3.0</v>
      </c>
      <c r="E50" s="9"/>
      <c r="F50" s="9"/>
      <c r="G50" s="9"/>
      <c r="H50" s="9"/>
      <c r="I50" s="9"/>
      <c r="J50" s="9"/>
      <c r="K50" s="9"/>
      <c r="L50" s="9"/>
      <c r="M50" s="9"/>
      <c r="N50" s="9"/>
      <c r="O50" s="9"/>
    </row>
    <row r="51">
      <c r="A51" s="11" t="s">
        <v>5637</v>
      </c>
      <c r="B51" s="8"/>
      <c r="C51" s="9"/>
      <c r="D51" s="8">
        <v>3.0</v>
      </c>
      <c r="E51" s="9"/>
      <c r="F51" s="9"/>
      <c r="G51" s="9"/>
      <c r="H51" s="9"/>
      <c r="I51" s="9"/>
      <c r="J51" s="9"/>
      <c r="K51" s="9"/>
      <c r="L51" s="9"/>
      <c r="M51" s="9"/>
      <c r="N51" s="9"/>
      <c r="O51" s="9"/>
    </row>
    <row r="52">
      <c r="A52" s="11" t="s">
        <v>5638</v>
      </c>
      <c r="B52" s="8"/>
      <c r="C52" s="9"/>
      <c r="D52" s="8">
        <v>3.0</v>
      </c>
      <c r="E52" s="9"/>
      <c r="F52" s="9"/>
      <c r="G52" s="9"/>
      <c r="H52" s="9"/>
      <c r="I52" s="9"/>
      <c r="J52" s="9"/>
      <c r="K52" s="9"/>
      <c r="L52" s="9"/>
      <c r="M52" s="9"/>
      <c r="N52" s="9"/>
      <c r="O52" s="9"/>
    </row>
    <row r="53">
      <c r="A53" s="11" t="s">
        <v>5639</v>
      </c>
      <c r="B53" s="8"/>
      <c r="C53" s="9"/>
      <c r="D53" s="8">
        <v>3.0</v>
      </c>
      <c r="E53" s="9"/>
      <c r="F53" s="9"/>
      <c r="G53" s="9"/>
      <c r="H53" s="9"/>
      <c r="I53" s="9"/>
      <c r="J53" s="9"/>
      <c r="K53" s="9"/>
      <c r="L53" s="9"/>
      <c r="M53" s="9"/>
      <c r="N53" s="9"/>
      <c r="O53" s="9"/>
    </row>
    <row r="54">
      <c r="A54" s="11" t="s">
        <v>5640</v>
      </c>
      <c r="B54" s="8"/>
      <c r="C54" s="9"/>
      <c r="D54" s="8">
        <v>3.0</v>
      </c>
      <c r="E54" s="9"/>
      <c r="F54" s="9"/>
      <c r="G54" s="9"/>
      <c r="H54" s="9"/>
      <c r="I54" s="9"/>
      <c r="J54" s="9"/>
      <c r="K54" s="9"/>
      <c r="L54" s="9"/>
      <c r="M54" s="9"/>
      <c r="N54" s="9"/>
      <c r="O54" s="9"/>
    </row>
    <row r="55">
      <c r="A55" s="11" t="s">
        <v>5641</v>
      </c>
      <c r="B55" s="8"/>
      <c r="C55" s="9"/>
      <c r="D55" s="8">
        <v>3.0</v>
      </c>
      <c r="E55" s="9"/>
      <c r="F55" s="9"/>
      <c r="G55" s="9"/>
      <c r="H55" s="9"/>
      <c r="I55" s="9"/>
      <c r="J55" s="9"/>
      <c r="K55" s="9"/>
      <c r="L55" s="9"/>
      <c r="M55" s="9"/>
      <c r="N55" s="9"/>
      <c r="O55" s="9"/>
    </row>
    <row r="56">
      <c r="A56" s="11" t="s">
        <v>5642</v>
      </c>
      <c r="B56" s="8"/>
      <c r="C56" s="9"/>
      <c r="D56" s="8">
        <v>3.0</v>
      </c>
      <c r="E56" s="9"/>
      <c r="F56" s="9"/>
      <c r="G56" s="9"/>
      <c r="H56" s="9"/>
      <c r="I56" s="9"/>
      <c r="J56" s="9"/>
      <c r="K56" s="9"/>
      <c r="L56" s="9"/>
      <c r="M56" s="9"/>
      <c r="N56" s="9"/>
      <c r="O56" s="9"/>
    </row>
    <row r="57">
      <c r="A57" s="11" t="s">
        <v>5643</v>
      </c>
      <c r="B57" s="8"/>
      <c r="C57" s="9"/>
      <c r="D57" s="8">
        <v>3.0</v>
      </c>
      <c r="E57" s="9"/>
      <c r="F57" s="9"/>
      <c r="G57" s="9"/>
      <c r="H57" s="9"/>
      <c r="I57" s="9"/>
      <c r="J57" s="9"/>
      <c r="K57" s="9"/>
      <c r="L57" s="9"/>
      <c r="M57" s="9"/>
      <c r="N57" s="9"/>
      <c r="O57" s="9"/>
    </row>
    <row r="58">
      <c r="A58" s="11" t="s">
        <v>5644</v>
      </c>
      <c r="B58" s="8"/>
      <c r="C58" s="9"/>
      <c r="D58" s="8">
        <v>3.0</v>
      </c>
      <c r="E58" s="9"/>
      <c r="F58" s="9"/>
      <c r="G58" s="9"/>
      <c r="H58" s="9"/>
      <c r="I58" s="9"/>
      <c r="J58" s="9"/>
      <c r="K58" s="9"/>
      <c r="L58" s="9"/>
      <c r="M58" s="9"/>
      <c r="N58" s="9"/>
      <c r="O58" s="9"/>
    </row>
    <row r="59">
      <c r="A59" s="11" t="s">
        <v>5645</v>
      </c>
      <c r="B59" s="8"/>
      <c r="C59" s="9"/>
      <c r="D59" s="8">
        <v>3.0</v>
      </c>
      <c r="E59" s="9"/>
      <c r="F59" s="9"/>
      <c r="G59" s="9"/>
      <c r="H59" s="9"/>
      <c r="I59" s="9"/>
      <c r="J59" s="9"/>
      <c r="K59" s="9"/>
      <c r="L59" s="9"/>
      <c r="M59" s="9"/>
      <c r="N59" s="9"/>
      <c r="O59" s="9"/>
    </row>
    <row r="60">
      <c r="A60" s="11" t="s">
        <v>5646</v>
      </c>
      <c r="B60" s="8"/>
      <c r="C60" s="9"/>
      <c r="D60" s="8">
        <v>3.0</v>
      </c>
      <c r="E60" s="9"/>
      <c r="F60" s="9"/>
      <c r="G60" s="9"/>
      <c r="H60" s="9"/>
      <c r="I60" s="9"/>
      <c r="J60" s="9"/>
      <c r="K60" s="9"/>
      <c r="L60" s="9"/>
      <c r="M60" s="9"/>
      <c r="N60" s="9"/>
      <c r="O60" s="9"/>
    </row>
    <row r="61">
      <c r="A61" s="11" t="s">
        <v>5647</v>
      </c>
      <c r="B61" s="8"/>
      <c r="C61" s="9"/>
      <c r="D61" s="8">
        <v>3.0</v>
      </c>
      <c r="E61" s="9"/>
      <c r="F61" s="9"/>
      <c r="G61" s="9"/>
      <c r="H61" s="9"/>
      <c r="I61" s="9"/>
      <c r="J61" s="9"/>
      <c r="K61" s="9"/>
      <c r="L61" s="9"/>
      <c r="M61" s="9"/>
      <c r="N61" s="9"/>
      <c r="O61" s="9"/>
    </row>
    <row r="62">
      <c r="A62" s="11" t="s">
        <v>5648</v>
      </c>
      <c r="B62" s="9"/>
      <c r="C62" s="9"/>
      <c r="D62" s="8">
        <v>3.0</v>
      </c>
      <c r="E62" s="9"/>
      <c r="F62" s="9"/>
      <c r="G62" s="9"/>
      <c r="H62" s="9"/>
      <c r="I62" s="9"/>
      <c r="J62" s="9"/>
      <c r="K62" s="9"/>
      <c r="L62" s="9"/>
      <c r="M62" s="9"/>
      <c r="N62" s="9"/>
      <c r="O62" s="9"/>
    </row>
    <row r="63">
      <c r="A63" s="11" t="s">
        <v>5649</v>
      </c>
      <c r="B63" s="9"/>
      <c r="C63" s="9"/>
      <c r="D63" s="8">
        <v>3.0</v>
      </c>
      <c r="E63" s="9"/>
      <c r="F63" s="9"/>
      <c r="G63" s="9"/>
      <c r="H63" s="9"/>
      <c r="I63" s="9"/>
      <c r="J63" s="9"/>
      <c r="K63" s="9"/>
      <c r="L63" s="9"/>
      <c r="M63" s="9"/>
      <c r="N63" s="9"/>
      <c r="O63" s="9"/>
    </row>
    <row r="64">
      <c r="A64" s="11" t="s">
        <v>5650</v>
      </c>
      <c r="B64" s="9"/>
      <c r="C64" s="9"/>
      <c r="D64" s="8">
        <v>3.0</v>
      </c>
      <c r="E64" s="9"/>
      <c r="F64" s="9"/>
      <c r="G64" s="9"/>
      <c r="H64" s="9"/>
      <c r="I64" s="9"/>
      <c r="J64" s="9"/>
      <c r="K64" s="9"/>
      <c r="L64" s="9"/>
      <c r="M64" s="9"/>
      <c r="N64" s="9"/>
      <c r="O64" s="9"/>
    </row>
    <row r="65">
      <c r="A65" s="11" t="s">
        <v>5651</v>
      </c>
      <c r="B65" s="9"/>
      <c r="C65" s="9"/>
      <c r="D65" s="8">
        <v>3.0</v>
      </c>
      <c r="E65" s="9"/>
      <c r="F65" s="9"/>
      <c r="G65" s="9"/>
      <c r="H65" s="9"/>
      <c r="I65" s="9"/>
      <c r="J65" s="9"/>
      <c r="K65" s="9"/>
      <c r="L65" s="9"/>
      <c r="M65" s="9"/>
      <c r="N65" s="9"/>
      <c r="O65" s="9"/>
    </row>
    <row r="66">
      <c r="A66" s="11" t="s">
        <v>5652</v>
      </c>
      <c r="B66" s="9"/>
      <c r="C66" s="9"/>
      <c r="D66" s="8">
        <v>3.0</v>
      </c>
      <c r="E66" s="9"/>
      <c r="F66" s="9"/>
      <c r="G66" s="9"/>
      <c r="H66" s="9"/>
      <c r="I66" s="9"/>
      <c r="J66" s="9"/>
      <c r="K66" s="9"/>
      <c r="L66" s="9"/>
      <c r="M66" s="9"/>
      <c r="N66" s="9"/>
      <c r="O66" s="9"/>
    </row>
    <row r="67">
      <c r="A67" s="11" t="s">
        <v>5653</v>
      </c>
      <c r="B67" s="9"/>
      <c r="C67" s="9"/>
      <c r="D67" s="8">
        <v>3.0</v>
      </c>
      <c r="E67" s="9"/>
      <c r="F67" s="9"/>
      <c r="G67" s="9"/>
      <c r="H67" s="9"/>
      <c r="I67" s="9"/>
      <c r="J67" s="9"/>
      <c r="K67" s="9"/>
      <c r="L67" s="9"/>
      <c r="M67" s="9"/>
      <c r="N67" s="9"/>
      <c r="O67" s="9"/>
    </row>
    <row r="68">
      <c r="A68" s="11" t="s">
        <v>5654</v>
      </c>
      <c r="B68" s="9"/>
      <c r="C68" s="9"/>
      <c r="D68" s="8">
        <v>3.0</v>
      </c>
      <c r="E68" s="9"/>
      <c r="F68" s="9"/>
      <c r="G68" s="9"/>
      <c r="H68" s="9"/>
      <c r="I68" s="9"/>
      <c r="J68" s="9"/>
      <c r="K68" s="9"/>
      <c r="L68" s="9"/>
      <c r="M68" s="9"/>
      <c r="N68" s="9"/>
      <c r="O68" s="9"/>
    </row>
    <row r="69">
      <c r="A69" s="11" t="s">
        <v>5655</v>
      </c>
      <c r="B69" s="9"/>
      <c r="C69" s="9"/>
      <c r="D69" s="8">
        <v>3.0</v>
      </c>
      <c r="E69" s="9"/>
      <c r="F69" s="9"/>
      <c r="G69" s="9"/>
      <c r="H69" s="9"/>
      <c r="I69" s="9"/>
      <c r="J69" s="9"/>
      <c r="K69" s="9"/>
      <c r="L69" s="9"/>
      <c r="M69" s="9"/>
      <c r="N69" s="9"/>
      <c r="O69" s="9"/>
    </row>
    <row r="70">
      <c r="A70" s="19" t="s">
        <v>5656</v>
      </c>
      <c r="B70" s="9"/>
      <c r="C70" s="9"/>
      <c r="D70" s="8">
        <v>3.0</v>
      </c>
      <c r="E70" s="9"/>
      <c r="F70" s="9"/>
      <c r="G70" s="9"/>
      <c r="H70" s="9"/>
      <c r="I70" s="9"/>
      <c r="J70" s="9"/>
      <c r="K70" s="9"/>
      <c r="L70" s="9"/>
      <c r="M70" s="9"/>
      <c r="N70" s="9"/>
      <c r="O70" s="9"/>
    </row>
    <row r="71">
      <c r="A71" s="19" t="s">
        <v>5657</v>
      </c>
      <c r="B71" s="9"/>
      <c r="C71" s="9"/>
      <c r="D71" s="8">
        <v>5.0</v>
      </c>
      <c r="E71" s="8">
        <v>5.0</v>
      </c>
      <c r="F71" s="8">
        <v>5.0</v>
      </c>
      <c r="G71" s="8">
        <v>3.0</v>
      </c>
      <c r="H71" s="9"/>
      <c r="I71" s="9"/>
      <c r="J71" s="9"/>
      <c r="K71" s="9"/>
      <c r="L71" s="9"/>
      <c r="M71" s="9"/>
      <c r="N71" s="9"/>
      <c r="O71" s="9"/>
    </row>
    <row r="72">
      <c r="A72" s="11" t="s">
        <v>5658</v>
      </c>
      <c r="B72" s="9"/>
      <c r="C72" s="9"/>
      <c r="D72" s="8">
        <v>3.0</v>
      </c>
      <c r="E72" s="9"/>
      <c r="F72" s="9"/>
      <c r="G72" s="9"/>
      <c r="H72" s="9"/>
      <c r="I72" s="9"/>
      <c r="J72" s="9"/>
      <c r="K72" s="9"/>
      <c r="L72" s="9"/>
      <c r="M72" s="9"/>
      <c r="N72" s="9"/>
      <c r="O72" s="9"/>
    </row>
    <row r="73">
      <c r="A73" s="20" t="s">
        <v>5659</v>
      </c>
      <c r="B73" s="9"/>
      <c r="C73" s="9"/>
      <c r="D73" s="8">
        <v>3.0</v>
      </c>
      <c r="E73" s="9"/>
      <c r="F73" s="9"/>
      <c r="G73" s="9"/>
      <c r="H73" s="9"/>
      <c r="I73" s="9"/>
      <c r="J73" s="9"/>
      <c r="K73" s="9"/>
      <c r="L73" s="9"/>
      <c r="M73" s="9"/>
      <c r="N73" s="9"/>
      <c r="O73" s="9"/>
    </row>
    <row r="74">
      <c r="A74" s="11" t="s">
        <v>5660</v>
      </c>
      <c r="B74" s="9"/>
      <c r="C74" s="9"/>
      <c r="D74" s="8">
        <v>3.0</v>
      </c>
      <c r="E74" s="9"/>
      <c r="F74" s="9"/>
      <c r="G74" s="9"/>
      <c r="H74" s="9"/>
      <c r="I74" s="9"/>
      <c r="J74" s="9"/>
      <c r="K74" s="9"/>
      <c r="L74" s="9"/>
      <c r="M74" s="9"/>
      <c r="N74" s="9"/>
      <c r="O74" s="9"/>
    </row>
    <row r="75">
      <c r="A75" s="18" t="s">
        <v>5661</v>
      </c>
      <c r="B75" s="9"/>
      <c r="C75" s="9"/>
      <c r="D75" s="8">
        <v>3.0</v>
      </c>
      <c r="E75" s="9"/>
      <c r="F75" s="9"/>
      <c r="G75" s="9"/>
      <c r="H75" s="9"/>
      <c r="I75" s="9"/>
      <c r="J75" s="9"/>
      <c r="K75" s="9"/>
      <c r="L75" s="9"/>
      <c r="M75" s="9"/>
      <c r="N75" s="9"/>
      <c r="O75" s="9"/>
    </row>
    <row r="76">
      <c r="A76" s="20" t="s">
        <v>5662</v>
      </c>
      <c r="B76" s="9"/>
      <c r="C76" s="9"/>
      <c r="D76" s="8">
        <v>3.0</v>
      </c>
      <c r="E76" s="9"/>
      <c r="F76" s="9"/>
      <c r="G76" s="9"/>
      <c r="H76" s="9"/>
      <c r="I76" s="9"/>
      <c r="J76" s="9"/>
      <c r="K76" s="9"/>
      <c r="L76" s="9"/>
      <c r="M76" s="9"/>
      <c r="N76" s="9"/>
      <c r="O76" s="9"/>
    </row>
    <row r="77">
      <c r="A77" s="20" t="s">
        <v>5663</v>
      </c>
      <c r="B77" s="9"/>
      <c r="C77" s="9"/>
      <c r="D77" s="8">
        <v>3.0</v>
      </c>
      <c r="E77" s="9"/>
      <c r="F77" s="9"/>
      <c r="G77" s="9"/>
      <c r="H77" s="9"/>
      <c r="I77" s="9"/>
      <c r="J77" s="9"/>
      <c r="K77" s="9"/>
      <c r="L77" s="9"/>
      <c r="M77" s="9"/>
      <c r="N77" s="9"/>
      <c r="O77" s="9"/>
    </row>
    <row r="78">
      <c r="A78" s="11" t="s">
        <v>5664</v>
      </c>
      <c r="B78" s="9"/>
      <c r="C78" s="9"/>
      <c r="D78" s="8">
        <v>3.0</v>
      </c>
      <c r="E78" s="9"/>
      <c r="F78" s="9"/>
      <c r="G78" s="9"/>
      <c r="H78" s="9"/>
      <c r="I78" s="9"/>
      <c r="J78" s="9"/>
      <c r="K78" s="9"/>
      <c r="L78" s="9"/>
      <c r="M78" s="9"/>
      <c r="N78" s="9"/>
      <c r="O78" s="9"/>
    </row>
    <row r="79">
      <c r="A79" s="11" t="s">
        <v>5665</v>
      </c>
      <c r="B79" s="9"/>
      <c r="C79" s="9"/>
      <c r="D79" s="17">
        <v>5.0</v>
      </c>
      <c r="E79" s="17">
        <v>3.0</v>
      </c>
      <c r="F79" s="17">
        <v>3.0</v>
      </c>
      <c r="G79" s="17">
        <v>3.0</v>
      </c>
      <c r="H79" s="9"/>
      <c r="I79" s="9"/>
      <c r="J79" s="9"/>
      <c r="K79" s="9"/>
      <c r="L79" s="9"/>
      <c r="M79" s="9"/>
      <c r="N79" s="9"/>
      <c r="O79" s="9"/>
    </row>
    <row r="80">
      <c r="A80" s="11" t="s">
        <v>5666</v>
      </c>
      <c r="B80" s="9"/>
      <c r="C80" s="9"/>
      <c r="D80" s="17">
        <v>3.0</v>
      </c>
      <c r="E80" s="9"/>
      <c r="F80" s="9"/>
      <c r="G80" s="9"/>
      <c r="H80" s="9"/>
      <c r="I80" s="9"/>
      <c r="J80" s="9"/>
      <c r="K80" s="9"/>
      <c r="L80" s="9"/>
      <c r="M80" s="9"/>
      <c r="N80" s="9"/>
      <c r="O80" s="9"/>
    </row>
    <row r="81">
      <c r="A81" s="19" t="s">
        <v>5667</v>
      </c>
      <c r="B81" s="9"/>
      <c r="C81" s="9"/>
      <c r="D81" s="17">
        <v>3.0</v>
      </c>
      <c r="E81" s="9"/>
      <c r="F81" s="9"/>
      <c r="G81" s="9"/>
      <c r="H81" s="9"/>
      <c r="I81" s="9"/>
      <c r="J81" s="9"/>
      <c r="K81" s="9"/>
      <c r="L81" s="9"/>
      <c r="M81" s="9"/>
      <c r="N81" s="9"/>
      <c r="O81" s="9"/>
    </row>
    <row r="82">
      <c r="A82" s="19" t="s">
        <v>5668</v>
      </c>
      <c r="B82" s="9"/>
      <c r="C82" s="9"/>
      <c r="D82" s="17">
        <v>5.0</v>
      </c>
      <c r="E82" s="17">
        <v>3.0</v>
      </c>
      <c r="F82" s="17">
        <v>3.0</v>
      </c>
      <c r="G82" s="17">
        <v>3.0</v>
      </c>
      <c r="H82" s="9"/>
      <c r="I82" s="9"/>
      <c r="J82" s="9"/>
      <c r="K82" s="9"/>
      <c r="L82" s="9"/>
      <c r="M82" s="9"/>
      <c r="N82" s="9"/>
      <c r="O82" s="9"/>
    </row>
    <row r="83">
      <c r="A83" s="11" t="s">
        <v>5669</v>
      </c>
      <c r="B83" s="9"/>
      <c r="C83" s="9"/>
      <c r="D83" s="17">
        <v>3.0</v>
      </c>
      <c r="E83" s="9"/>
      <c r="F83" s="9"/>
      <c r="G83" s="9"/>
      <c r="H83" s="9"/>
      <c r="I83" s="9"/>
      <c r="J83" s="9"/>
      <c r="K83" s="9"/>
      <c r="L83" s="9"/>
      <c r="M83" s="9"/>
      <c r="N83" s="9"/>
      <c r="O83" s="9"/>
    </row>
    <row r="84">
      <c r="A84" s="18" t="s">
        <v>5670</v>
      </c>
      <c r="B84" s="9"/>
      <c r="C84" s="9"/>
      <c r="D84" s="17">
        <v>3.0</v>
      </c>
      <c r="E84" s="9"/>
      <c r="F84" s="9"/>
      <c r="G84" s="9"/>
      <c r="H84" s="9"/>
      <c r="I84" s="9"/>
      <c r="J84" s="9"/>
      <c r="K84" s="9"/>
      <c r="L84" s="9"/>
      <c r="M84" s="9"/>
      <c r="N84" s="9"/>
      <c r="O84" s="9"/>
    </row>
    <row r="85">
      <c r="A85" s="11" t="s">
        <v>5671</v>
      </c>
      <c r="B85" s="9"/>
      <c r="C85" s="9"/>
      <c r="D85" s="17">
        <v>3.0</v>
      </c>
      <c r="E85" s="9"/>
      <c r="F85" s="9"/>
      <c r="G85" s="9"/>
      <c r="H85" s="9"/>
      <c r="I85" s="9"/>
      <c r="J85" s="9"/>
      <c r="K85" s="9"/>
      <c r="L85" s="9"/>
      <c r="M85" s="9"/>
      <c r="N85" s="9"/>
      <c r="O85" s="9"/>
    </row>
    <row r="86">
      <c r="A86" s="11" t="s">
        <v>5672</v>
      </c>
      <c r="B86" s="9"/>
      <c r="C86" s="9"/>
      <c r="D86" s="17">
        <v>3.0</v>
      </c>
      <c r="E86" s="9"/>
      <c r="F86" s="9"/>
      <c r="G86" s="9"/>
      <c r="H86" s="9"/>
      <c r="I86" s="9"/>
      <c r="J86" s="9"/>
      <c r="K86" s="9"/>
      <c r="L86" s="9"/>
      <c r="M86" s="9"/>
      <c r="N86" s="9"/>
      <c r="O86" s="9"/>
    </row>
    <row r="87">
      <c r="A87" s="11" t="s">
        <v>5673</v>
      </c>
      <c r="B87" s="9"/>
      <c r="C87" s="9"/>
      <c r="D87" s="17">
        <v>5.0</v>
      </c>
      <c r="E87" s="17">
        <v>3.0</v>
      </c>
      <c r="F87" s="17">
        <v>3.0</v>
      </c>
      <c r="G87" s="17">
        <v>3.0</v>
      </c>
      <c r="H87" s="9"/>
      <c r="I87" s="9"/>
      <c r="J87" s="9"/>
      <c r="K87" s="9"/>
      <c r="L87" s="9"/>
      <c r="M87" s="9"/>
      <c r="N87" s="9"/>
      <c r="O87" s="9"/>
    </row>
    <row r="88">
      <c r="A88" s="11" t="s">
        <v>5674</v>
      </c>
      <c r="B88" s="9"/>
      <c r="C88" s="9"/>
      <c r="D88" s="17">
        <v>5.0</v>
      </c>
      <c r="E88" s="17">
        <v>3.0</v>
      </c>
      <c r="F88" s="17">
        <v>3.0</v>
      </c>
      <c r="G88" s="17">
        <v>3.0</v>
      </c>
      <c r="H88" s="9"/>
      <c r="I88" s="9"/>
      <c r="J88" s="9"/>
      <c r="K88" s="9"/>
      <c r="L88" s="9"/>
      <c r="M88" s="9"/>
      <c r="N88" s="9"/>
      <c r="O88" s="9"/>
    </row>
    <row r="89">
      <c r="A89" s="11" t="s">
        <v>5675</v>
      </c>
      <c r="B89" s="9"/>
      <c r="C89" s="9"/>
      <c r="D89" s="17">
        <v>3.0</v>
      </c>
      <c r="E89" s="9"/>
      <c r="F89" s="9"/>
      <c r="G89" s="9"/>
      <c r="H89" s="9"/>
      <c r="I89" s="9"/>
      <c r="J89" s="9"/>
      <c r="K89" s="9"/>
      <c r="L89" s="9"/>
      <c r="M89" s="9"/>
      <c r="N89" s="9"/>
      <c r="O89" s="9"/>
    </row>
    <row r="90">
      <c r="A90" s="11" t="s">
        <v>5676</v>
      </c>
      <c r="B90" s="9"/>
      <c r="C90" s="9"/>
      <c r="D90" s="17">
        <v>3.0</v>
      </c>
      <c r="E90" s="9"/>
      <c r="F90" s="9"/>
      <c r="G90" s="9"/>
      <c r="H90" s="9"/>
      <c r="I90" s="9"/>
      <c r="J90" s="9"/>
      <c r="K90" s="9"/>
      <c r="L90" s="9"/>
      <c r="M90" s="9"/>
      <c r="N90" s="9"/>
      <c r="O90" s="9"/>
    </row>
    <row r="91">
      <c r="A91" s="19" t="s">
        <v>5677</v>
      </c>
      <c r="B91" s="9"/>
      <c r="C91" s="9"/>
      <c r="D91" s="17">
        <v>5.0</v>
      </c>
      <c r="E91" s="9"/>
      <c r="F91" s="9"/>
      <c r="G91" s="9"/>
      <c r="H91" s="9"/>
      <c r="I91" s="9"/>
      <c r="J91" s="9"/>
      <c r="K91" s="9"/>
      <c r="L91" s="9"/>
      <c r="M91" s="9"/>
      <c r="N91" s="9"/>
      <c r="O91" s="9"/>
    </row>
    <row r="92">
      <c r="A92" s="19" t="s">
        <v>5678</v>
      </c>
      <c r="B92" s="9"/>
      <c r="C92" s="9"/>
      <c r="D92" s="17">
        <v>3.0</v>
      </c>
      <c r="E92" s="9"/>
      <c r="F92" s="9"/>
      <c r="G92" s="9"/>
      <c r="H92" s="9"/>
      <c r="I92" s="9"/>
      <c r="J92" s="9"/>
      <c r="K92" s="9"/>
      <c r="L92" s="9"/>
      <c r="M92" s="9"/>
      <c r="N92" s="9"/>
      <c r="O92" s="9"/>
    </row>
    <row r="93">
      <c r="A93" s="18" t="s">
        <v>5679</v>
      </c>
      <c r="B93" s="9"/>
      <c r="C93" s="9"/>
      <c r="D93" s="8">
        <v>3.0</v>
      </c>
      <c r="E93" s="9"/>
      <c r="F93" s="9"/>
      <c r="G93" s="9"/>
      <c r="H93" s="9"/>
      <c r="I93" s="9"/>
      <c r="J93" s="9"/>
      <c r="K93" s="9"/>
      <c r="L93" s="9"/>
      <c r="M93" s="9"/>
      <c r="N93" s="9"/>
      <c r="O93" s="9"/>
    </row>
    <row r="94">
      <c r="A94" s="11" t="s">
        <v>5680</v>
      </c>
      <c r="B94" s="9"/>
      <c r="C94" s="8" t="s">
        <v>133</v>
      </c>
      <c r="D94" s="8">
        <v>3.0</v>
      </c>
      <c r="E94" s="9"/>
      <c r="F94" s="9"/>
      <c r="G94" s="9"/>
      <c r="H94" s="9"/>
      <c r="I94" s="9"/>
      <c r="J94" s="9"/>
      <c r="K94" s="9"/>
      <c r="L94" s="9"/>
      <c r="M94" s="9"/>
      <c r="N94" s="9"/>
      <c r="O94" s="9"/>
    </row>
    <row r="95">
      <c r="A95" s="11" t="s">
        <v>5681</v>
      </c>
      <c r="B95" s="8" t="s">
        <v>54</v>
      </c>
      <c r="C95" s="9"/>
      <c r="D95" s="9"/>
      <c r="E95" s="9"/>
      <c r="F95" s="9"/>
      <c r="G95" s="9"/>
      <c r="H95" s="9"/>
      <c r="I95" s="9"/>
      <c r="J95" s="9"/>
      <c r="K95" s="9"/>
      <c r="L95" s="9"/>
      <c r="M95" s="9"/>
      <c r="N95" s="9"/>
      <c r="O95" s="9"/>
    </row>
    <row r="96">
      <c r="A96" s="11" t="s">
        <v>5682</v>
      </c>
      <c r="B96" s="9"/>
      <c r="C96" s="9"/>
      <c r="D96" s="8">
        <v>3.0</v>
      </c>
      <c r="E96" s="9"/>
      <c r="F96" s="9"/>
      <c r="G96" s="9"/>
      <c r="H96" s="9"/>
      <c r="I96" s="9"/>
      <c r="J96" s="9"/>
      <c r="K96" s="9"/>
      <c r="L96" s="9"/>
      <c r="M96" s="9"/>
      <c r="N96" s="9"/>
      <c r="O96" s="9"/>
    </row>
    <row r="97">
      <c r="A97" s="11" t="s">
        <v>5683</v>
      </c>
      <c r="B97" s="9"/>
      <c r="C97" s="9"/>
      <c r="D97" s="8">
        <v>3.0</v>
      </c>
      <c r="E97" s="9"/>
      <c r="F97" s="9"/>
      <c r="G97" s="9"/>
      <c r="H97" s="9"/>
      <c r="I97" s="9"/>
      <c r="J97" s="9"/>
      <c r="K97" s="9"/>
      <c r="L97" s="9"/>
      <c r="M97" s="9"/>
      <c r="N97" s="9"/>
      <c r="O97" s="9"/>
    </row>
    <row r="98">
      <c r="A98" s="11" t="s">
        <v>933</v>
      </c>
      <c r="B98" s="9"/>
      <c r="C98" s="9"/>
      <c r="D98" s="8">
        <v>3.0</v>
      </c>
      <c r="E98" s="9"/>
      <c r="F98" s="9"/>
      <c r="G98" s="9"/>
      <c r="H98" s="9"/>
      <c r="I98" s="9"/>
      <c r="J98" s="9"/>
      <c r="K98" s="9"/>
      <c r="L98" s="9"/>
      <c r="M98" s="9"/>
      <c r="N98" s="9"/>
      <c r="O98" s="9"/>
    </row>
    <row r="99">
      <c r="A99" s="11" t="s">
        <v>935</v>
      </c>
      <c r="B99" s="9"/>
      <c r="C99" s="9"/>
      <c r="D99" s="8">
        <v>3.0</v>
      </c>
      <c r="E99" s="9"/>
      <c r="F99" s="9"/>
      <c r="G99" s="9"/>
      <c r="H99" s="9"/>
      <c r="I99" s="9"/>
      <c r="J99" s="9"/>
      <c r="K99" s="9"/>
      <c r="L99" s="9"/>
      <c r="M99" s="9"/>
      <c r="N99" s="9"/>
      <c r="O99" s="9"/>
    </row>
    <row r="100">
      <c r="A100" s="20" t="s">
        <v>5684</v>
      </c>
      <c r="B100" s="9"/>
      <c r="C100" s="9"/>
      <c r="D100" s="8">
        <v>3.0</v>
      </c>
      <c r="E100" s="9"/>
      <c r="F100" s="9"/>
      <c r="G100" s="9"/>
      <c r="H100" s="9"/>
      <c r="I100" s="9"/>
      <c r="J100" s="9"/>
      <c r="K100" s="9"/>
      <c r="L100" s="9"/>
      <c r="M100" s="9"/>
      <c r="N100" s="9"/>
      <c r="O100" s="9"/>
    </row>
    <row r="101">
      <c r="A101" s="11" t="s">
        <v>5685</v>
      </c>
      <c r="B101" s="9"/>
      <c r="C101" s="9"/>
      <c r="D101" s="8">
        <v>3.0</v>
      </c>
      <c r="E101" s="9"/>
      <c r="F101" s="9"/>
      <c r="G101" s="9"/>
      <c r="H101" s="9"/>
      <c r="I101" s="9"/>
      <c r="J101" s="9"/>
      <c r="K101" s="9"/>
      <c r="L101" s="9"/>
      <c r="M101" s="9"/>
      <c r="N101" s="9"/>
      <c r="O101" s="9"/>
    </row>
    <row r="102">
      <c r="A102" s="20" t="s">
        <v>5686</v>
      </c>
      <c r="B102" s="9"/>
      <c r="C102" s="9"/>
      <c r="D102" s="8">
        <v>3.0</v>
      </c>
      <c r="E102" s="9"/>
      <c r="F102" s="9"/>
      <c r="G102" s="9"/>
      <c r="H102" s="9"/>
      <c r="I102" s="9"/>
      <c r="J102" s="9"/>
      <c r="K102" s="9"/>
      <c r="L102" s="9"/>
      <c r="M102" s="9"/>
      <c r="N102" s="9"/>
      <c r="O102" s="9"/>
    </row>
    <row r="103">
      <c r="A103" s="11" t="s">
        <v>5687</v>
      </c>
      <c r="B103" s="9"/>
      <c r="C103" s="9"/>
      <c r="D103" s="8">
        <v>3.0</v>
      </c>
      <c r="E103" s="9"/>
      <c r="F103" s="9"/>
      <c r="G103" s="9"/>
      <c r="H103" s="9"/>
      <c r="I103" s="9"/>
      <c r="J103" s="9"/>
      <c r="K103" s="9"/>
      <c r="L103" s="9"/>
      <c r="M103" s="9"/>
      <c r="N103" s="9"/>
      <c r="O103" s="9"/>
    </row>
    <row r="104">
      <c r="A104" s="20" t="s">
        <v>5688</v>
      </c>
      <c r="B104" s="9"/>
      <c r="C104" s="9"/>
      <c r="D104" s="8">
        <v>3.0</v>
      </c>
      <c r="E104" s="9"/>
      <c r="F104" s="9"/>
      <c r="G104" s="9"/>
      <c r="H104" s="9"/>
      <c r="I104" s="9"/>
      <c r="J104" s="9"/>
      <c r="K104" s="9"/>
      <c r="L104" s="9"/>
      <c r="M104" s="9"/>
      <c r="N104" s="9"/>
      <c r="O104" s="9"/>
    </row>
    <row r="105">
      <c r="A105" s="11" t="s">
        <v>5689</v>
      </c>
      <c r="B105" s="9"/>
      <c r="C105" s="9"/>
      <c r="D105" s="8">
        <v>3.0</v>
      </c>
      <c r="E105" s="9"/>
      <c r="F105" s="9"/>
      <c r="G105" s="9"/>
      <c r="H105" s="9"/>
      <c r="I105" s="9"/>
      <c r="J105" s="9"/>
      <c r="K105" s="9"/>
      <c r="L105" s="9"/>
      <c r="M105" s="9"/>
      <c r="N105" s="9"/>
      <c r="O105" s="9"/>
    </row>
    <row r="106">
      <c r="A106" s="20" t="s">
        <v>5690</v>
      </c>
      <c r="B106" s="9"/>
      <c r="C106" s="9"/>
      <c r="D106" s="8">
        <v>3.0</v>
      </c>
      <c r="E106" s="9"/>
      <c r="F106" s="9"/>
      <c r="G106" s="9"/>
      <c r="H106" s="9"/>
      <c r="I106" s="9"/>
      <c r="J106" s="9"/>
      <c r="K106" s="9"/>
      <c r="L106" s="9"/>
      <c r="M106" s="9"/>
      <c r="N106" s="9"/>
      <c r="O106" s="9"/>
    </row>
    <row r="107">
      <c r="A107" s="21" t="s">
        <v>5691</v>
      </c>
      <c r="B107" s="9"/>
      <c r="C107" s="9"/>
      <c r="D107" s="8">
        <v>3.0</v>
      </c>
      <c r="E107" s="9"/>
      <c r="F107" s="9"/>
      <c r="G107" s="9"/>
      <c r="H107" s="9"/>
      <c r="I107" s="9"/>
      <c r="J107" s="9"/>
      <c r="K107" s="9"/>
      <c r="L107" s="9"/>
      <c r="M107" s="9"/>
      <c r="N107" s="9"/>
      <c r="O107" s="9"/>
    </row>
    <row r="108">
      <c r="A108" s="21" t="s">
        <v>5692</v>
      </c>
      <c r="B108" s="9"/>
      <c r="C108" s="9"/>
      <c r="D108" s="8">
        <v>3.0</v>
      </c>
      <c r="E108" s="9"/>
      <c r="F108" s="9"/>
      <c r="G108" s="9"/>
      <c r="H108" s="9"/>
      <c r="I108" s="9"/>
      <c r="J108" s="9"/>
      <c r="K108" s="9"/>
      <c r="L108" s="9"/>
      <c r="M108" s="9"/>
      <c r="N108" s="9"/>
      <c r="O108" s="9"/>
    </row>
    <row r="109">
      <c r="A109" s="20" t="s">
        <v>5693</v>
      </c>
      <c r="B109" s="9"/>
      <c r="C109" s="9"/>
      <c r="D109" s="8">
        <v>3.0</v>
      </c>
      <c r="E109" s="9"/>
      <c r="F109" s="9"/>
      <c r="G109" s="9"/>
      <c r="H109" s="9"/>
      <c r="I109" s="9"/>
      <c r="J109" s="9"/>
      <c r="K109" s="9"/>
      <c r="L109" s="9"/>
      <c r="M109" s="9"/>
      <c r="N109" s="9"/>
      <c r="O109" s="9"/>
    </row>
    <row r="110">
      <c r="A110" s="11" t="s">
        <v>5694</v>
      </c>
      <c r="B110" s="9"/>
      <c r="C110" s="9"/>
      <c r="D110" s="8">
        <v>3.0</v>
      </c>
      <c r="E110" s="9"/>
      <c r="F110" s="9"/>
      <c r="G110" s="9"/>
      <c r="H110" s="9"/>
      <c r="I110" s="9"/>
      <c r="J110" s="9"/>
      <c r="K110" s="9"/>
      <c r="L110" s="9"/>
      <c r="M110" s="9"/>
      <c r="N110" s="9"/>
      <c r="O110" s="9"/>
    </row>
    <row r="111">
      <c r="A111" s="20" t="s">
        <v>5695</v>
      </c>
      <c r="B111" s="9"/>
      <c r="C111" s="9"/>
      <c r="D111" s="8">
        <v>3.0</v>
      </c>
      <c r="E111" s="9"/>
      <c r="F111" s="9"/>
      <c r="G111" s="9"/>
      <c r="H111" s="9"/>
      <c r="I111" s="9"/>
      <c r="J111" s="9"/>
      <c r="K111" s="9"/>
      <c r="L111" s="9"/>
      <c r="M111" s="9"/>
      <c r="N111" s="9"/>
      <c r="O111" s="9"/>
    </row>
    <row r="112">
      <c r="A112" s="11" t="s">
        <v>5696</v>
      </c>
      <c r="B112" s="9"/>
      <c r="C112" s="9"/>
      <c r="D112" s="8">
        <v>3.0</v>
      </c>
      <c r="E112" s="9"/>
      <c r="F112" s="9"/>
      <c r="G112" s="9"/>
      <c r="H112" s="9"/>
      <c r="I112" s="9"/>
      <c r="J112" s="9"/>
      <c r="K112" s="9"/>
      <c r="L112" s="9"/>
      <c r="M112" s="9"/>
      <c r="N112" s="9"/>
      <c r="O112" s="9"/>
    </row>
    <row r="113">
      <c r="A113" s="20" t="s">
        <v>5697</v>
      </c>
      <c r="B113" s="9"/>
      <c r="C113" s="9"/>
      <c r="D113" s="8">
        <v>3.0</v>
      </c>
      <c r="E113" s="9"/>
      <c r="F113" s="9"/>
      <c r="G113" s="9"/>
      <c r="H113" s="9"/>
      <c r="I113" s="9"/>
      <c r="J113" s="9"/>
      <c r="K113" s="9"/>
      <c r="L113" s="9"/>
      <c r="M113" s="9"/>
      <c r="N113" s="9"/>
      <c r="O113" s="9"/>
    </row>
    <row r="114">
      <c r="A114" s="22" t="s">
        <v>5698</v>
      </c>
      <c r="B114" s="9"/>
      <c r="C114" s="9"/>
      <c r="D114" s="8">
        <v>3.0</v>
      </c>
      <c r="E114" s="9"/>
      <c r="F114" s="9"/>
      <c r="G114" s="9"/>
      <c r="H114" s="9"/>
      <c r="I114" s="9"/>
      <c r="J114" s="9"/>
      <c r="K114" s="9"/>
      <c r="L114" s="9"/>
      <c r="M114" s="9"/>
      <c r="N114" s="9"/>
      <c r="O114" s="9"/>
    </row>
    <row r="115">
      <c r="A115" s="20" t="s">
        <v>5699</v>
      </c>
      <c r="B115" s="9"/>
      <c r="C115" s="9"/>
      <c r="D115" s="8">
        <v>3.0</v>
      </c>
      <c r="E115" s="9"/>
      <c r="F115" s="9"/>
      <c r="G115" s="9"/>
      <c r="H115" s="9"/>
      <c r="I115" s="9"/>
      <c r="J115" s="9"/>
      <c r="K115" s="9"/>
      <c r="L115" s="9"/>
      <c r="M115" s="9"/>
      <c r="N115" s="9"/>
      <c r="O115" s="9"/>
    </row>
    <row r="116">
      <c r="A116" s="20" t="s">
        <v>5700</v>
      </c>
      <c r="B116" s="9"/>
      <c r="C116" s="9"/>
      <c r="D116" s="8">
        <v>3.0</v>
      </c>
      <c r="E116" s="9"/>
      <c r="F116" s="9"/>
      <c r="G116" s="9"/>
      <c r="H116" s="9"/>
      <c r="I116" s="9"/>
      <c r="J116" s="9"/>
      <c r="K116" s="9"/>
      <c r="L116" s="9"/>
      <c r="M116" s="9"/>
      <c r="N116" s="9"/>
      <c r="O116" s="9"/>
    </row>
    <row r="117">
      <c r="A117" s="11" t="s">
        <v>5701</v>
      </c>
      <c r="B117" s="9"/>
      <c r="C117" s="9"/>
      <c r="D117" s="8">
        <v>3.0</v>
      </c>
      <c r="E117" s="9"/>
      <c r="F117" s="9"/>
      <c r="G117" s="9"/>
      <c r="H117" s="9"/>
      <c r="I117" s="9"/>
      <c r="J117" s="9"/>
      <c r="K117" s="9"/>
      <c r="L117" s="9"/>
      <c r="M117" s="9"/>
      <c r="N117" s="9"/>
      <c r="O117" s="9"/>
    </row>
    <row r="118">
      <c r="A118" s="11" t="s">
        <v>5702</v>
      </c>
      <c r="B118" s="9"/>
      <c r="C118" s="9"/>
      <c r="D118" s="8">
        <v>3.0</v>
      </c>
      <c r="E118" s="9"/>
      <c r="F118" s="9"/>
      <c r="G118" s="9"/>
      <c r="H118" s="9"/>
      <c r="I118" s="9"/>
      <c r="J118" s="9"/>
      <c r="K118" s="9"/>
      <c r="L118" s="9"/>
      <c r="M118" s="9"/>
      <c r="N118" s="9"/>
      <c r="O118" s="9"/>
    </row>
    <row r="119">
      <c r="A119" s="18" t="s">
        <v>5703</v>
      </c>
      <c r="B119" s="9"/>
      <c r="C119" s="8" t="s">
        <v>109</v>
      </c>
      <c r="D119" s="8">
        <v>5.0</v>
      </c>
      <c r="E119" s="8">
        <v>5.0</v>
      </c>
      <c r="F119" s="8">
        <v>5.0</v>
      </c>
      <c r="G119" s="8">
        <v>5.0</v>
      </c>
      <c r="H119" s="9"/>
      <c r="I119" s="9"/>
      <c r="J119" s="9"/>
      <c r="K119" s="9"/>
      <c r="L119" s="9"/>
      <c r="M119" s="9"/>
      <c r="N119" s="9"/>
      <c r="O119" s="9"/>
    </row>
    <row r="120">
      <c r="A120" s="18" t="s">
        <v>5704</v>
      </c>
      <c r="B120" s="9"/>
      <c r="C120" s="8" t="s">
        <v>109</v>
      </c>
      <c r="D120" s="17">
        <v>5.0</v>
      </c>
      <c r="E120" s="8">
        <v>3.0</v>
      </c>
      <c r="F120" s="8">
        <v>3.0</v>
      </c>
      <c r="G120" s="8">
        <v>3.0</v>
      </c>
      <c r="H120" s="9"/>
      <c r="I120" s="9"/>
      <c r="J120" s="9"/>
      <c r="K120" s="9"/>
      <c r="L120" s="9"/>
      <c r="M120" s="9"/>
      <c r="N120" s="9"/>
      <c r="O120" s="9"/>
    </row>
    <row r="121">
      <c r="A121" s="18" t="s">
        <v>5705</v>
      </c>
      <c r="B121" s="9"/>
      <c r="C121" s="8" t="s">
        <v>109</v>
      </c>
      <c r="D121" s="17">
        <v>5.0</v>
      </c>
      <c r="E121" s="17">
        <v>5.0</v>
      </c>
      <c r="F121" s="17">
        <v>5.0</v>
      </c>
      <c r="G121" s="17">
        <v>5.0</v>
      </c>
      <c r="H121" s="9"/>
      <c r="I121" s="9"/>
      <c r="J121" s="9"/>
      <c r="K121" s="9"/>
      <c r="L121" s="9"/>
      <c r="M121" s="9"/>
      <c r="N121" s="9"/>
      <c r="O121" s="9"/>
    </row>
    <row r="122">
      <c r="A122" s="11" t="s">
        <v>5706</v>
      </c>
      <c r="B122" s="9"/>
      <c r="C122" s="9"/>
      <c r="D122" s="8">
        <v>3.0</v>
      </c>
      <c r="E122" s="9"/>
      <c r="F122" s="9"/>
      <c r="G122" s="9"/>
      <c r="H122" s="9"/>
      <c r="I122" s="9"/>
      <c r="J122" s="9"/>
      <c r="K122" s="9"/>
      <c r="L122" s="9"/>
      <c r="M122" s="9"/>
      <c r="N122" s="9"/>
      <c r="O122" s="9"/>
    </row>
    <row r="123">
      <c r="A123" s="11" t="s">
        <v>5707</v>
      </c>
      <c r="B123" s="9"/>
      <c r="C123" s="9"/>
      <c r="D123" s="8">
        <v>3.0</v>
      </c>
      <c r="E123" s="9"/>
      <c r="F123" s="9"/>
      <c r="G123" s="9"/>
      <c r="H123" s="9"/>
      <c r="I123" s="9"/>
      <c r="J123" s="9"/>
      <c r="K123" s="9"/>
      <c r="L123" s="9"/>
      <c r="M123" s="9"/>
      <c r="N123" s="9"/>
      <c r="O123" s="9"/>
    </row>
    <row r="124">
      <c r="A124" s="11" t="s">
        <v>1264</v>
      </c>
      <c r="B124" s="9"/>
      <c r="C124" s="9"/>
      <c r="D124" s="8">
        <v>3.0</v>
      </c>
      <c r="E124" s="9"/>
      <c r="F124" s="9"/>
      <c r="G124" s="9"/>
      <c r="H124" s="9"/>
      <c r="I124" s="9"/>
      <c r="J124" s="9"/>
      <c r="K124" s="9"/>
      <c r="L124" s="9"/>
      <c r="M124" s="9"/>
      <c r="N124" s="9"/>
      <c r="O124" s="9"/>
    </row>
    <row r="125">
      <c r="A125" s="19" t="s">
        <v>5708</v>
      </c>
      <c r="B125" s="9"/>
      <c r="C125" s="9"/>
      <c r="D125" s="17">
        <v>5.0</v>
      </c>
      <c r="E125" s="17">
        <v>3.0</v>
      </c>
      <c r="F125" s="17">
        <v>3.0</v>
      </c>
      <c r="G125" s="17">
        <v>3.0</v>
      </c>
      <c r="H125" s="9"/>
      <c r="I125" s="9"/>
      <c r="J125" s="9"/>
      <c r="K125" s="9"/>
      <c r="L125" s="9"/>
      <c r="M125" s="9"/>
      <c r="N125" s="9"/>
      <c r="O125" s="9"/>
    </row>
    <row r="126">
      <c r="A126" s="19" t="s">
        <v>5709</v>
      </c>
      <c r="B126" s="9"/>
      <c r="C126" s="9"/>
      <c r="D126" s="8">
        <v>3.0</v>
      </c>
      <c r="E126" s="9"/>
      <c r="F126" s="9"/>
      <c r="G126" s="9"/>
      <c r="H126" s="9"/>
      <c r="I126" s="9"/>
      <c r="J126" s="9"/>
      <c r="K126" s="9"/>
      <c r="L126" s="9"/>
      <c r="M126" s="9"/>
      <c r="N126" s="9"/>
      <c r="O126" s="9"/>
    </row>
    <row r="127">
      <c r="A127" s="20" t="s">
        <v>5710</v>
      </c>
      <c r="B127" s="9"/>
      <c r="C127" s="9"/>
      <c r="D127" s="8">
        <v>3.0</v>
      </c>
      <c r="E127" s="9"/>
      <c r="F127" s="9"/>
      <c r="G127" s="9"/>
      <c r="H127" s="9"/>
      <c r="I127" s="9"/>
      <c r="J127" s="9"/>
      <c r="K127" s="9"/>
      <c r="L127" s="9"/>
      <c r="M127" s="9"/>
      <c r="N127" s="9"/>
      <c r="O127" s="9"/>
    </row>
    <row r="128">
      <c r="A128" s="11" t="s">
        <v>5711</v>
      </c>
      <c r="B128" s="9"/>
      <c r="C128" s="9"/>
      <c r="D128" s="8">
        <v>3.0</v>
      </c>
      <c r="E128" s="9"/>
      <c r="F128" s="9"/>
      <c r="G128" s="9"/>
      <c r="H128" s="9"/>
      <c r="I128" s="9"/>
      <c r="J128" s="9"/>
      <c r="K128" s="9"/>
      <c r="L128" s="9"/>
      <c r="M128" s="9"/>
      <c r="N128" s="9"/>
      <c r="O128" s="9"/>
    </row>
    <row r="129">
      <c r="A129" s="11" t="s">
        <v>5712</v>
      </c>
      <c r="B129" s="9"/>
      <c r="C129" s="9"/>
      <c r="D129" s="8">
        <v>3.0</v>
      </c>
      <c r="E129" s="9"/>
      <c r="F129" s="9"/>
      <c r="G129" s="9"/>
      <c r="H129" s="9"/>
      <c r="I129" s="9"/>
      <c r="J129" s="9"/>
      <c r="K129" s="9"/>
      <c r="L129" s="9"/>
      <c r="M129" s="9"/>
      <c r="N129" s="9"/>
      <c r="O129" s="9"/>
    </row>
    <row r="130">
      <c r="A130" s="11" t="s">
        <v>5713</v>
      </c>
      <c r="B130" s="9"/>
      <c r="C130" s="9"/>
      <c r="D130" s="8">
        <v>3.0</v>
      </c>
      <c r="E130" s="9"/>
      <c r="F130" s="9"/>
      <c r="G130" s="9"/>
      <c r="H130" s="9"/>
      <c r="I130" s="9"/>
      <c r="J130" s="9"/>
      <c r="K130" s="9"/>
      <c r="L130" s="9"/>
      <c r="M130" s="9"/>
      <c r="N130" s="9"/>
      <c r="O130" s="9"/>
    </row>
    <row r="131">
      <c r="A131" s="20" t="s">
        <v>5714</v>
      </c>
      <c r="B131" s="9"/>
      <c r="C131" s="9"/>
      <c r="D131" s="8">
        <v>3.0</v>
      </c>
      <c r="E131" s="9"/>
      <c r="F131" s="9"/>
      <c r="G131" s="9"/>
      <c r="H131" s="9"/>
      <c r="I131" s="9"/>
      <c r="J131" s="9"/>
      <c r="K131" s="9"/>
      <c r="L131" s="9"/>
      <c r="M131" s="9"/>
      <c r="N131" s="9"/>
      <c r="O131" s="9"/>
    </row>
    <row r="132">
      <c r="A132" s="11" t="s">
        <v>5715</v>
      </c>
      <c r="B132" s="9"/>
      <c r="C132" s="9"/>
      <c r="D132" s="8">
        <v>3.0</v>
      </c>
      <c r="E132" s="9"/>
      <c r="F132" s="9"/>
      <c r="G132" s="9"/>
      <c r="H132" s="9"/>
      <c r="I132" s="9"/>
      <c r="J132" s="9"/>
      <c r="K132" s="9"/>
      <c r="L132" s="9"/>
      <c r="M132" s="9"/>
      <c r="N132" s="9"/>
      <c r="O132" s="9"/>
    </row>
    <row r="133">
      <c r="A133" s="18" t="s">
        <v>5716</v>
      </c>
      <c r="B133" s="9"/>
      <c r="C133" s="9"/>
      <c r="D133" s="8">
        <v>3.0</v>
      </c>
      <c r="E133" s="9"/>
      <c r="F133" s="9"/>
      <c r="G133" s="9"/>
      <c r="H133" s="9"/>
      <c r="I133" s="9"/>
      <c r="J133" s="9"/>
      <c r="K133" s="9"/>
      <c r="L133" s="9"/>
      <c r="M133" s="9"/>
      <c r="N133" s="9"/>
      <c r="O133" s="9"/>
    </row>
    <row r="134">
      <c r="A134" s="20" t="s">
        <v>5717</v>
      </c>
      <c r="B134" s="9"/>
      <c r="C134" s="9"/>
      <c r="D134" s="8">
        <v>3.0</v>
      </c>
      <c r="E134" s="9"/>
      <c r="F134" s="9"/>
      <c r="G134" s="9"/>
      <c r="H134" s="9"/>
      <c r="I134" s="9"/>
      <c r="J134" s="9"/>
      <c r="K134" s="9"/>
      <c r="L134" s="9"/>
      <c r="M134" s="9"/>
      <c r="N134" s="9"/>
      <c r="O134" s="9"/>
    </row>
    <row r="135">
      <c r="A135" s="11" t="s">
        <v>5718</v>
      </c>
      <c r="B135" s="9"/>
      <c r="C135" s="9"/>
      <c r="D135" s="8">
        <v>3.0</v>
      </c>
      <c r="E135" s="9"/>
      <c r="F135" s="9"/>
      <c r="G135" s="9"/>
      <c r="H135" s="9"/>
      <c r="I135" s="9"/>
      <c r="J135" s="9"/>
      <c r="K135" s="9"/>
      <c r="L135" s="9"/>
      <c r="M135" s="9"/>
      <c r="N135" s="9"/>
      <c r="O135" s="9"/>
    </row>
    <row r="136">
      <c r="A136" s="21" t="s">
        <v>5719</v>
      </c>
      <c r="B136" s="9"/>
      <c r="C136" s="9"/>
      <c r="D136" s="8">
        <v>3.0</v>
      </c>
      <c r="E136" s="9"/>
      <c r="F136" s="9"/>
      <c r="G136" s="9"/>
      <c r="H136" s="9"/>
      <c r="I136" s="9"/>
      <c r="J136" s="9"/>
      <c r="K136" s="9"/>
      <c r="L136" s="9"/>
      <c r="M136" s="9"/>
      <c r="N136" s="9"/>
      <c r="O136" s="9"/>
    </row>
    <row r="137">
      <c r="A137" s="11" t="s">
        <v>5720</v>
      </c>
      <c r="B137" s="9"/>
      <c r="C137" s="9"/>
      <c r="D137" s="8">
        <v>3.0</v>
      </c>
      <c r="E137" s="9"/>
      <c r="F137" s="9"/>
      <c r="G137" s="9"/>
      <c r="H137" s="9"/>
      <c r="I137" s="9"/>
      <c r="J137" s="9"/>
      <c r="K137" s="9"/>
      <c r="L137" s="9"/>
      <c r="M137" s="9"/>
      <c r="N137" s="9"/>
      <c r="O137" s="9"/>
    </row>
    <row r="138">
      <c r="A138" s="18" t="s">
        <v>5721</v>
      </c>
      <c r="B138" s="9"/>
      <c r="C138" s="9"/>
      <c r="D138" s="8">
        <v>3.0</v>
      </c>
      <c r="E138" s="9"/>
      <c r="F138" s="9"/>
      <c r="G138" s="9"/>
      <c r="H138" s="9"/>
      <c r="I138" s="9"/>
      <c r="J138" s="9"/>
      <c r="K138" s="9"/>
      <c r="L138" s="9"/>
      <c r="M138" s="9"/>
      <c r="N138" s="9"/>
      <c r="O138" s="9"/>
    </row>
    <row r="139">
      <c r="A139" s="18" t="s">
        <v>5722</v>
      </c>
      <c r="B139" s="9"/>
      <c r="C139" s="9"/>
      <c r="D139" s="8">
        <v>3.0</v>
      </c>
      <c r="E139" s="9"/>
      <c r="F139" s="9"/>
      <c r="G139" s="9"/>
      <c r="H139" s="9"/>
      <c r="I139" s="9"/>
      <c r="J139" s="9"/>
      <c r="K139" s="9"/>
      <c r="L139" s="9"/>
      <c r="M139" s="9"/>
      <c r="N139" s="9"/>
      <c r="O139" s="9"/>
    </row>
    <row r="140">
      <c r="A140" s="11" t="s">
        <v>5723</v>
      </c>
      <c r="B140" s="9"/>
      <c r="C140" s="9"/>
      <c r="D140" s="8">
        <v>3.0</v>
      </c>
      <c r="E140" s="9"/>
      <c r="F140" s="9"/>
      <c r="G140" s="9"/>
      <c r="H140" s="9"/>
      <c r="I140" s="9"/>
      <c r="J140" s="9"/>
      <c r="K140" s="9"/>
      <c r="L140" s="9"/>
      <c r="M140" s="9"/>
      <c r="N140" s="9"/>
      <c r="O140" s="9"/>
    </row>
    <row r="141">
      <c r="A141" s="18" t="s">
        <v>5724</v>
      </c>
      <c r="B141" s="9"/>
      <c r="C141" s="9"/>
      <c r="D141" s="8">
        <v>3.0</v>
      </c>
      <c r="E141" s="9"/>
      <c r="F141" s="9"/>
      <c r="G141" s="9"/>
      <c r="H141" s="9"/>
      <c r="I141" s="9"/>
      <c r="J141" s="9"/>
      <c r="K141" s="9"/>
      <c r="L141" s="9"/>
      <c r="M141" s="9"/>
      <c r="N141" s="9"/>
      <c r="O141" s="9"/>
    </row>
    <row r="142">
      <c r="A142" s="11" t="s">
        <v>5725</v>
      </c>
      <c r="B142" s="9"/>
      <c r="C142" s="9"/>
      <c r="D142" s="8">
        <v>3.0</v>
      </c>
      <c r="E142" s="9"/>
      <c r="F142" s="9"/>
      <c r="G142" s="9"/>
      <c r="H142" s="9"/>
      <c r="I142" s="9"/>
      <c r="J142" s="9"/>
      <c r="K142" s="9"/>
      <c r="L142" s="9"/>
      <c r="M142" s="9"/>
      <c r="N142" s="9"/>
      <c r="O142" s="9"/>
    </row>
    <row r="143">
      <c r="A143" s="11" t="s">
        <v>5726</v>
      </c>
      <c r="B143" s="9"/>
      <c r="C143" s="9"/>
      <c r="D143" s="8">
        <v>3.0</v>
      </c>
      <c r="E143" s="9"/>
      <c r="F143" s="9"/>
      <c r="G143" s="9"/>
      <c r="H143" s="9"/>
      <c r="I143" s="9"/>
      <c r="J143" s="9"/>
      <c r="K143" s="9"/>
      <c r="L143" s="9"/>
      <c r="M143" s="9"/>
      <c r="N143" s="9"/>
      <c r="O143" s="9"/>
    </row>
    <row r="144">
      <c r="A144" s="11" t="s">
        <v>5727</v>
      </c>
      <c r="B144" s="9"/>
      <c r="C144" s="9"/>
      <c r="D144" s="8">
        <v>3.0</v>
      </c>
      <c r="E144" s="9"/>
      <c r="F144" s="9"/>
      <c r="G144" s="9"/>
      <c r="H144" s="9"/>
      <c r="I144" s="9"/>
      <c r="J144" s="9"/>
      <c r="K144" s="9"/>
      <c r="L144" s="9"/>
      <c r="M144" s="9"/>
      <c r="N144" s="9"/>
      <c r="O144" s="9"/>
    </row>
    <row r="145">
      <c r="A145" s="11" t="s">
        <v>5728</v>
      </c>
      <c r="B145" s="9"/>
      <c r="C145" s="9"/>
      <c r="D145" s="8">
        <v>3.0</v>
      </c>
      <c r="E145" s="9"/>
      <c r="F145" s="9"/>
      <c r="G145" s="9"/>
      <c r="H145" s="9"/>
      <c r="I145" s="9"/>
      <c r="J145" s="9"/>
      <c r="K145" s="9"/>
      <c r="L145" s="9"/>
      <c r="M145" s="9"/>
      <c r="N145" s="9"/>
      <c r="O145" s="9"/>
    </row>
    <row r="146">
      <c r="A146" s="19" t="s">
        <v>5729</v>
      </c>
      <c r="B146" s="9"/>
      <c r="C146" s="9"/>
      <c r="D146" s="8">
        <v>3.0</v>
      </c>
      <c r="E146" s="9"/>
      <c r="F146" s="9"/>
      <c r="G146" s="9"/>
      <c r="H146" s="9"/>
      <c r="I146" s="9"/>
      <c r="J146" s="9"/>
      <c r="K146" s="9"/>
      <c r="L146" s="9"/>
      <c r="M146" s="9"/>
      <c r="N146" s="9"/>
      <c r="O146" s="9"/>
    </row>
    <row r="147">
      <c r="A147" s="19" t="s">
        <v>5730</v>
      </c>
      <c r="B147" s="9"/>
      <c r="C147" s="9"/>
      <c r="D147" s="8">
        <v>3.0</v>
      </c>
      <c r="E147" s="9"/>
      <c r="F147" s="9"/>
      <c r="G147" s="9"/>
      <c r="H147" s="9"/>
      <c r="I147" s="9"/>
      <c r="J147" s="9"/>
      <c r="K147" s="9"/>
      <c r="L147" s="9"/>
      <c r="M147" s="9"/>
      <c r="N147" s="9"/>
      <c r="O147" s="9"/>
    </row>
    <row r="148">
      <c r="A148" s="19" t="s">
        <v>5731</v>
      </c>
      <c r="B148" s="9"/>
      <c r="C148" s="9"/>
      <c r="D148" s="8">
        <v>3.0</v>
      </c>
      <c r="E148" s="9"/>
      <c r="F148" s="9"/>
      <c r="G148" s="9"/>
      <c r="H148" s="9"/>
      <c r="I148" s="9"/>
      <c r="J148" s="9"/>
      <c r="K148" s="9"/>
      <c r="L148" s="9"/>
      <c r="M148" s="9"/>
      <c r="N148" s="9"/>
      <c r="O148" s="9"/>
    </row>
    <row r="149">
      <c r="A149" s="11" t="s">
        <v>5732</v>
      </c>
      <c r="B149" s="9"/>
      <c r="C149" s="9"/>
      <c r="D149" s="8">
        <v>3.0</v>
      </c>
      <c r="E149" s="9"/>
      <c r="F149" s="9"/>
      <c r="G149" s="9"/>
      <c r="H149" s="9"/>
      <c r="I149" s="9"/>
      <c r="J149" s="9"/>
      <c r="K149" s="9"/>
      <c r="L149" s="9"/>
      <c r="M149" s="9"/>
      <c r="N149" s="9"/>
      <c r="O149" s="9"/>
    </row>
    <row r="150">
      <c r="A150" s="11" t="s">
        <v>5733</v>
      </c>
      <c r="B150" s="9"/>
      <c r="C150" s="9"/>
      <c r="D150" s="8">
        <v>3.0</v>
      </c>
      <c r="E150" s="9"/>
      <c r="F150" s="9"/>
      <c r="G150" s="9"/>
      <c r="H150" s="9"/>
      <c r="I150" s="9"/>
      <c r="J150" s="9"/>
      <c r="K150" s="9"/>
      <c r="L150" s="9"/>
      <c r="M150" s="9"/>
      <c r="N150" s="9"/>
      <c r="O150" s="9"/>
    </row>
    <row r="151">
      <c r="A151" s="11" t="s">
        <v>5734</v>
      </c>
      <c r="B151" s="9"/>
      <c r="C151" s="9"/>
      <c r="D151" s="8">
        <v>3.0</v>
      </c>
      <c r="E151" s="9"/>
      <c r="F151" s="9"/>
      <c r="G151" s="9"/>
      <c r="H151" s="9"/>
      <c r="I151" s="9"/>
      <c r="J151" s="9"/>
      <c r="K151" s="9"/>
      <c r="L151" s="9"/>
      <c r="M151" s="9"/>
      <c r="N151" s="9"/>
      <c r="O151" s="9"/>
    </row>
    <row r="152">
      <c r="A152" s="11" t="s">
        <v>5735</v>
      </c>
      <c r="B152" s="9"/>
      <c r="C152" s="9"/>
      <c r="D152" s="8">
        <v>3.0</v>
      </c>
      <c r="E152" s="9"/>
      <c r="F152" s="9"/>
      <c r="G152" s="9"/>
      <c r="H152" s="9"/>
      <c r="I152" s="9"/>
      <c r="J152" s="9"/>
      <c r="K152" s="9"/>
      <c r="L152" s="9"/>
      <c r="M152" s="9"/>
      <c r="N152" s="9"/>
      <c r="O152" s="9"/>
    </row>
    <row r="153">
      <c r="A153" s="20" t="s">
        <v>5736</v>
      </c>
      <c r="B153" s="9"/>
      <c r="C153" s="9"/>
      <c r="D153" s="8">
        <v>3.0</v>
      </c>
      <c r="E153" s="9"/>
      <c r="F153" s="9"/>
      <c r="G153" s="9"/>
      <c r="H153" s="9"/>
      <c r="I153" s="9"/>
      <c r="J153" s="9"/>
      <c r="K153" s="9"/>
      <c r="L153" s="9"/>
      <c r="M153" s="9"/>
      <c r="N153" s="9"/>
      <c r="O153" s="9"/>
    </row>
    <row r="154">
      <c r="A154" s="11" t="s">
        <v>5737</v>
      </c>
      <c r="B154" s="9"/>
      <c r="C154" s="9"/>
      <c r="D154" s="8">
        <v>3.0</v>
      </c>
      <c r="E154" s="9"/>
      <c r="F154" s="9"/>
      <c r="G154" s="9"/>
      <c r="H154" s="9"/>
      <c r="I154" s="9"/>
      <c r="J154" s="9"/>
      <c r="K154" s="9"/>
      <c r="L154" s="9"/>
      <c r="M154" s="9"/>
      <c r="N154" s="9"/>
      <c r="O154" s="9"/>
    </row>
    <row r="155">
      <c r="A155" s="11" t="s">
        <v>5738</v>
      </c>
      <c r="B155" s="9"/>
      <c r="C155" s="9"/>
      <c r="D155" s="8">
        <v>3.0</v>
      </c>
      <c r="E155" s="9"/>
      <c r="F155" s="9"/>
      <c r="G155" s="9"/>
      <c r="H155" s="9"/>
      <c r="I155" s="9"/>
      <c r="J155" s="9"/>
      <c r="K155" s="9"/>
      <c r="L155" s="9"/>
      <c r="M155" s="9"/>
      <c r="N155" s="9"/>
      <c r="O155" s="9"/>
    </row>
    <row r="156">
      <c r="A156" s="11" t="s">
        <v>5739</v>
      </c>
      <c r="B156" s="9"/>
      <c r="C156" s="9"/>
      <c r="D156" s="8">
        <v>3.0</v>
      </c>
      <c r="E156" s="9"/>
      <c r="F156" s="9"/>
      <c r="G156" s="9"/>
      <c r="H156" s="9"/>
      <c r="I156" s="9"/>
      <c r="J156" s="9"/>
      <c r="K156" s="9"/>
      <c r="L156" s="9"/>
      <c r="M156" s="9"/>
      <c r="N156" s="9"/>
      <c r="O156" s="9"/>
    </row>
    <row r="157">
      <c r="A157" s="11" t="s">
        <v>5740</v>
      </c>
      <c r="B157" s="9"/>
      <c r="C157" s="9"/>
      <c r="D157" s="8">
        <v>3.0</v>
      </c>
      <c r="E157" s="9"/>
      <c r="F157" s="9"/>
      <c r="G157" s="9"/>
      <c r="H157" s="9"/>
      <c r="I157" s="9"/>
      <c r="J157" s="9"/>
      <c r="K157" s="9"/>
      <c r="L157" s="9"/>
      <c r="M157" s="9"/>
      <c r="N157" s="9"/>
      <c r="O157" s="9"/>
    </row>
    <row r="158">
      <c r="A158" s="18" t="s">
        <v>5741</v>
      </c>
      <c r="B158" s="9"/>
      <c r="C158" s="9"/>
      <c r="D158" s="8">
        <v>3.0</v>
      </c>
      <c r="E158" s="9"/>
      <c r="F158" s="9"/>
      <c r="G158" s="9"/>
      <c r="H158" s="9"/>
      <c r="I158" s="9"/>
      <c r="J158" s="9"/>
      <c r="K158" s="9"/>
      <c r="L158" s="9"/>
      <c r="M158" s="9"/>
      <c r="N158" s="9"/>
      <c r="O158" s="9"/>
    </row>
    <row r="159">
      <c r="A159" s="11" t="s">
        <v>5742</v>
      </c>
      <c r="B159" s="9"/>
      <c r="C159" s="9"/>
      <c r="D159" s="8">
        <v>3.0</v>
      </c>
      <c r="E159" s="9"/>
      <c r="F159" s="9"/>
      <c r="G159" s="9"/>
      <c r="H159" s="9"/>
      <c r="I159" s="9"/>
      <c r="J159" s="9"/>
      <c r="K159" s="9"/>
      <c r="L159" s="9"/>
      <c r="M159" s="9"/>
      <c r="N159" s="9"/>
      <c r="O159" s="9"/>
    </row>
    <row r="160">
      <c r="A160" s="11" t="s">
        <v>5743</v>
      </c>
      <c r="B160" s="9"/>
      <c r="C160" s="8" t="s">
        <v>109</v>
      </c>
      <c r="D160" s="8">
        <v>3.0</v>
      </c>
      <c r="E160" s="9"/>
      <c r="F160" s="9"/>
      <c r="G160" s="9"/>
      <c r="H160" s="9"/>
      <c r="I160" s="9"/>
      <c r="J160" s="9"/>
      <c r="K160" s="9"/>
      <c r="L160" s="9"/>
      <c r="M160" s="9"/>
      <c r="N160" s="9"/>
      <c r="O160" s="9"/>
    </row>
    <row r="161">
      <c r="A161" s="11" t="s">
        <v>5744</v>
      </c>
      <c r="B161" s="9"/>
      <c r="C161" s="8" t="s">
        <v>109</v>
      </c>
      <c r="D161" s="8">
        <v>5.0</v>
      </c>
      <c r="E161" s="8">
        <v>5.0</v>
      </c>
      <c r="F161" s="8">
        <v>5.0</v>
      </c>
      <c r="G161" s="8">
        <v>3.0</v>
      </c>
      <c r="H161" s="9"/>
      <c r="I161" s="9"/>
      <c r="J161" s="9"/>
      <c r="K161" s="9"/>
      <c r="L161" s="9"/>
      <c r="M161" s="9"/>
      <c r="N161" s="9"/>
      <c r="O161" s="9"/>
    </row>
    <row r="162">
      <c r="A162" s="11" t="s">
        <v>5745</v>
      </c>
      <c r="B162" s="9"/>
      <c r="C162" s="8" t="s">
        <v>109</v>
      </c>
      <c r="D162" s="8">
        <v>5.0</v>
      </c>
      <c r="E162" s="8">
        <v>5.0</v>
      </c>
      <c r="F162" s="8">
        <v>5.0</v>
      </c>
      <c r="G162" s="8">
        <v>3.0</v>
      </c>
      <c r="H162" s="9"/>
      <c r="I162" s="9"/>
      <c r="J162" s="9"/>
      <c r="K162" s="9"/>
      <c r="L162" s="9"/>
      <c r="M162" s="9"/>
      <c r="N162" s="9"/>
      <c r="O162" s="9"/>
    </row>
    <row r="163">
      <c r="A163" s="11" t="s">
        <v>5746</v>
      </c>
      <c r="B163" s="9"/>
      <c r="C163" s="9"/>
      <c r="D163" s="17">
        <v>3.0</v>
      </c>
      <c r="E163" s="9"/>
      <c r="F163" s="9"/>
      <c r="G163" s="9"/>
      <c r="H163" s="9"/>
      <c r="I163" s="9"/>
      <c r="J163" s="9"/>
      <c r="K163" s="9"/>
      <c r="L163" s="9"/>
      <c r="M163" s="9"/>
      <c r="N163" s="9"/>
      <c r="O163" s="9"/>
    </row>
    <row r="164">
      <c r="A164" s="11" t="s">
        <v>5747</v>
      </c>
      <c r="B164" s="9"/>
      <c r="C164" s="9"/>
      <c r="D164" s="17">
        <v>3.0</v>
      </c>
      <c r="E164" s="9"/>
      <c r="F164" s="9"/>
      <c r="G164" s="9"/>
      <c r="H164" s="9"/>
      <c r="I164" s="9"/>
      <c r="J164" s="9"/>
      <c r="K164" s="9"/>
      <c r="L164" s="9"/>
      <c r="M164" s="9"/>
      <c r="N164" s="9"/>
      <c r="O164" s="9"/>
    </row>
    <row r="165">
      <c r="A165" s="11" t="s">
        <v>5748</v>
      </c>
      <c r="B165" s="9"/>
      <c r="C165" s="9"/>
      <c r="D165" s="17">
        <v>3.0</v>
      </c>
      <c r="E165" s="9"/>
      <c r="F165" s="9"/>
      <c r="G165" s="9"/>
      <c r="H165" s="9"/>
      <c r="I165" s="9"/>
      <c r="J165" s="9"/>
      <c r="K165" s="9"/>
      <c r="L165" s="9"/>
      <c r="M165" s="9"/>
      <c r="N165" s="9"/>
      <c r="O165" s="9"/>
    </row>
    <row r="166">
      <c r="A166" s="11" t="s">
        <v>5749</v>
      </c>
      <c r="B166" s="9"/>
      <c r="C166" s="9"/>
      <c r="D166" s="17">
        <v>3.0</v>
      </c>
      <c r="E166" s="9"/>
      <c r="F166" s="9"/>
      <c r="G166" s="9"/>
      <c r="H166" s="9"/>
      <c r="I166" s="9"/>
      <c r="J166" s="9"/>
      <c r="K166" s="9"/>
      <c r="L166" s="9"/>
      <c r="M166" s="9"/>
      <c r="N166" s="9"/>
      <c r="O166" s="9"/>
    </row>
    <row r="167">
      <c r="A167" s="11" t="s">
        <v>5750</v>
      </c>
      <c r="B167" s="9"/>
      <c r="C167" s="9"/>
      <c r="D167" s="17">
        <v>3.0</v>
      </c>
      <c r="E167" s="9"/>
      <c r="F167" s="9"/>
      <c r="G167" s="9"/>
      <c r="H167" s="9"/>
      <c r="I167" s="9"/>
      <c r="J167" s="9"/>
      <c r="K167" s="9"/>
      <c r="L167" s="9"/>
      <c r="M167" s="9"/>
      <c r="N167" s="9"/>
      <c r="O167" s="9"/>
    </row>
    <row r="168">
      <c r="A168" s="11" t="s">
        <v>5751</v>
      </c>
      <c r="B168" s="9"/>
      <c r="C168" s="9"/>
      <c r="D168" s="17">
        <v>3.0</v>
      </c>
      <c r="E168" s="9"/>
      <c r="F168" s="9"/>
      <c r="G168" s="9"/>
      <c r="H168" s="9"/>
      <c r="I168" s="9"/>
      <c r="J168" s="9"/>
      <c r="K168" s="9"/>
      <c r="L168" s="9"/>
      <c r="M168" s="9"/>
      <c r="N168" s="9"/>
      <c r="O168" s="9"/>
    </row>
    <row r="169">
      <c r="A169" s="11" t="s">
        <v>5752</v>
      </c>
      <c r="B169" s="9"/>
      <c r="C169" s="9"/>
      <c r="D169" s="17">
        <v>5.0</v>
      </c>
      <c r="E169" s="17">
        <v>3.0</v>
      </c>
      <c r="F169" s="17">
        <v>3.0</v>
      </c>
      <c r="G169" s="17">
        <v>3.0</v>
      </c>
      <c r="H169" s="9"/>
      <c r="I169" s="9"/>
      <c r="J169" s="9"/>
      <c r="K169" s="9"/>
      <c r="L169" s="9"/>
      <c r="M169" s="9"/>
      <c r="N169" s="9"/>
      <c r="O169" s="9"/>
    </row>
    <row r="170">
      <c r="A170" s="11" t="s">
        <v>5753</v>
      </c>
      <c r="B170" s="9"/>
      <c r="C170" s="9"/>
      <c r="D170" s="17">
        <v>5.0</v>
      </c>
      <c r="E170" s="17">
        <v>3.0</v>
      </c>
      <c r="F170" s="17">
        <v>3.0</v>
      </c>
      <c r="G170" s="17">
        <v>3.0</v>
      </c>
      <c r="H170" s="9"/>
      <c r="I170" s="9"/>
      <c r="J170" s="9"/>
      <c r="K170" s="9"/>
      <c r="L170" s="9"/>
      <c r="M170" s="9"/>
      <c r="N170" s="9"/>
      <c r="O170" s="9"/>
    </row>
    <row r="171">
      <c r="A171" s="11" t="s">
        <v>5754</v>
      </c>
      <c r="B171" s="9"/>
      <c r="C171" s="9"/>
      <c r="D171" s="17">
        <v>5.0</v>
      </c>
      <c r="E171" s="17">
        <v>3.0</v>
      </c>
      <c r="F171" s="17">
        <v>3.0</v>
      </c>
      <c r="G171" s="17">
        <v>3.0</v>
      </c>
      <c r="H171" s="9"/>
      <c r="I171" s="9"/>
      <c r="J171" s="9"/>
      <c r="K171" s="9"/>
      <c r="L171" s="9"/>
      <c r="M171" s="9"/>
      <c r="N171" s="9"/>
      <c r="O171" s="9"/>
    </row>
    <row r="172">
      <c r="A172" s="11" t="s">
        <v>5755</v>
      </c>
      <c r="B172" s="9"/>
      <c r="C172" s="9"/>
      <c r="D172" s="17">
        <v>3.0</v>
      </c>
      <c r="E172" s="17">
        <v>3.0</v>
      </c>
      <c r="F172" s="17">
        <v>3.0</v>
      </c>
      <c r="G172" s="17">
        <v>3.0</v>
      </c>
      <c r="H172" s="9"/>
      <c r="I172" s="9"/>
      <c r="J172" s="9"/>
      <c r="K172" s="9"/>
      <c r="L172" s="9"/>
      <c r="M172" s="9"/>
      <c r="N172" s="9"/>
      <c r="O172" s="9"/>
    </row>
    <row r="173">
      <c r="A173" s="11" t="s">
        <v>5756</v>
      </c>
      <c r="B173" s="9"/>
      <c r="C173" s="9"/>
      <c r="D173" s="17">
        <v>3.0</v>
      </c>
      <c r="E173" s="17">
        <v>3.0</v>
      </c>
      <c r="F173" s="17">
        <v>3.0</v>
      </c>
      <c r="G173" s="17">
        <v>3.0</v>
      </c>
      <c r="H173" s="9"/>
      <c r="I173" s="9"/>
      <c r="J173" s="9"/>
      <c r="K173" s="9"/>
      <c r="L173" s="9"/>
      <c r="M173" s="9"/>
      <c r="N173" s="9"/>
      <c r="O173" s="9"/>
    </row>
    <row r="174">
      <c r="A174" s="20" t="s">
        <v>5757</v>
      </c>
      <c r="B174" s="9"/>
      <c r="C174" s="9"/>
      <c r="D174" s="17">
        <v>3.0</v>
      </c>
      <c r="E174" s="17">
        <v>3.0</v>
      </c>
      <c r="F174" s="17">
        <v>3.0</v>
      </c>
      <c r="G174" s="17">
        <v>3.0</v>
      </c>
      <c r="H174" s="9"/>
      <c r="I174" s="9"/>
      <c r="J174" s="9"/>
      <c r="K174" s="9"/>
      <c r="L174" s="9"/>
      <c r="M174" s="9"/>
      <c r="N174" s="9"/>
      <c r="O174" s="9"/>
    </row>
    <row r="175">
      <c r="A175" s="11" t="s">
        <v>5758</v>
      </c>
      <c r="B175" s="9"/>
      <c r="C175" s="9"/>
      <c r="D175" s="17">
        <v>3.0</v>
      </c>
      <c r="E175" s="17">
        <v>3.0</v>
      </c>
      <c r="F175" s="17">
        <v>3.0</v>
      </c>
      <c r="G175" s="17">
        <v>3.0</v>
      </c>
      <c r="H175" s="9"/>
      <c r="I175" s="9"/>
      <c r="J175" s="9"/>
      <c r="K175" s="9"/>
      <c r="L175" s="9"/>
      <c r="M175" s="9"/>
      <c r="N175" s="9"/>
      <c r="O175" s="9"/>
    </row>
    <row r="176">
      <c r="A176" s="20" t="s">
        <v>5759</v>
      </c>
      <c r="B176" s="9"/>
      <c r="C176" s="9"/>
      <c r="D176" s="17">
        <v>3.0</v>
      </c>
      <c r="E176" s="17">
        <v>3.0</v>
      </c>
      <c r="F176" s="17">
        <v>3.0</v>
      </c>
      <c r="G176" s="17">
        <v>3.0</v>
      </c>
      <c r="H176" s="9"/>
      <c r="I176" s="9"/>
      <c r="J176" s="9"/>
      <c r="K176" s="9"/>
      <c r="L176" s="9"/>
      <c r="M176" s="9"/>
      <c r="N176" s="9"/>
      <c r="O176" s="9"/>
    </row>
    <row r="177">
      <c r="A177" s="11" t="s">
        <v>5760</v>
      </c>
      <c r="B177" s="9"/>
      <c r="C177" s="9"/>
      <c r="D177" s="17">
        <v>3.0</v>
      </c>
      <c r="E177" s="17">
        <v>3.0</v>
      </c>
      <c r="F177" s="17">
        <v>3.0</v>
      </c>
      <c r="G177" s="17">
        <v>3.0</v>
      </c>
      <c r="H177" s="9"/>
      <c r="I177" s="9"/>
      <c r="J177" s="9"/>
      <c r="K177" s="9"/>
      <c r="L177" s="9"/>
      <c r="M177" s="9"/>
      <c r="N177" s="9"/>
      <c r="O177" s="9"/>
    </row>
    <row r="178">
      <c r="A178" s="11" t="s">
        <v>5761</v>
      </c>
      <c r="B178" s="9"/>
      <c r="C178" s="9"/>
      <c r="D178" s="17">
        <v>3.0</v>
      </c>
      <c r="E178" s="17">
        <v>3.0</v>
      </c>
      <c r="F178" s="17">
        <v>3.0</v>
      </c>
      <c r="G178" s="17">
        <v>3.0</v>
      </c>
      <c r="H178" s="9"/>
      <c r="I178" s="9"/>
      <c r="J178" s="9"/>
      <c r="K178" s="9"/>
      <c r="L178" s="9"/>
      <c r="M178" s="9"/>
      <c r="N178" s="9"/>
      <c r="O178" s="9"/>
    </row>
    <row r="179">
      <c r="A179" s="11" t="s">
        <v>5762</v>
      </c>
      <c r="B179" s="9"/>
      <c r="C179" s="9"/>
      <c r="D179" s="17">
        <v>3.0</v>
      </c>
      <c r="E179" s="17">
        <v>3.0</v>
      </c>
      <c r="F179" s="17">
        <v>3.0</v>
      </c>
      <c r="G179" s="17">
        <v>3.0</v>
      </c>
      <c r="H179" s="9"/>
      <c r="I179" s="9"/>
      <c r="J179" s="9"/>
      <c r="K179" s="9"/>
      <c r="L179" s="9"/>
      <c r="M179" s="9"/>
      <c r="N179" s="9"/>
      <c r="O179" s="9"/>
    </row>
    <row r="180">
      <c r="A180" s="11" t="s">
        <v>5763</v>
      </c>
      <c r="B180" s="9"/>
      <c r="C180" s="9"/>
      <c r="D180" s="17">
        <v>3.0</v>
      </c>
      <c r="E180" s="17">
        <v>3.0</v>
      </c>
      <c r="F180" s="17">
        <v>3.0</v>
      </c>
      <c r="G180" s="17">
        <v>3.0</v>
      </c>
      <c r="H180" s="9"/>
      <c r="I180" s="9"/>
      <c r="J180" s="9"/>
      <c r="K180" s="9"/>
      <c r="L180" s="9"/>
      <c r="M180" s="9"/>
      <c r="N180" s="9"/>
      <c r="O180" s="9"/>
    </row>
    <row r="181">
      <c r="A181" s="11" t="s">
        <v>5764</v>
      </c>
      <c r="B181" s="9"/>
      <c r="C181" s="9"/>
      <c r="D181" s="17">
        <v>3.0</v>
      </c>
      <c r="E181" s="17">
        <v>3.0</v>
      </c>
      <c r="F181" s="17">
        <v>3.0</v>
      </c>
      <c r="G181" s="17">
        <v>3.0</v>
      </c>
      <c r="H181" s="9"/>
      <c r="I181" s="9"/>
      <c r="J181" s="9"/>
      <c r="K181" s="9"/>
      <c r="L181" s="9"/>
      <c r="M181" s="9"/>
      <c r="N181" s="9"/>
      <c r="O181" s="9"/>
    </row>
    <row r="182">
      <c r="A182" s="11" t="s">
        <v>5765</v>
      </c>
      <c r="B182" s="9"/>
      <c r="C182" s="9"/>
      <c r="D182" s="17">
        <v>3.0</v>
      </c>
      <c r="E182" s="17">
        <v>3.0</v>
      </c>
      <c r="F182" s="17">
        <v>3.0</v>
      </c>
      <c r="G182" s="17">
        <v>3.0</v>
      </c>
      <c r="H182" s="9"/>
      <c r="I182" s="9"/>
      <c r="J182" s="9"/>
      <c r="K182" s="9"/>
      <c r="L182" s="9"/>
      <c r="M182" s="9"/>
      <c r="N182" s="9"/>
      <c r="O182" s="9"/>
    </row>
    <row r="183">
      <c r="A183" s="11" t="s">
        <v>5766</v>
      </c>
      <c r="B183" s="9"/>
      <c r="C183" s="9"/>
      <c r="D183" s="17">
        <v>3.0</v>
      </c>
      <c r="E183" s="17">
        <v>3.0</v>
      </c>
      <c r="F183" s="17">
        <v>3.0</v>
      </c>
      <c r="G183" s="17">
        <v>3.0</v>
      </c>
      <c r="H183" s="9"/>
      <c r="I183" s="9"/>
      <c r="J183" s="9"/>
      <c r="K183" s="9"/>
      <c r="L183" s="9"/>
      <c r="M183" s="9"/>
      <c r="N183" s="9"/>
      <c r="O183" s="9"/>
    </row>
    <row r="184">
      <c r="A184" s="21" t="s">
        <v>5767</v>
      </c>
      <c r="B184" s="9"/>
      <c r="C184" s="9"/>
      <c r="D184" s="17">
        <v>3.0</v>
      </c>
      <c r="E184" s="17">
        <v>3.0</v>
      </c>
      <c r="F184" s="17">
        <v>3.0</v>
      </c>
      <c r="G184" s="17">
        <v>3.0</v>
      </c>
      <c r="H184" s="9"/>
      <c r="I184" s="9"/>
      <c r="J184" s="9"/>
      <c r="K184" s="9"/>
      <c r="L184" s="9"/>
      <c r="M184" s="9"/>
      <c r="N184" s="9"/>
      <c r="O184" s="9"/>
    </row>
    <row r="185">
      <c r="A185" s="20" t="s">
        <v>5768</v>
      </c>
      <c r="B185" s="9"/>
      <c r="C185" s="9"/>
      <c r="D185" s="17">
        <v>3.0</v>
      </c>
      <c r="E185" s="17">
        <v>3.0</v>
      </c>
      <c r="F185" s="17">
        <v>3.0</v>
      </c>
      <c r="G185" s="17">
        <v>3.0</v>
      </c>
      <c r="H185" s="9"/>
      <c r="I185" s="9"/>
      <c r="J185" s="9"/>
      <c r="K185" s="9"/>
      <c r="L185" s="9"/>
      <c r="M185" s="9"/>
      <c r="N185" s="9"/>
      <c r="O185" s="9"/>
    </row>
    <row r="186">
      <c r="A186" s="20" t="s">
        <v>5769</v>
      </c>
      <c r="B186" s="9"/>
      <c r="C186" s="9"/>
      <c r="D186" s="17">
        <v>3.0</v>
      </c>
      <c r="E186" s="17">
        <v>3.0</v>
      </c>
      <c r="F186" s="17">
        <v>3.0</v>
      </c>
      <c r="G186" s="17">
        <v>3.0</v>
      </c>
      <c r="H186" s="9"/>
      <c r="I186" s="9"/>
      <c r="J186" s="9"/>
      <c r="K186" s="9"/>
      <c r="L186" s="9"/>
      <c r="M186" s="9"/>
      <c r="N186" s="9"/>
      <c r="O186" s="9"/>
    </row>
    <row r="187">
      <c r="A187" s="11" t="s">
        <v>5770</v>
      </c>
      <c r="B187" s="9"/>
      <c r="C187" s="9"/>
      <c r="D187" s="17">
        <v>3.0</v>
      </c>
      <c r="E187" s="17">
        <v>3.0</v>
      </c>
      <c r="F187" s="17">
        <v>3.0</v>
      </c>
      <c r="G187" s="17">
        <v>3.0</v>
      </c>
      <c r="H187" s="9"/>
      <c r="I187" s="9"/>
      <c r="J187" s="9"/>
      <c r="K187" s="9"/>
      <c r="L187" s="9"/>
      <c r="M187" s="9"/>
      <c r="N187" s="9"/>
      <c r="O187" s="9"/>
    </row>
    <row r="188">
      <c r="A188" s="11" t="s">
        <v>5771</v>
      </c>
      <c r="B188" s="9"/>
      <c r="C188" s="9"/>
      <c r="D188" s="17">
        <v>3.0</v>
      </c>
      <c r="E188" s="17">
        <v>3.0</v>
      </c>
      <c r="F188" s="17">
        <v>3.0</v>
      </c>
      <c r="G188" s="17">
        <v>3.0</v>
      </c>
      <c r="H188" s="9"/>
      <c r="I188" s="9"/>
      <c r="J188" s="9"/>
      <c r="K188" s="9"/>
      <c r="L188" s="9"/>
      <c r="M188" s="9"/>
      <c r="N188" s="9"/>
      <c r="O188" s="9"/>
    </row>
    <row r="189">
      <c r="A189" s="11" t="s">
        <v>5772</v>
      </c>
      <c r="B189" s="9"/>
      <c r="C189" s="9"/>
      <c r="D189" s="17">
        <v>3.0</v>
      </c>
      <c r="E189" s="17">
        <v>3.0</v>
      </c>
      <c r="F189" s="17">
        <v>3.0</v>
      </c>
      <c r="G189" s="17">
        <v>3.0</v>
      </c>
      <c r="H189" s="9"/>
      <c r="I189" s="9"/>
      <c r="J189" s="9"/>
      <c r="K189" s="9"/>
      <c r="L189" s="9"/>
      <c r="M189" s="9"/>
      <c r="N189" s="9"/>
      <c r="O189" s="9"/>
    </row>
    <row r="190">
      <c r="A190" s="22" t="s">
        <v>5773</v>
      </c>
      <c r="B190" s="9"/>
      <c r="C190" s="9"/>
      <c r="D190" s="9"/>
      <c r="E190" s="9"/>
      <c r="F190" s="9"/>
      <c r="G190" s="9"/>
      <c r="H190" s="9"/>
      <c r="I190" s="9"/>
      <c r="J190" s="9"/>
      <c r="K190" s="9"/>
      <c r="L190" s="9"/>
      <c r="M190" s="9"/>
      <c r="N190" s="9"/>
      <c r="O190" s="9"/>
    </row>
    <row r="191">
      <c r="A191" s="11" t="s">
        <v>5774</v>
      </c>
      <c r="B191" s="9"/>
      <c r="C191" s="9"/>
      <c r="D191" s="17">
        <v>3.0</v>
      </c>
      <c r="E191" s="17">
        <v>3.0</v>
      </c>
      <c r="F191" s="17">
        <v>3.0</v>
      </c>
      <c r="G191" s="17">
        <v>3.0</v>
      </c>
      <c r="H191" s="9"/>
      <c r="I191" s="9"/>
      <c r="J191" s="9"/>
      <c r="K191" s="9"/>
      <c r="L191" s="9"/>
      <c r="M191" s="9"/>
      <c r="N191" s="9"/>
      <c r="O191" s="9"/>
    </row>
    <row r="192">
      <c r="A192" s="11" t="s">
        <v>5775</v>
      </c>
      <c r="B192" s="9"/>
      <c r="C192" s="9"/>
      <c r="D192" s="17">
        <v>3.0</v>
      </c>
      <c r="E192" s="17">
        <v>3.0</v>
      </c>
      <c r="F192" s="17">
        <v>3.0</v>
      </c>
      <c r="G192" s="17">
        <v>3.0</v>
      </c>
      <c r="H192" s="9"/>
      <c r="I192" s="9"/>
      <c r="J192" s="9"/>
      <c r="K192" s="9"/>
      <c r="L192" s="9"/>
      <c r="M192" s="9"/>
      <c r="N192" s="9"/>
      <c r="O192" s="9"/>
    </row>
    <row r="193">
      <c r="A193" s="11" t="s">
        <v>5776</v>
      </c>
      <c r="B193" s="9"/>
      <c r="C193" s="9"/>
      <c r="D193" s="17">
        <v>3.0</v>
      </c>
      <c r="E193" s="17">
        <v>3.0</v>
      </c>
      <c r="F193" s="17">
        <v>3.0</v>
      </c>
      <c r="G193" s="17">
        <v>3.0</v>
      </c>
      <c r="H193" s="9"/>
      <c r="I193" s="9"/>
      <c r="J193" s="9"/>
      <c r="K193" s="9"/>
      <c r="L193" s="9"/>
      <c r="M193" s="9"/>
      <c r="N193" s="9"/>
      <c r="O193" s="9"/>
    </row>
    <row r="194">
      <c r="A194" s="20" t="s">
        <v>5777</v>
      </c>
      <c r="B194" s="9"/>
      <c r="C194" s="9"/>
      <c r="D194" s="17">
        <v>3.0</v>
      </c>
      <c r="E194" s="17">
        <v>3.0</v>
      </c>
      <c r="F194" s="17">
        <v>3.0</v>
      </c>
      <c r="G194" s="17">
        <v>3.0</v>
      </c>
      <c r="H194" s="9"/>
      <c r="I194" s="9"/>
      <c r="J194" s="9"/>
      <c r="K194" s="9"/>
      <c r="L194" s="9"/>
      <c r="M194" s="9"/>
      <c r="N194" s="9"/>
      <c r="O194" s="9"/>
    </row>
    <row r="195">
      <c r="A195" s="21" t="s">
        <v>5778</v>
      </c>
      <c r="B195" s="9"/>
      <c r="C195" s="9"/>
      <c r="D195" s="17">
        <v>3.0</v>
      </c>
      <c r="E195" s="17">
        <v>3.0</v>
      </c>
      <c r="F195" s="17">
        <v>3.0</v>
      </c>
      <c r="G195" s="17">
        <v>3.0</v>
      </c>
      <c r="H195" s="9"/>
      <c r="I195" s="9"/>
      <c r="J195" s="9"/>
      <c r="K195" s="9"/>
      <c r="L195" s="9"/>
      <c r="M195" s="9"/>
      <c r="N195" s="9"/>
      <c r="O195" s="9"/>
    </row>
    <row r="196">
      <c r="A196" s="22" t="s">
        <v>1832</v>
      </c>
      <c r="B196" s="9"/>
      <c r="C196" s="9"/>
      <c r="D196" s="9"/>
      <c r="E196" s="9"/>
      <c r="F196" s="9"/>
      <c r="G196" s="9"/>
      <c r="H196" s="9"/>
      <c r="I196" s="9"/>
      <c r="J196" s="9"/>
      <c r="K196" s="9"/>
      <c r="L196" s="9"/>
      <c r="M196" s="9"/>
      <c r="N196" s="9"/>
      <c r="O196" s="9"/>
    </row>
    <row r="197">
      <c r="A197" s="22" t="s">
        <v>5779</v>
      </c>
      <c r="B197" s="9"/>
      <c r="C197" s="9"/>
      <c r="D197" s="9"/>
      <c r="E197" s="9"/>
      <c r="F197" s="9"/>
      <c r="G197" s="9"/>
      <c r="H197" s="9"/>
      <c r="I197" s="9"/>
      <c r="J197" s="9"/>
      <c r="K197" s="9"/>
      <c r="L197" s="9"/>
      <c r="M197" s="9"/>
      <c r="N197" s="9"/>
      <c r="O197" s="9"/>
    </row>
    <row r="198">
      <c r="A198" s="20" t="s">
        <v>5780</v>
      </c>
      <c r="B198" s="9"/>
      <c r="C198" s="9"/>
      <c r="D198" s="17">
        <v>3.0</v>
      </c>
      <c r="E198" s="17">
        <v>3.0</v>
      </c>
      <c r="F198" s="17">
        <v>3.0</v>
      </c>
      <c r="G198" s="17">
        <v>3.0</v>
      </c>
      <c r="H198" s="9"/>
      <c r="I198" s="9"/>
      <c r="J198" s="9"/>
      <c r="K198" s="9"/>
      <c r="L198" s="9"/>
      <c r="M198" s="9"/>
      <c r="N198" s="9"/>
      <c r="O198" s="9"/>
    </row>
    <row r="199">
      <c r="A199" s="20" t="s">
        <v>5781</v>
      </c>
      <c r="B199" s="9"/>
      <c r="C199" s="9"/>
      <c r="D199" s="17">
        <v>3.0</v>
      </c>
      <c r="E199" s="17">
        <v>3.0</v>
      </c>
      <c r="F199" s="17">
        <v>3.0</v>
      </c>
      <c r="G199" s="17">
        <v>3.0</v>
      </c>
      <c r="H199" s="9"/>
      <c r="I199" s="9"/>
      <c r="J199" s="9"/>
      <c r="K199" s="9"/>
      <c r="L199" s="9"/>
      <c r="M199" s="9"/>
      <c r="N199" s="9"/>
      <c r="O199" s="9"/>
    </row>
    <row r="200">
      <c r="A200" s="11" t="s">
        <v>5782</v>
      </c>
      <c r="B200" s="9"/>
      <c r="C200" s="8" t="s">
        <v>109</v>
      </c>
      <c r="D200" s="8">
        <v>5.0</v>
      </c>
      <c r="E200" s="8">
        <v>5.0</v>
      </c>
      <c r="F200" s="8">
        <v>5.0</v>
      </c>
      <c r="G200" s="8">
        <v>3.0</v>
      </c>
      <c r="H200" s="9"/>
      <c r="I200" s="9"/>
      <c r="J200" s="9"/>
      <c r="K200" s="9"/>
      <c r="L200" s="9"/>
      <c r="M200" s="9"/>
      <c r="N200" s="9"/>
      <c r="O200" s="9"/>
    </row>
    <row r="201">
      <c r="A201" s="11" t="s">
        <v>5783</v>
      </c>
      <c r="B201" s="9"/>
      <c r="C201" s="8" t="s">
        <v>109</v>
      </c>
      <c r="D201" s="8">
        <v>5.0</v>
      </c>
      <c r="E201" s="8">
        <v>5.0</v>
      </c>
      <c r="F201" s="8">
        <v>5.0</v>
      </c>
      <c r="G201" s="8">
        <v>5.0</v>
      </c>
      <c r="H201" s="9"/>
      <c r="I201" s="9"/>
      <c r="J201" s="9"/>
      <c r="K201" s="9"/>
      <c r="L201" s="9"/>
      <c r="M201" s="9"/>
      <c r="N201" s="9"/>
      <c r="O201" s="9"/>
    </row>
    <row r="202">
      <c r="A202" s="11" t="s">
        <v>5784</v>
      </c>
      <c r="B202" s="9"/>
      <c r="C202" s="9"/>
      <c r="D202" s="17">
        <v>3.0</v>
      </c>
      <c r="E202" s="17">
        <v>3.0</v>
      </c>
      <c r="F202" s="17">
        <v>3.0</v>
      </c>
      <c r="G202" s="17">
        <v>3.0</v>
      </c>
      <c r="H202" s="9"/>
      <c r="I202" s="9"/>
      <c r="J202" s="9"/>
      <c r="K202" s="9"/>
      <c r="L202" s="9"/>
      <c r="M202" s="9"/>
      <c r="N202" s="9"/>
      <c r="O202" s="9"/>
    </row>
    <row r="203">
      <c r="A203" s="20" t="s">
        <v>5785</v>
      </c>
      <c r="B203" s="9"/>
      <c r="C203" s="9"/>
      <c r="D203" s="17">
        <v>3.0</v>
      </c>
      <c r="E203" s="17">
        <v>3.0</v>
      </c>
      <c r="F203" s="17">
        <v>3.0</v>
      </c>
      <c r="G203" s="17">
        <v>3.0</v>
      </c>
      <c r="H203" s="9"/>
      <c r="I203" s="9"/>
      <c r="J203" s="9"/>
      <c r="K203" s="9"/>
      <c r="L203" s="9"/>
      <c r="M203" s="9"/>
      <c r="N203" s="9"/>
      <c r="O203" s="9"/>
    </row>
    <row r="204">
      <c r="A204" s="20" t="s">
        <v>5786</v>
      </c>
      <c r="B204" s="9"/>
      <c r="C204" s="9"/>
      <c r="D204" s="17">
        <v>3.0</v>
      </c>
      <c r="E204" s="17">
        <v>3.0</v>
      </c>
      <c r="F204" s="17">
        <v>3.0</v>
      </c>
      <c r="G204" s="17">
        <v>3.0</v>
      </c>
      <c r="H204" s="9"/>
      <c r="I204" s="9"/>
      <c r="J204" s="9"/>
      <c r="K204" s="9"/>
      <c r="L204" s="9"/>
      <c r="M204" s="9"/>
      <c r="N204" s="9"/>
      <c r="O204" s="9"/>
    </row>
    <row r="205">
      <c r="A205" s="20" t="s">
        <v>5787</v>
      </c>
      <c r="B205" s="9"/>
      <c r="C205" s="9"/>
      <c r="D205" s="17">
        <v>3.0</v>
      </c>
      <c r="E205" s="17">
        <v>3.0</v>
      </c>
      <c r="F205" s="17">
        <v>3.0</v>
      </c>
      <c r="G205" s="17">
        <v>3.0</v>
      </c>
      <c r="H205" s="9"/>
      <c r="I205" s="9"/>
      <c r="J205" s="9"/>
      <c r="K205" s="9"/>
      <c r="L205" s="9"/>
      <c r="M205" s="9"/>
      <c r="N205" s="9"/>
      <c r="O205" s="9"/>
    </row>
    <row r="206">
      <c r="A206" s="20" t="s">
        <v>5788</v>
      </c>
      <c r="B206" s="9"/>
      <c r="C206" s="9"/>
      <c r="D206" s="17">
        <v>3.0</v>
      </c>
      <c r="E206" s="17">
        <v>3.0</v>
      </c>
      <c r="F206" s="17">
        <v>3.0</v>
      </c>
      <c r="G206" s="17">
        <v>3.0</v>
      </c>
      <c r="H206" s="9"/>
      <c r="I206" s="9"/>
      <c r="J206" s="9"/>
      <c r="K206" s="9"/>
      <c r="L206" s="9"/>
      <c r="M206" s="9"/>
      <c r="N206" s="9"/>
      <c r="O206" s="9"/>
    </row>
    <row r="207">
      <c r="A207" s="20" t="s">
        <v>5789</v>
      </c>
      <c r="B207" s="9"/>
      <c r="C207" s="9"/>
      <c r="D207" s="17">
        <v>3.0</v>
      </c>
      <c r="E207" s="17">
        <v>3.0</v>
      </c>
      <c r="F207" s="17">
        <v>3.0</v>
      </c>
      <c r="G207" s="17">
        <v>3.0</v>
      </c>
      <c r="H207" s="9"/>
      <c r="I207" s="9"/>
      <c r="J207" s="9"/>
      <c r="K207" s="9"/>
      <c r="L207" s="9"/>
      <c r="M207" s="9"/>
      <c r="N207" s="9"/>
      <c r="O207" s="9"/>
    </row>
    <row r="208">
      <c r="A208" s="11" t="s">
        <v>5790</v>
      </c>
      <c r="B208" s="8" t="s">
        <v>54</v>
      </c>
      <c r="C208" s="9"/>
      <c r="D208" s="17"/>
      <c r="E208" s="9"/>
      <c r="F208" s="9"/>
      <c r="G208" s="9"/>
      <c r="H208" s="9"/>
      <c r="I208" s="9"/>
      <c r="J208" s="9"/>
      <c r="K208" s="9"/>
      <c r="L208" s="9"/>
      <c r="M208" s="9"/>
      <c r="N208" s="9"/>
      <c r="O208" s="9"/>
    </row>
    <row r="209">
      <c r="A209" s="19" t="s">
        <v>5791</v>
      </c>
      <c r="B209" s="9"/>
      <c r="C209" s="9"/>
      <c r="D209" s="17">
        <v>3.0</v>
      </c>
      <c r="E209" s="17">
        <v>3.0</v>
      </c>
      <c r="F209" s="17">
        <v>3.0</v>
      </c>
      <c r="G209" s="17">
        <v>3.0</v>
      </c>
      <c r="H209" s="9"/>
      <c r="I209" s="9"/>
      <c r="J209" s="9"/>
      <c r="K209" s="9"/>
      <c r="L209" s="9"/>
      <c r="M209" s="9"/>
      <c r="N209" s="9"/>
      <c r="O209" s="9"/>
    </row>
    <row r="210">
      <c r="A210" s="19" t="s">
        <v>5792</v>
      </c>
      <c r="B210" s="9"/>
      <c r="C210" s="9"/>
      <c r="D210" s="17">
        <v>3.0</v>
      </c>
      <c r="E210" s="17">
        <v>3.0</v>
      </c>
      <c r="F210" s="17">
        <v>3.0</v>
      </c>
      <c r="G210" s="17">
        <v>3.0</v>
      </c>
      <c r="H210" s="9"/>
      <c r="I210" s="9"/>
      <c r="J210" s="9"/>
      <c r="K210" s="9"/>
      <c r="L210" s="9"/>
      <c r="M210" s="9"/>
      <c r="N210" s="9"/>
      <c r="O210" s="9"/>
    </row>
    <row r="211">
      <c r="A211" s="11" t="s">
        <v>5793</v>
      </c>
      <c r="B211" s="9"/>
      <c r="C211" s="9"/>
      <c r="D211" s="17">
        <v>3.0</v>
      </c>
      <c r="E211" s="17">
        <v>3.0</v>
      </c>
      <c r="F211" s="17">
        <v>3.0</v>
      </c>
      <c r="G211" s="17">
        <v>3.0</v>
      </c>
      <c r="H211" s="9"/>
      <c r="I211" s="9"/>
      <c r="J211" s="9"/>
      <c r="K211" s="9"/>
      <c r="L211" s="9"/>
      <c r="M211" s="9"/>
      <c r="N211" s="9"/>
      <c r="O211" s="9"/>
    </row>
    <row r="212">
      <c r="A212" s="20" t="s">
        <v>5794</v>
      </c>
      <c r="B212" s="9"/>
      <c r="C212" s="9"/>
      <c r="D212" s="17">
        <v>3.0</v>
      </c>
      <c r="E212" s="17">
        <v>3.0</v>
      </c>
      <c r="F212" s="17">
        <v>3.0</v>
      </c>
      <c r="G212" s="17">
        <v>3.0</v>
      </c>
      <c r="H212" s="9"/>
      <c r="I212" s="9"/>
      <c r="J212" s="9"/>
      <c r="K212" s="9"/>
      <c r="L212" s="9"/>
      <c r="M212" s="9"/>
      <c r="N212" s="9"/>
      <c r="O212" s="9"/>
    </row>
    <row r="213">
      <c r="A213" s="11" t="s">
        <v>5795</v>
      </c>
      <c r="B213" s="9"/>
      <c r="C213" s="9"/>
      <c r="D213" s="17">
        <v>3.0</v>
      </c>
      <c r="E213" s="17">
        <v>3.0</v>
      </c>
      <c r="F213" s="17">
        <v>3.0</v>
      </c>
      <c r="G213" s="17">
        <v>3.0</v>
      </c>
      <c r="H213" s="9"/>
      <c r="I213" s="9"/>
      <c r="J213" s="9"/>
      <c r="K213" s="9"/>
      <c r="L213" s="9"/>
      <c r="M213" s="9"/>
      <c r="N213" s="9"/>
      <c r="O213" s="9"/>
    </row>
    <row r="214">
      <c r="A214" s="11" t="s">
        <v>5796</v>
      </c>
      <c r="B214" s="9"/>
      <c r="C214" s="9"/>
      <c r="D214" s="17">
        <v>3.0</v>
      </c>
      <c r="E214" s="17">
        <v>3.0</v>
      </c>
      <c r="F214" s="17">
        <v>3.0</v>
      </c>
      <c r="G214" s="17">
        <v>3.0</v>
      </c>
      <c r="H214" s="9"/>
      <c r="I214" s="9"/>
      <c r="J214" s="9"/>
      <c r="K214" s="9"/>
      <c r="L214" s="9"/>
      <c r="M214" s="9"/>
      <c r="N214" s="9"/>
      <c r="O214" s="9"/>
    </row>
    <row r="215">
      <c r="A215" s="11" t="s">
        <v>5797</v>
      </c>
      <c r="B215" s="9"/>
      <c r="C215" s="9"/>
      <c r="D215" s="17">
        <v>3.0</v>
      </c>
      <c r="E215" s="17">
        <v>3.0</v>
      </c>
      <c r="F215" s="17">
        <v>3.0</v>
      </c>
      <c r="G215" s="17">
        <v>3.0</v>
      </c>
      <c r="H215" s="9"/>
      <c r="I215" s="9"/>
      <c r="J215" s="9"/>
      <c r="K215" s="9"/>
      <c r="L215" s="9"/>
      <c r="M215" s="9"/>
      <c r="N215" s="9"/>
      <c r="O215" s="9"/>
    </row>
    <row r="216">
      <c r="A216" s="11" t="s">
        <v>5798</v>
      </c>
      <c r="B216" s="9"/>
      <c r="C216" s="9"/>
      <c r="D216" s="17">
        <v>3.0</v>
      </c>
      <c r="E216" s="17">
        <v>3.0</v>
      </c>
      <c r="F216" s="17">
        <v>3.0</v>
      </c>
      <c r="G216" s="17">
        <v>3.0</v>
      </c>
      <c r="H216" s="9"/>
      <c r="I216" s="9"/>
      <c r="J216" s="9"/>
      <c r="K216" s="9"/>
      <c r="L216" s="9"/>
      <c r="M216" s="9"/>
      <c r="N216" s="9"/>
      <c r="O216" s="9"/>
    </row>
    <row r="217">
      <c r="A217" s="11" t="s">
        <v>5799</v>
      </c>
      <c r="B217" s="9"/>
      <c r="C217" s="9"/>
      <c r="D217" s="17">
        <v>3.0</v>
      </c>
      <c r="E217" s="17">
        <v>3.0</v>
      </c>
      <c r="F217" s="17">
        <v>3.0</v>
      </c>
      <c r="G217" s="17">
        <v>3.0</v>
      </c>
      <c r="H217" s="9"/>
      <c r="I217" s="9"/>
      <c r="J217" s="9"/>
      <c r="K217" s="9"/>
      <c r="L217" s="9"/>
      <c r="M217" s="9"/>
      <c r="N217" s="9"/>
      <c r="O217" s="9"/>
    </row>
    <row r="218">
      <c r="A218" s="11" t="s">
        <v>2447</v>
      </c>
      <c r="B218" s="9"/>
      <c r="C218" s="9"/>
      <c r="D218" s="17">
        <v>3.0</v>
      </c>
      <c r="E218" s="17">
        <v>3.0</v>
      </c>
      <c r="F218" s="17">
        <v>3.0</v>
      </c>
      <c r="G218" s="17">
        <v>3.0</v>
      </c>
      <c r="H218" s="9"/>
      <c r="I218" s="9"/>
      <c r="J218" s="9"/>
      <c r="K218" s="9"/>
      <c r="L218" s="9"/>
      <c r="M218" s="9"/>
      <c r="N218" s="9"/>
      <c r="O218" s="9"/>
    </row>
    <row r="219">
      <c r="A219" s="11" t="s">
        <v>5800</v>
      </c>
      <c r="B219" s="9"/>
      <c r="C219" s="9"/>
      <c r="D219" s="17">
        <v>3.0</v>
      </c>
      <c r="E219" s="17">
        <v>3.0</v>
      </c>
      <c r="F219" s="17">
        <v>3.0</v>
      </c>
      <c r="G219" s="17">
        <v>3.0</v>
      </c>
      <c r="H219" s="9"/>
      <c r="I219" s="9"/>
      <c r="J219" s="9"/>
      <c r="K219" s="9"/>
      <c r="L219" s="9"/>
      <c r="M219" s="9"/>
      <c r="N219" s="9"/>
      <c r="O219" s="9"/>
    </row>
    <row r="220">
      <c r="A220" s="19" t="s">
        <v>5801</v>
      </c>
      <c r="B220" s="9"/>
      <c r="C220" s="9"/>
      <c r="D220" s="17">
        <v>3.0</v>
      </c>
      <c r="E220" s="17">
        <v>3.0</v>
      </c>
      <c r="F220" s="17">
        <v>3.0</v>
      </c>
      <c r="G220" s="17">
        <v>3.0</v>
      </c>
      <c r="H220" s="9"/>
      <c r="I220" s="9"/>
      <c r="J220" s="9"/>
      <c r="K220" s="9"/>
      <c r="L220" s="9"/>
      <c r="M220" s="9"/>
      <c r="N220" s="9"/>
      <c r="O220" s="9"/>
    </row>
    <row r="221">
      <c r="A221" s="19" t="s">
        <v>5802</v>
      </c>
      <c r="B221" s="9"/>
      <c r="C221" s="9"/>
      <c r="D221" s="8">
        <v>5.0</v>
      </c>
      <c r="E221" s="8">
        <v>3.0</v>
      </c>
      <c r="F221" s="8">
        <v>3.0</v>
      </c>
      <c r="G221" s="8">
        <v>3.0</v>
      </c>
      <c r="H221" s="9"/>
      <c r="I221" s="9"/>
      <c r="J221" s="9"/>
      <c r="K221" s="9"/>
      <c r="L221" s="9"/>
      <c r="M221" s="9"/>
      <c r="N221" s="9"/>
      <c r="O221" s="9"/>
    </row>
    <row r="222">
      <c r="A222" s="11" t="s">
        <v>5803</v>
      </c>
      <c r="B222" s="9"/>
      <c r="C222" s="9"/>
      <c r="D222" s="17">
        <v>3.0</v>
      </c>
      <c r="E222" s="17">
        <v>3.0</v>
      </c>
      <c r="F222" s="17">
        <v>3.0</v>
      </c>
      <c r="G222" s="17">
        <v>3.0</v>
      </c>
      <c r="H222" s="9"/>
      <c r="I222" s="9"/>
      <c r="J222" s="9"/>
      <c r="K222" s="9"/>
      <c r="L222" s="9"/>
      <c r="M222" s="9"/>
      <c r="N222" s="9"/>
      <c r="O222" s="9"/>
    </row>
    <row r="223">
      <c r="A223" s="11" t="s">
        <v>5804</v>
      </c>
      <c r="B223" s="9"/>
      <c r="C223" s="9"/>
      <c r="D223" s="17">
        <v>3.0</v>
      </c>
      <c r="E223" s="17">
        <v>3.0</v>
      </c>
      <c r="F223" s="17">
        <v>3.0</v>
      </c>
      <c r="G223" s="17">
        <v>3.0</v>
      </c>
      <c r="H223" s="9"/>
      <c r="I223" s="9"/>
      <c r="J223" s="9"/>
      <c r="K223" s="9"/>
      <c r="L223" s="9"/>
      <c r="M223" s="9"/>
      <c r="N223" s="9"/>
      <c r="O223" s="9"/>
    </row>
    <row r="224">
      <c r="A224" s="11" t="s">
        <v>5805</v>
      </c>
      <c r="B224" s="9"/>
      <c r="C224" s="9"/>
      <c r="D224" s="17">
        <v>3.0</v>
      </c>
      <c r="E224" s="17">
        <v>3.0</v>
      </c>
      <c r="F224" s="17">
        <v>3.0</v>
      </c>
      <c r="G224" s="17">
        <v>3.0</v>
      </c>
      <c r="H224" s="9"/>
      <c r="I224" s="9"/>
      <c r="J224" s="9"/>
      <c r="K224" s="9"/>
      <c r="L224" s="9"/>
      <c r="M224" s="9"/>
      <c r="N224" s="9"/>
      <c r="O224" s="9"/>
    </row>
    <row r="225">
      <c r="A225" s="11" t="s">
        <v>5806</v>
      </c>
      <c r="B225" s="9"/>
      <c r="C225" s="9"/>
      <c r="D225" s="17">
        <v>3.0</v>
      </c>
      <c r="E225" s="17">
        <v>3.0</v>
      </c>
      <c r="F225" s="17">
        <v>3.0</v>
      </c>
      <c r="G225" s="17">
        <v>3.0</v>
      </c>
      <c r="H225" s="9"/>
      <c r="I225" s="9"/>
      <c r="J225" s="9"/>
      <c r="K225" s="9"/>
      <c r="L225" s="9"/>
      <c r="M225" s="9"/>
      <c r="N225" s="9"/>
      <c r="O225" s="9"/>
    </row>
    <row r="226">
      <c r="A226" s="11" t="s">
        <v>5807</v>
      </c>
      <c r="B226" s="9"/>
      <c r="C226" s="9"/>
      <c r="D226" s="17">
        <v>3.0</v>
      </c>
      <c r="E226" s="17">
        <v>3.0</v>
      </c>
      <c r="F226" s="17">
        <v>3.0</v>
      </c>
      <c r="G226" s="17">
        <v>3.0</v>
      </c>
      <c r="H226" s="9"/>
      <c r="I226" s="9"/>
      <c r="J226" s="9"/>
      <c r="K226" s="9"/>
      <c r="L226" s="9"/>
      <c r="M226" s="9"/>
      <c r="N226" s="9"/>
      <c r="O226" s="9"/>
    </row>
    <row r="227">
      <c r="A227" s="11" t="s">
        <v>5808</v>
      </c>
      <c r="B227" s="9"/>
      <c r="C227" s="9"/>
      <c r="D227" s="17">
        <v>3.0</v>
      </c>
      <c r="E227" s="17">
        <v>3.0</v>
      </c>
      <c r="F227" s="17">
        <v>3.0</v>
      </c>
      <c r="G227" s="17">
        <v>3.0</v>
      </c>
      <c r="H227" s="9"/>
      <c r="I227" s="9"/>
      <c r="J227" s="9"/>
      <c r="K227" s="9"/>
      <c r="L227" s="9"/>
      <c r="M227" s="9"/>
      <c r="N227" s="9"/>
      <c r="O227" s="9"/>
    </row>
    <row r="228">
      <c r="A228" s="11" t="s">
        <v>2495</v>
      </c>
      <c r="B228" s="9"/>
      <c r="C228" s="9"/>
      <c r="D228" s="17">
        <v>3.0</v>
      </c>
      <c r="E228" s="17">
        <v>3.0</v>
      </c>
      <c r="F228" s="17">
        <v>3.0</v>
      </c>
      <c r="G228" s="17">
        <v>3.0</v>
      </c>
      <c r="H228" s="9"/>
      <c r="I228" s="9"/>
      <c r="J228" s="9"/>
      <c r="K228" s="9"/>
      <c r="L228" s="9"/>
      <c r="M228" s="9"/>
      <c r="N228" s="9"/>
      <c r="O228" s="9"/>
    </row>
    <row r="229">
      <c r="A229" s="11" t="s">
        <v>5809</v>
      </c>
      <c r="B229" s="9"/>
      <c r="C229" s="9"/>
      <c r="D229" s="17">
        <v>3.0</v>
      </c>
      <c r="E229" s="17">
        <v>3.0</v>
      </c>
      <c r="F229" s="17">
        <v>3.0</v>
      </c>
      <c r="G229" s="17">
        <v>3.0</v>
      </c>
      <c r="H229" s="9"/>
      <c r="I229" s="9"/>
      <c r="J229" s="9"/>
      <c r="K229" s="9"/>
      <c r="L229" s="9"/>
      <c r="M229" s="9"/>
      <c r="N229" s="9"/>
      <c r="O229" s="9"/>
    </row>
    <row r="230">
      <c r="A230" s="11" t="s">
        <v>5810</v>
      </c>
      <c r="B230" s="9"/>
      <c r="C230" s="9"/>
      <c r="D230" s="17">
        <v>3.0</v>
      </c>
      <c r="E230" s="17">
        <v>3.0</v>
      </c>
      <c r="F230" s="17">
        <v>3.0</v>
      </c>
      <c r="G230" s="17">
        <v>3.0</v>
      </c>
      <c r="H230" s="9"/>
      <c r="I230" s="9"/>
      <c r="J230" s="9"/>
      <c r="K230" s="9"/>
      <c r="L230" s="9"/>
      <c r="M230" s="9"/>
      <c r="N230" s="9"/>
      <c r="O230" s="9"/>
    </row>
    <row r="231">
      <c r="A231" s="11" t="s">
        <v>5811</v>
      </c>
      <c r="B231" s="9"/>
      <c r="C231" s="9"/>
      <c r="D231" s="17">
        <v>3.0</v>
      </c>
      <c r="E231" s="17">
        <v>3.0</v>
      </c>
      <c r="F231" s="17">
        <v>3.0</v>
      </c>
      <c r="G231" s="17">
        <v>3.0</v>
      </c>
      <c r="H231" s="9"/>
      <c r="I231" s="9"/>
      <c r="J231" s="9"/>
      <c r="K231" s="9"/>
      <c r="L231" s="9"/>
      <c r="M231" s="9"/>
      <c r="N231" s="9"/>
      <c r="O231" s="9"/>
    </row>
    <row r="232">
      <c r="A232" s="11" t="s">
        <v>5812</v>
      </c>
      <c r="B232" s="9"/>
      <c r="C232" s="9"/>
      <c r="D232" s="17">
        <v>3.0</v>
      </c>
      <c r="E232" s="17">
        <v>3.0</v>
      </c>
      <c r="F232" s="17">
        <v>3.0</v>
      </c>
      <c r="G232" s="17">
        <v>3.0</v>
      </c>
      <c r="H232" s="9"/>
      <c r="I232" s="9"/>
      <c r="J232" s="9"/>
      <c r="K232" s="9"/>
      <c r="L232" s="9"/>
      <c r="M232" s="9"/>
      <c r="N232" s="9"/>
      <c r="O232" s="9"/>
    </row>
    <row r="233">
      <c r="A233" s="20" t="s">
        <v>5813</v>
      </c>
      <c r="B233" s="9"/>
      <c r="C233" s="9"/>
      <c r="D233" s="17">
        <v>3.0</v>
      </c>
      <c r="E233" s="17">
        <v>3.0</v>
      </c>
      <c r="F233" s="17">
        <v>3.0</v>
      </c>
      <c r="G233" s="17">
        <v>3.0</v>
      </c>
      <c r="H233" s="9"/>
      <c r="I233" s="9"/>
      <c r="J233" s="9"/>
      <c r="K233" s="9"/>
      <c r="L233" s="9"/>
      <c r="M233" s="9"/>
      <c r="N233" s="9"/>
      <c r="O233" s="9"/>
    </row>
    <row r="234">
      <c r="A234" s="20" t="s">
        <v>5814</v>
      </c>
      <c r="B234" s="9"/>
      <c r="C234" s="9"/>
      <c r="D234" s="17">
        <v>3.0</v>
      </c>
      <c r="E234" s="17">
        <v>3.0</v>
      </c>
      <c r="F234" s="17">
        <v>3.0</v>
      </c>
      <c r="G234" s="17">
        <v>3.0</v>
      </c>
      <c r="H234" s="9"/>
      <c r="I234" s="9"/>
      <c r="J234" s="9"/>
      <c r="K234" s="9"/>
      <c r="L234" s="9"/>
      <c r="M234" s="9"/>
      <c r="N234" s="9"/>
      <c r="O234" s="9"/>
    </row>
    <row r="235">
      <c r="A235" s="11" t="s">
        <v>5815</v>
      </c>
      <c r="B235" s="9"/>
      <c r="C235" s="9"/>
      <c r="D235" s="17">
        <v>5.0</v>
      </c>
      <c r="E235" s="17">
        <v>5.0</v>
      </c>
      <c r="F235" s="17">
        <v>5.0</v>
      </c>
      <c r="G235" s="17">
        <v>3.0</v>
      </c>
      <c r="H235" s="9"/>
      <c r="I235" s="9"/>
      <c r="J235" s="9"/>
      <c r="K235" s="9"/>
      <c r="L235" s="9"/>
      <c r="M235" s="9"/>
      <c r="N235" s="9"/>
      <c r="O235" s="9"/>
    </row>
    <row r="236">
      <c r="A236" s="20" t="s">
        <v>5816</v>
      </c>
      <c r="B236" s="9"/>
      <c r="C236" s="9"/>
      <c r="D236" s="17">
        <v>3.0</v>
      </c>
      <c r="E236" s="17">
        <v>3.0</v>
      </c>
      <c r="F236" s="17">
        <v>3.0</v>
      </c>
      <c r="G236" s="17">
        <v>3.0</v>
      </c>
      <c r="H236" s="9"/>
      <c r="I236" s="9"/>
      <c r="J236" s="9"/>
      <c r="K236" s="9"/>
      <c r="L236" s="9"/>
      <c r="M236" s="9"/>
      <c r="N236" s="9"/>
      <c r="O236" s="9"/>
    </row>
    <row r="237">
      <c r="A237" s="20" t="s">
        <v>5817</v>
      </c>
      <c r="B237" s="9"/>
      <c r="C237" s="9"/>
      <c r="D237" s="17">
        <v>3.0</v>
      </c>
      <c r="E237" s="17">
        <v>3.0</v>
      </c>
      <c r="F237" s="17">
        <v>3.0</v>
      </c>
      <c r="G237" s="17">
        <v>3.0</v>
      </c>
      <c r="H237" s="9"/>
      <c r="I237" s="9"/>
      <c r="J237" s="9"/>
      <c r="K237" s="9"/>
      <c r="L237" s="9"/>
      <c r="M237" s="9"/>
      <c r="N237" s="9"/>
      <c r="O237" s="9"/>
    </row>
    <row r="238">
      <c r="A238" s="18" t="s">
        <v>5818</v>
      </c>
      <c r="B238" s="9"/>
      <c r="C238" s="9"/>
      <c r="D238" s="17">
        <v>3.0</v>
      </c>
      <c r="E238" s="17">
        <v>3.0</v>
      </c>
      <c r="F238" s="17">
        <v>3.0</v>
      </c>
      <c r="G238" s="17">
        <v>3.0</v>
      </c>
      <c r="H238" s="9"/>
      <c r="I238" s="9"/>
      <c r="J238" s="9"/>
      <c r="K238" s="9"/>
      <c r="L238" s="9"/>
      <c r="M238" s="9"/>
      <c r="N238" s="9"/>
      <c r="O238" s="9"/>
    </row>
    <row r="239">
      <c r="A239" s="18" t="s">
        <v>5819</v>
      </c>
      <c r="B239" s="9"/>
      <c r="C239" s="9"/>
      <c r="D239" s="9"/>
      <c r="E239" s="9"/>
      <c r="F239" s="9"/>
      <c r="G239" s="9"/>
      <c r="H239" s="9"/>
      <c r="I239" s="9"/>
      <c r="J239" s="9"/>
      <c r="K239" s="9"/>
      <c r="L239" s="9"/>
      <c r="M239" s="9"/>
      <c r="N239" s="9"/>
      <c r="O239" s="9"/>
    </row>
    <row r="240">
      <c r="A240" s="20" t="s">
        <v>5820</v>
      </c>
      <c r="B240" s="9"/>
      <c r="C240" s="9"/>
      <c r="D240" s="17">
        <v>3.0</v>
      </c>
      <c r="E240" s="17">
        <v>3.0</v>
      </c>
      <c r="F240" s="17">
        <v>3.0</v>
      </c>
      <c r="G240" s="17">
        <v>3.0</v>
      </c>
      <c r="H240" s="9"/>
      <c r="I240" s="9"/>
      <c r="J240" s="9"/>
      <c r="K240" s="9"/>
      <c r="L240" s="9"/>
      <c r="M240" s="9"/>
      <c r="N240" s="9"/>
      <c r="O240" s="9"/>
    </row>
    <row r="241">
      <c r="A241" s="11" t="s">
        <v>5821</v>
      </c>
      <c r="B241" s="9"/>
      <c r="C241" s="9"/>
      <c r="D241" s="17">
        <v>3.0</v>
      </c>
      <c r="E241" s="17">
        <v>3.0</v>
      </c>
      <c r="F241" s="17">
        <v>3.0</v>
      </c>
      <c r="G241" s="17">
        <v>3.0</v>
      </c>
      <c r="H241" s="9"/>
      <c r="I241" s="9"/>
      <c r="J241" s="9"/>
      <c r="K241" s="9"/>
      <c r="L241" s="9"/>
      <c r="M241" s="9"/>
      <c r="N241" s="9"/>
      <c r="O241" s="9"/>
    </row>
    <row r="242">
      <c r="A242" s="11" t="s">
        <v>5822</v>
      </c>
      <c r="B242" s="9"/>
      <c r="C242" s="9"/>
      <c r="D242" s="17">
        <v>3.0</v>
      </c>
      <c r="E242" s="17">
        <v>3.0</v>
      </c>
      <c r="F242" s="17">
        <v>3.0</v>
      </c>
      <c r="G242" s="17">
        <v>3.0</v>
      </c>
      <c r="H242" s="9"/>
      <c r="I242" s="9"/>
      <c r="J242" s="9"/>
      <c r="K242" s="9"/>
      <c r="L242" s="9"/>
      <c r="M242" s="9"/>
      <c r="N242" s="9"/>
      <c r="O242" s="9"/>
    </row>
    <row r="243">
      <c r="A243" s="11" t="s">
        <v>5823</v>
      </c>
      <c r="B243" s="9"/>
      <c r="C243" s="9"/>
      <c r="D243" s="17">
        <v>3.0</v>
      </c>
      <c r="E243" s="17">
        <v>3.0</v>
      </c>
      <c r="F243" s="17">
        <v>3.0</v>
      </c>
      <c r="G243" s="17">
        <v>3.0</v>
      </c>
      <c r="H243" s="9"/>
      <c r="I243" s="9"/>
      <c r="J243" s="9"/>
      <c r="K243" s="9"/>
      <c r="L243" s="9"/>
      <c r="M243" s="9"/>
      <c r="N243" s="9"/>
      <c r="O243" s="9"/>
    </row>
    <row r="244">
      <c r="A244" s="11" t="s">
        <v>5824</v>
      </c>
      <c r="B244" s="9"/>
      <c r="C244" s="9"/>
      <c r="D244" s="17">
        <v>3.0</v>
      </c>
      <c r="E244" s="17">
        <v>3.0</v>
      </c>
      <c r="F244" s="17">
        <v>3.0</v>
      </c>
      <c r="G244" s="17">
        <v>3.0</v>
      </c>
      <c r="H244" s="9"/>
      <c r="I244" s="9"/>
      <c r="J244" s="9"/>
      <c r="K244" s="9"/>
      <c r="L244" s="9"/>
      <c r="M244" s="9"/>
      <c r="N244" s="9"/>
      <c r="O244" s="9"/>
    </row>
    <row r="245">
      <c r="A245" s="20" t="s">
        <v>5825</v>
      </c>
      <c r="B245" s="9"/>
      <c r="C245" s="9"/>
      <c r="D245" s="17">
        <v>3.0</v>
      </c>
      <c r="E245" s="17">
        <v>3.0</v>
      </c>
      <c r="F245" s="17">
        <v>3.0</v>
      </c>
      <c r="G245" s="17">
        <v>3.0</v>
      </c>
      <c r="H245" s="9"/>
      <c r="I245" s="9"/>
      <c r="J245" s="9"/>
      <c r="K245" s="9"/>
      <c r="L245" s="9"/>
      <c r="M245" s="9"/>
      <c r="N245" s="9"/>
      <c r="O245" s="9"/>
    </row>
    <row r="246">
      <c r="A246" s="20" t="s">
        <v>5826</v>
      </c>
      <c r="B246" s="9"/>
      <c r="C246" s="9"/>
      <c r="D246" s="17">
        <v>3.0</v>
      </c>
      <c r="E246" s="17">
        <v>3.0</v>
      </c>
      <c r="F246" s="17">
        <v>3.0</v>
      </c>
      <c r="G246" s="17">
        <v>3.0</v>
      </c>
      <c r="H246" s="9"/>
      <c r="I246" s="9"/>
      <c r="J246" s="9"/>
      <c r="K246" s="9"/>
      <c r="L246" s="9"/>
      <c r="M246" s="9"/>
      <c r="N246" s="9"/>
      <c r="O246" s="9"/>
    </row>
    <row r="247">
      <c r="A247" s="11" t="s">
        <v>5827</v>
      </c>
      <c r="B247" s="9"/>
      <c r="C247" s="9"/>
      <c r="D247" s="17">
        <v>3.0</v>
      </c>
      <c r="E247" s="17">
        <v>3.0</v>
      </c>
      <c r="F247" s="17">
        <v>3.0</v>
      </c>
      <c r="G247" s="17">
        <v>3.0</v>
      </c>
      <c r="H247" s="9"/>
      <c r="I247" s="9"/>
      <c r="J247" s="9"/>
      <c r="K247" s="9"/>
      <c r="L247" s="9"/>
      <c r="M247" s="9"/>
      <c r="N247" s="9"/>
      <c r="O247" s="9"/>
    </row>
    <row r="248">
      <c r="A248" s="11" t="s">
        <v>5828</v>
      </c>
      <c r="B248" s="9"/>
      <c r="C248" s="9"/>
      <c r="D248" s="17">
        <v>3.0</v>
      </c>
      <c r="E248" s="17">
        <v>3.0</v>
      </c>
      <c r="F248" s="17">
        <v>3.0</v>
      </c>
      <c r="G248" s="17">
        <v>3.0</v>
      </c>
      <c r="H248" s="9"/>
      <c r="I248" s="9"/>
      <c r="J248" s="9"/>
      <c r="K248" s="9"/>
      <c r="L248" s="9"/>
      <c r="M248" s="9"/>
      <c r="N248" s="9"/>
      <c r="O248" s="9"/>
    </row>
    <row r="249">
      <c r="A249" s="11" t="s">
        <v>5829</v>
      </c>
      <c r="B249" s="9"/>
      <c r="C249" s="9"/>
      <c r="D249" s="17">
        <v>3.0</v>
      </c>
      <c r="E249" s="17">
        <v>3.0</v>
      </c>
      <c r="F249" s="17">
        <v>3.0</v>
      </c>
      <c r="G249" s="17">
        <v>3.0</v>
      </c>
      <c r="H249" s="9"/>
      <c r="I249" s="9"/>
      <c r="J249" s="9"/>
      <c r="K249" s="9"/>
      <c r="L249" s="9"/>
      <c r="M249" s="9"/>
      <c r="N249" s="9"/>
      <c r="O249" s="9"/>
    </row>
    <row r="250">
      <c r="A250" s="11" t="s">
        <v>5830</v>
      </c>
      <c r="B250" s="9"/>
      <c r="C250" s="9"/>
      <c r="D250" s="17">
        <v>3.0</v>
      </c>
      <c r="E250" s="17">
        <v>3.0</v>
      </c>
      <c r="F250" s="17">
        <v>3.0</v>
      </c>
      <c r="G250" s="17">
        <v>3.0</v>
      </c>
      <c r="H250" s="9"/>
      <c r="I250" s="9"/>
      <c r="J250" s="9"/>
      <c r="K250" s="9"/>
      <c r="L250" s="9"/>
      <c r="M250" s="9"/>
      <c r="N250" s="9"/>
      <c r="O250" s="9"/>
    </row>
    <row r="251">
      <c r="A251" s="11" t="s">
        <v>5831</v>
      </c>
      <c r="B251" s="9"/>
      <c r="C251" s="9"/>
      <c r="D251" s="17">
        <v>3.0</v>
      </c>
      <c r="E251" s="17">
        <v>3.0</v>
      </c>
      <c r="F251" s="17">
        <v>3.0</v>
      </c>
      <c r="G251" s="17">
        <v>3.0</v>
      </c>
      <c r="H251" s="9"/>
      <c r="I251" s="9"/>
      <c r="J251" s="9"/>
      <c r="K251" s="9"/>
      <c r="L251" s="9"/>
      <c r="M251" s="9"/>
      <c r="N251" s="9"/>
      <c r="O251" s="9"/>
    </row>
    <row r="252">
      <c r="A252" s="20" t="s">
        <v>5832</v>
      </c>
      <c r="B252" s="9"/>
      <c r="C252" s="9"/>
      <c r="D252" s="17">
        <v>3.0</v>
      </c>
      <c r="E252" s="17">
        <v>3.0</v>
      </c>
      <c r="F252" s="17">
        <v>3.0</v>
      </c>
      <c r="G252" s="17">
        <v>3.0</v>
      </c>
      <c r="H252" s="9"/>
      <c r="I252" s="9"/>
      <c r="J252" s="9"/>
      <c r="K252" s="9"/>
      <c r="L252" s="9"/>
      <c r="M252" s="9"/>
      <c r="N252" s="9"/>
      <c r="O252" s="9"/>
    </row>
    <row r="253">
      <c r="A253" s="11" t="s">
        <v>5833</v>
      </c>
      <c r="B253" s="9"/>
      <c r="C253" s="9"/>
      <c r="D253" s="17">
        <v>3.0</v>
      </c>
      <c r="E253" s="17">
        <v>3.0</v>
      </c>
      <c r="F253" s="17">
        <v>3.0</v>
      </c>
      <c r="G253" s="17">
        <v>3.0</v>
      </c>
      <c r="H253" s="9"/>
      <c r="I253" s="9"/>
      <c r="J253" s="9"/>
      <c r="K253" s="9"/>
      <c r="L253" s="9"/>
      <c r="M253" s="9"/>
      <c r="N253" s="9"/>
      <c r="O253" s="9"/>
    </row>
    <row r="254">
      <c r="A254" s="11" t="s">
        <v>5834</v>
      </c>
      <c r="B254" s="9"/>
      <c r="C254" s="9"/>
      <c r="D254" s="8">
        <v>5.0</v>
      </c>
      <c r="E254" s="8">
        <v>5.0</v>
      </c>
      <c r="F254" s="8">
        <v>5.0</v>
      </c>
      <c r="G254" s="8">
        <v>5.0</v>
      </c>
      <c r="H254" s="9"/>
      <c r="I254" s="9"/>
      <c r="J254" s="9"/>
      <c r="K254" s="9"/>
      <c r="L254" s="9"/>
      <c r="M254" s="9"/>
      <c r="N254" s="9"/>
      <c r="O254" s="9"/>
    </row>
    <row r="255">
      <c r="A255" s="11" t="s">
        <v>5835</v>
      </c>
      <c r="B255" s="9"/>
      <c r="C255" s="9"/>
      <c r="D255" s="17">
        <v>3.0</v>
      </c>
      <c r="E255" s="9"/>
      <c r="F255" s="9"/>
      <c r="G255" s="9"/>
      <c r="H255" s="9"/>
      <c r="I255" s="9"/>
      <c r="J255" s="9"/>
      <c r="K255" s="9"/>
      <c r="L255" s="9"/>
      <c r="M255" s="9"/>
      <c r="N255" s="9"/>
      <c r="O255" s="9"/>
    </row>
    <row r="256">
      <c r="A256" s="11" t="s">
        <v>5836</v>
      </c>
      <c r="B256" s="9"/>
      <c r="C256" s="9"/>
      <c r="D256" s="17">
        <v>3.0</v>
      </c>
      <c r="E256" s="9"/>
      <c r="F256" s="9"/>
      <c r="G256" s="9"/>
      <c r="H256" s="9"/>
      <c r="I256" s="9"/>
      <c r="J256" s="9"/>
      <c r="K256" s="9"/>
      <c r="L256" s="9"/>
      <c r="M256" s="9"/>
      <c r="N256" s="9"/>
      <c r="O256" s="9"/>
    </row>
    <row r="257">
      <c r="A257" s="20" t="s">
        <v>5837</v>
      </c>
      <c r="B257" s="9"/>
      <c r="C257" s="9"/>
      <c r="D257" s="17">
        <v>3.0</v>
      </c>
      <c r="E257" s="9"/>
      <c r="F257" s="9"/>
      <c r="G257" s="9"/>
      <c r="H257" s="9"/>
      <c r="I257" s="9"/>
      <c r="J257" s="9"/>
      <c r="K257" s="9"/>
      <c r="L257" s="9"/>
      <c r="M257" s="9"/>
      <c r="N257" s="9"/>
      <c r="O257" s="9"/>
    </row>
    <row r="258">
      <c r="A258" s="20" t="s">
        <v>5838</v>
      </c>
      <c r="B258" s="9"/>
      <c r="C258" s="9"/>
      <c r="D258" s="17">
        <v>3.0</v>
      </c>
      <c r="E258" s="9"/>
      <c r="F258" s="9"/>
      <c r="G258" s="9"/>
      <c r="H258" s="9"/>
      <c r="I258" s="9"/>
      <c r="J258" s="9"/>
      <c r="K258" s="9"/>
      <c r="L258" s="9"/>
      <c r="M258" s="9"/>
      <c r="N258" s="9"/>
      <c r="O258" s="9"/>
    </row>
    <row r="259">
      <c r="A259" s="11" t="s">
        <v>5839</v>
      </c>
      <c r="B259" s="9"/>
      <c r="C259" s="9"/>
      <c r="D259" s="17">
        <v>3.0</v>
      </c>
      <c r="E259" s="9"/>
      <c r="F259" s="9"/>
      <c r="G259" s="9"/>
      <c r="H259" s="9"/>
      <c r="I259" s="9"/>
      <c r="J259" s="9"/>
      <c r="K259" s="9"/>
      <c r="L259" s="9"/>
      <c r="M259" s="9"/>
      <c r="N259" s="9"/>
      <c r="O259" s="9"/>
    </row>
    <row r="260">
      <c r="A260" s="11" t="s">
        <v>2717</v>
      </c>
      <c r="B260" s="9"/>
      <c r="C260" s="9"/>
      <c r="D260" s="17">
        <v>3.0</v>
      </c>
      <c r="E260" s="9"/>
      <c r="F260" s="9"/>
      <c r="G260" s="9"/>
      <c r="H260" s="9"/>
      <c r="I260" s="9"/>
      <c r="J260" s="9"/>
      <c r="K260" s="9"/>
      <c r="L260" s="9"/>
      <c r="M260" s="9"/>
      <c r="N260" s="9"/>
      <c r="O260" s="9"/>
    </row>
    <row r="261">
      <c r="A261" s="11" t="s">
        <v>5840</v>
      </c>
      <c r="B261" s="9"/>
      <c r="C261" s="9"/>
      <c r="D261" s="17">
        <v>3.0</v>
      </c>
      <c r="E261" s="9"/>
      <c r="F261" s="9"/>
      <c r="G261" s="9"/>
      <c r="H261" s="9"/>
      <c r="I261" s="9"/>
      <c r="J261" s="9"/>
      <c r="K261" s="9"/>
      <c r="L261" s="9"/>
      <c r="M261" s="9"/>
      <c r="N261" s="9"/>
      <c r="O261" s="9"/>
    </row>
    <row r="262">
      <c r="A262" s="11" t="s">
        <v>5841</v>
      </c>
      <c r="B262" s="9"/>
      <c r="C262" s="9"/>
      <c r="D262" s="17">
        <v>3.0</v>
      </c>
      <c r="E262" s="9"/>
      <c r="F262" s="9"/>
      <c r="G262" s="9"/>
      <c r="H262" s="9"/>
      <c r="I262" s="9"/>
      <c r="J262" s="9"/>
      <c r="K262" s="9"/>
      <c r="L262" s="9"/>
      <c r="M262" s="9"/>
      <c r="N262" s="9"/>
      <c r="O262" s="9"/>
    </row>
    <row r="263">
      <c r="A263" s="11" t="s">
        <v>5842</v>
      </c>
      <c r="B263" s="9"/>
      <c r="C263" s="9"/>
      <c r="D263" s="17">
        <v>3.0</v>
      </c>
      <c r="E263" s="9"/>
      <c r="F263" s="9"/>
      <c r="G263" s="9"/>
      <c r="H263" s="9"/>
      <c r="I263" s="9"/>
      <c r="J263" s="9"/>
      <c r="K263" s="9"/>
      <c r="L263" s="9"/>
      <c r="M263" s="9"/>
      <c r="N263" s="9"/>
      <c r="O263" s="9"/>
    </row>
    <row r="264">
      <c r="A264" s="11" t="s">
        <v>5843</v>
      </c>
      <c r="B264" s="9"/>
      <c r="C264" s="9"/>
      <c r="D264" s="17">
        <v>3.0</v>
      </c>
      <c r="E264" s="9"/>
      <c r="F264" s="9"/>
      <c r="G264" s="9"/>
      <c r="H264" s="9"/>
      <c r="I264" s="9"/>
      <c r="J264" s="9"/>
      <c r="K264" s="9"/>
      <c r="L264" s="9"/>
      <c r="M264" s="9"/>
      <c r="N264" s="9"/>
      <c r="O264" s="9"/>
    </row>
    <row r="265">
      <c r="A265" s="11" t="s">
        <v>5844</v>
      </c>
      <c r="B265" s="9"/>
      <c r="C265" s="9"/>
      <c r="D265" s="17">
        <v>3.0</v>
      </c>
      <c r="E265" s="9"/>
      <c r="F265" s="9"/>
      <c r="G265" s="9"/>
      <c r="H265" s="9"/>
      <c r="I265" s="9"/>
      <c r="J265" s="9"/>
      <c r="K265" s="9"/>
      <c r="L265" s="9"/>
      <c r="M265" s="9"/>
      <c r="N265" s="9"/>
      <c r="O265" s="9"/>
    </row>
    <row r="266">
      <c r="A266" s="20" t="s">
        <v>5845</v>
      </c>
      <c r="B266" s="9"/>
      <c r="C266" s="9"/>
      <c r="D266" s="17">
        <v>3.0</v>
      </c>
      <c r="E266" s="9"/>
      <c r="F266" s="9"/>
      <c r="G266" s="9"/>
      <c r="H266" s="9"/>
      <c r="I266" s="9"/>
      <c r="J266" s="9"/>
      <c r="K266" s="9"/>
      <c r="L266" s="9"/>
      <c r="M266" s="9"/>
      <c r="N266" s="9"/>
      <c r="O266" s="9"/>
    </row>
    <row r="267">
      <c r="A267" s="20" t="s">
        <v>5846</v>
      </c>
      <c r="B267" s="9"/>
      <c r="C267" s="9"/>
      <c r="D267" s="17">
        <v>3.0</v>
      </c>
      <c r="E267" s="9"/>
      <c r="F267" s="9"/>
      <c r="G267" s="9"/>
      <c r="H267" s="9"/>
      <c r="I267" s="9"/>
      <c r="J267" s="9"/>
      <c r="K267" s="9"/>
      <c r="L267" s="9"/>
      <c r="M267" s="9"/>
      <c r="N267" s="9"/>
      <c r="O267" s="9"/>
    </row>
    <row r="268">
      <c r="A268" s="20" t="s">
        <v>5847</v>
      </c>
      <c r="B268" s="9"/>
      <c r="C268" s="9"/>
      <c r="D268" s="17">
        <v>3.0</v>
      </c>
      <c r="E268" s="9"/>
      <c r="F268" s="9"/>
      <c r="G268" s="9"/>
      <c r="H268" s="9"/>
      <c r="I268" s="9"/>
      <c r="J268" s="9"/>
      <c r="K268" s="9"/>
      <c r="L268" s="9"/>
      <c r="M268" s="9"/>
      <c r="N268" s="9"/>
      <c r="O268" s="9"/>
    </row>
    <row r="269">
      <c r="A269" s="20" t="s">
        <v>5848</v>
      </c>
      <c r="B269" s="9"/>
      <c r="C269" s="9"/>
      <c r="D269" s="17">
        <v>3.0</v>
      </c>
      <c r="E269" s="9"/>
      <c r="F269" s="9"/>
      <c r="G269" s="9"/>
      <c r="H269" s="9"/>
      <c r="I269" s="9"/>
      <c r="J269" s="9"/>
      <c r="K269" s="9"/>
      <c r="L269" s="9"/>
      <c r="M269" s="9"/>
      <c r="N269" s="9"/>
      <c r="O269" s="9"/>
    </row>
    <row r="270">
      <c r="A270" s="11" t="s">
        <v>5849</v>
      </c>
      <c r="B270" s="9"/>
      <c r="C270" s="9"/>
      <c r="D270" s="17">
        <v>3.0</v>
      </c>
      <c r="E270" s="9"/>
      <c r="F270" s="9"/>
      <c r="G270" s="9"/>
      <c r="H270" s="9"/>
      <c r="I270" s="9"/>
      <c r="J270" s="9"/>
      <c r="K270" s="9"/>
      <c r="L270" s="9"/>
      <c r="M270" s="9"/>
      <c r="N270" s="9"/>
      <c r="O270" s="9"/>
    </row>
    <row r="271">
      <c r="A271" s="20" t="s">
        <v>5850</v>
      </c>
      <c r="B271" s="9"/>
      <c r="C271" s="9"/>
      <c r="D271" s="17">
        <v>3.0</v>
      </c>
      <c r="E271" s="9"/>
      <c r="F271" s="9"/>
      <c r="G271" s="9"/>
      <c r="H271" s="9"/>
      <c r="I271" s="9"/>
      <c r="J271" s="9"/>
      <c r="K271" s="9"/>
      <c r="L271" s="9"/>
      <c r="M271" s="9"/>
      <c r="N271" s="9"/>
      <c r="O271" s="9"/>
    </row>
    <row r="272">
      <c r="A272" s="11" t="s">
        <v>5851</v>
      </c>
      <c r="B272" s="9"/>
      <c r="C272" s="9"/>
      <c r="D272" s="17">
        <v>3.0</v>
      </c>
      <c r="E272" s="9"/>
      <c r="F272" s="9"/>
      <c r="G272" s="9"/>
      <c r="H272" s="9"/>
      <c r="I272" s="9"/>
      <c r="J272" s="9"/>
      <c r="K272" s="9"/>
      <c r="L272" s="9"/>
      <c r="M272" s="9"/>
      <c r="N272" s="9"/>
      <c r="O272" s="9"/>
    </row>
    <row r="273">
      <c r="A273" s="11" t="s">
        <v>5852</v>
      </c>
      <c r="B273" s="9"/>
      <c r="C273" s="9"/>
      <c r="D273" s="17">
        <v>5.0</v>
      </c>
      <c r="E273" s="17">
        <v>5.0</v>
      </c>
      <c r="F273" s="17">
        <v>5.0</v>
      </c>
      <c r="G273" s="17">
        <v>5.0</v>
      </c>
      <c r="H273" s="9"/>
      <c r="I273" s="9"/>
      <c r="J273" s="9"/>
      <c r="K273" s="9"/>
      <c r="L273" s="9"/>
      <c r="M273" s="9"/>
      <c r="N273" s="9"/>
      <c r="O273" s="9"/>
    </row>
    <row r="274">
      <c r="A274" s="20" t="s">
        <v>5853</v>
      </c>
      <c r="B274" s="9"/>
      <c r="C274" s="9"/>
      <c r="D274" s="17">
        <v>3.0</v>
      </c>
      <c r="E274" s="9"/>
      <c r="F274" s="9"/>
      <c r="G274" s="9"/>
      <c r="H274" s="9"/>
      <c r="I274" s="9"/>
      <c r="J274" s="9"/>
      <c r="K274" s="9"/>
      <c r="L274" s="9"/>
      <c r="M274" s="9"/>
      <c r="N274" s="9"/>
      <c r="O274" s="9"/>
    </row>
    <row r="275">
      <c r="A275" s="20" t="s">
        <v>5854</v>
      </c>
      <c r="B275" s="9"/>
      <c r="C275" s="9"/>
      <c r="D275" s="17">
        <v>3.0</v>
      </c>
      <c r="E275" s="9"/>
      <c r="F275" s="9"/>
      <c r="G275" s="9"/>
      <c r="H275" s="9"/>
      <c r="I275" s="9"/>
      <c r="J275" s="9"/>
      <c r="K275" s="9"/>
      <c r="L275" s="9"/>
      <c r="M275" s="9"/>
      <c r="N275" s="9"/>
      <c r="O275" s="9"/>
    </row>
    <row r="276">
      <c r="A276" s="20" t="s">
        <v>5855</v>
      </c>
      <c r="B276" s="9"/>
      <c r="C276" s="9"/>
      <c r="D276" s="17">
        <v>3.0</v>
      </c>
      <c r="E276" s="9"/>
      <c r="F276" s="9"/>
      <c r="G276" s="9"/>
      <c r="H276" s="9"/>
      <c r="I276" s="9"/>
      <c r="J276" s="9"/>
      <c r="K276" s="9"/>
      <c r="L276" s="9"/>
      <c r="M276" s="9"/>
      <c r="N276" s="9"/>
      <c r="O276" s="9"/>
    </row>
    <row r="277">
      <c r="A277" s="11" t="s">
        <v>5856</v>
      </c>
      <c r="B277" s="9"/>
      <c r="C277" s="9"/>
      <c r="D277" s="17">
        <v>3.0</v>
      </c>
      <c r="E277" s="9"/>
      <c r="F277" s="9"/>
      <c r="G277" s="9"/>
      <c r="H277" s="9"/>
      <c r="I277" s="9"/>
      <c r="J277" s="9"/>
      <c r="K277" s="9"/>
      <c r="L277" s="9"/>
      <c r="M277" s="9"/>
      <c r="N277" s="9"/>
      <c r="O277" s="9"/>
    </row>
    <row r="278">
      <c r="A278" s="11" t="s">
        <v>5857</v>
      </c>
      <c r="B278" s="9"/>
      <c r="C278" s="9"/>
      <c r="D278" s="17">
        <v>3.0</v>
      </c>
      <c r="E278" s="9"/>
      <c r="F278" s="9"/>
      <c r="G278" s="9"/>
      <c r="H278" s="9"/>
      <c r="I278" s="9"/>
      <c r="J278" s="9"/>
      <c r="K278" s="9"/>
      <c r="L278" s="9"/>
      <c r="M278" s="9"/>
      <c r="N278" s="9"/>
      <c r="O278" s="9"/>
    </row>
    <row r="279">
      <c r="A279" s="11" t="s">
        <v>5858</v>
      </c>
      <c r="B279" s="9"/>
      <c r="C279" s="9"/>
      <c r="D279" s="8">
        <v>5.0</v>
      </c>
      <c r="E279" s="8">
        <v>3.0</v>
      </c>
      <c r="F279" s="8">
        <v>3.0</v>
      </c>
      <c r="G279" s="8">
        <v>3.0</v>
      </c>
      <c r="H279" s="9"/>
      <c r="I279" s="9"/>
      <c r="J279" s="9"/>
      <c r="K279" s="9"/>
      <c r="L279" s="9"/>
      <c r="M279" s="9"/>
      <c r="N279" s="9"/>
      <c r="O279" s="9"/>
    </row>
    <row r="280">
      <c r="A280" s="11" t="s">
        <v>5859</v>
      </c>
      <c r="B280" s="9"/>
      <c r="C280" s="9"/>
      <c r="D280" s="17">
        <v>3.0</v>
      </c>
      <c r="E280" s="9"/>
      <c r="F280" s="9"/>
      <c r="G280" s="9"/>
      <c r="H280" s="9"/>
      <c r="I280" s="9"/>
      <c r="J280" s="9"/>
      <c r="K280" s="9"/>
      <c r="L280" s="9"/>
      <c r="M280" s="9"/>
      <c r="N280" s="9"/>
      <c r="O280" s="9"/>
    </row>
    <row r="281">
      <c r="A281" s="11" t="s">
        <v>2833</v>
      </c>
      <c r="B281" s="9"/>
      <c r="C281" s="9"/>
      <c r="D281" s="17">
        <v>3.0</v>
      </c>
      <c r="E281" s="9"/>
      <c r="F281" s="9"/>
      <c r="G281" s="9"/>
      <c r="H281" s="9"/>
      <c r="I281" s="9"/>
      <c r="J281" s="9"/>
      <c r="K281" s="9"/>
      <c r="L281" s="9"/>
      <c r="M281" s="9"/>
      <c r="N281" s="9"/>
      <c r="O281" s="9"/>
    </row>
    <row r="282">
      <c r="A282" s="11" t="s">
        <v>5860</v>
      </c>
      <c r="B282" s="9"/>
      <c r="C282" s="9"/>
      <c r="D282" s="17">
        <v>5.0</v>
      </c>
      <c r="E282" s="17">
        <v>5.0</v>
      </c>
      <c r="F282" s="17">
        <v>5.0</v>
      </c>
      <c r="G282" s="17">
        <v>5.0</v>
      </c>
      <c r="H282" s="9"/>
      <c r="I282" s="9"/>
      <c r="J282" s="9"/>
      <c r="K282" s="9"/>
      <c r="L282" s="9"/>
      <c r="M282" s="9"/>
      <c r="N282" s="9"/>
      <c r="O282" s="9"/>
    </row>
    <row r="283">
      <c r="A283" s="11" t="s">
        <v>5861</v>
      </c>
      <c r="B283" s="9"/>
      <c r="C283" s="9"/>
      <c r="D283" s="17">
        <v>3.0</v>
      </c>
      <c r="E283" s="9"/>
      <c r="F283" s="9"/>
      <c r="G283" s="9"/>
      <c r="H283" s="9"/>
      <c r="I283" s="9"/>
      <c r="J283" s="9"/>
      <c r="K283" s="9"/>
      <c r="L283" s="9"/>
      <c r="M283" s="9"/>
      <c r="N283" s="9"/>
      <c r="O283" s="9"/>
    </row>
    <row r="284">
      <c r="A284" s="11" t="s">
        <v>5862</v>
      </c>
      <c r="B284" s="9"/>
      <c r="C284" s="9"/>
      <c r="D284" s="17">
        <v>3.0</v>
      </c>
      <c r="E284" s="9"/>
      <c r="F284" s="9"/>
      <c r="G284" s="9"/>
      <c r="H284" s="9"/>
      <c r="I284" s="9"/>
      <c r="J284" s="9"/>
      <c r="K284" s="9"/>
      <c r="L284" s="9"/>
      <c r="M284" s="9"/>
      <c r="N284" s="9"/>
      <c r="O284" s="9"/>
    </row>
    <row r="285">
      <c r="A285" s="11" t="s">
        <v>2859</v>
      </c>
      <c r="B285" s="9"/>
      <c r="C285" s="9"/>
      <c r="D285" s="17">
        <v>3.0</v>
      </c>
      <c r="E285" s="9"/>
      <c r="F285" s="9"/>
      <c r="G285" s="9"/>
      <c r="H285" s="9"/>
      <c r="I285" s="9"/>
      <c r="J285" s="9"/>
      <c r="K285" s="9"/>
      <c r="L285" s="9"/>
      <c r="M285" s="9"/>
      <c r="N285" s="9"/>
      <c r="O285" s="9"/>
    </row>
    <row r="286">
      <c r="A286" s="20" t="s">
        <v>5863</v>
      </c>
      <c r="B286" s="9"/>
      <c r="C286" s="9"/>
      <c r="D286" s="17">
        <v>3.0</v>
      </c>
      <c r="E286" s="9"/>
      <c r="F286" s="9"/>
      <c r="G286" s="9"/>
      <c r="H286" s="9"/>
      <c r="I286" s="9"/>
      <c r="J286" s="9"/>
      <c r="K286" s="9"/>
      <c r="L286" s="9"/>
      <c r="M286" s="9"/>
      <c r="N286" s="9"/>
      <c r="O286" s="9"/>
    </row>
    <row r="287">
      <c r="A287" s="11" t="s">
        <v>5864</v>
      </c>
      <c r="B287" s="8" t="s">
        <v>54</v>
      </c>
      <c r="C287" s="8"/>
      <c r="D287" s="9"/>
      <c r="E287" s="9"/>
      <c r="F287" s="9"/>
      <c r="G287" s="9"/>
      <c r="H287" s="9"/>
      <c r="I287" s="9"/>
      <c r="J287" s="9"/>
      <c r="K287" s="9"/>
      <c r="L287" s="9"/>
      <c r="M287" s="9"/>
      <c r="N287" s="9"/>
      <c r="O287" s="9"/>
    </row>
    <row r="288">
      <c r="A288" s="11" t="s">
        <v>5865</v>
      </c>
      <c r="B288" s="17" t="s">
        <v>54</v>
      </c>
      <c r="C288" s="9"/>
      <c r="D288" s="9"/>
      <c r="E288" s="9"/>
      <c r="F288" s="9"/>
      <c r="G288" s="9"/>
      <c r="H288" s="9"/>
      <c r="I288" s="9"/>
      <c r="J288" s="9"/>
      <c r="K288" s="9"/>
      <c r="L288" s="9"/>
      <c r="M288" s="9"/>
      <c r="N288" s="9"/>
      <c r="O288" s="9"/>
    </row>
    <row r="289">
      <c r="A289" s="11" t="s">
        <v>5866</v>
      </c>
      <c r="B289" s="9"/>
      <c r="C289" s="9"/>
      <c r="D289" s="17">
        <v>3.0</v>
      </c>
      <c r="E289" s="9"/>
      <c r="F289" s="9"/>
      <c r="G289" s="9"/>
      <c r="H289" s="9"/>
      <c r="I289" s="9"/>
      <c r="J289" s="9"/>
      <c r="K289" s="9"/>
      <c r="L289" s="9"/>
      <c r="M289" s="9"/>
      <c r="N289" s="9"/>
      <c r="O289" s="9"/>
    </row>
    <row r="290">
      <c r="A290" s="11" t="s">
        <v>5867</v>
      </c>
      <c r="B290" s="9"/>
      <c r="C290" s="9"/>
      <c r="D290" s="17">
        <v>3.0</v>
      </c>
      <c r="E290" s="9"/>
      <c r="F290" s="9"/>
      <c r="G290" s="9"/>
      <c r="H290" s="9"/>
      <c r="I290" s="9"/>
      <c r="J290" s="9"/>
      <c r="K290" s="9"/>
      <c r="L290" s="9"/>
      <c r="M290" s="9"/>
      <c r="N290" s="9"/>
      <c r="O290" s="9"/>
    </row>
    <row r="291">
      <c r="A291" s="11" t="s">
        <v>5868</v>
      </c>
      <c r="B291" s="9"/>
      <c r="C291" s="9"/>
      <c r="D291" s="17">
        <v>3.0</v>
      </c>
      <c r="E291" s="9"/>
      <c r="F291" s="9"/>
      <c r="G291" s="9"/>
      <c r="H291" s="9"/>
      <c r="I291" s="9"/>
      <c r="J291" s="9"/>
      <c r="K291" s="9"/>
      <c r="L291" s="9"/>
      <c r="M291" s="9"/>
      <c r="N291" s="9"/>
      <c r="O291" s="9"/>
    </row>
    <row r="292">
      <c r="A292" s="11" t="s">
        <v>5869</v>
      </c>
      <c r="B292" s="9"/>
      <c r="C292" s="9"/>
      <c r="D292" s="17">
        <v>3.0</v>
      </c>
      <c r="E292" s="9"/>
      <c r="F292" s="9"/>
      <c r="G292" s="9"/>
      <c r="H292" s="9"/>
      <c r="I292" s="9"/>
      <c r="J292" s="9"/>
      <c r="K292" s="9"/>
      <c r="L292" s="9"/>
      <c r="M292" s="9"/>
      <c r="N292" s="9"/>
      <c r="O292" s="9"/>
    </row>
    <row r="293">
      <c r="A293" s="11" t="s">
        <v>5870</v>
      </c>
      <c r="B293" s="9"/>
      <c r="C293" s="9"/>
      <c r="D293" s="17">
        <v>3.0</v>
      </c>
      <c r="E293" s="9"/>
      <c r="F293" s="9"/>
      <c r="G293" s="9"/>
      <c r="H293" s="9"/>
      <c r="I293" s="9"/>
      <c r="J293" s="9"/>
      <c r="K293" s="9"/>
      <c r="L293" s="9"/>
      <c r="M293" s="9"/>
      <c r="N293" s="9"/>
      <c r="O293" s="9"/>
    </row>
    <row r="294">
      <c r="A294" s="11" t="s">
        <v>5871</v>
      </c>
      <c r="B294" s="9"/>
      <c r="C294" s="9"/>
      <c r="D294" s="17">
        <v>3.0</v>
      </c>
      <c r="E294" s="9"/>
      <c r="F294" s="9"/>
      <c r="G294" s="9"/>
      <c r="H294" s="9"/>
      <c r="I294" s="9"/>
      <c r="J294" s="9"/>
      <c r="K294" s="9"/>
      <c r="L294" s="9"/>
      <c r="M294" s="9"/>
      <c r="N294" s="9"/>
      <c r="O294" s="9"/>
    </row>
    <row r="295">
      <c r="A295" s="11" t="s">
        <v>5872</v>
      </c>
      <c r="B295" s="9"/>
      <c r="C295" s="9"/>
      <c r="D295" s="17">
        <v>3.0</v>
      </c>
      <c r="E295" s="9"/>
      <c r="F295" s="9"/>
      <c r="G295" s="9"/>
      <c r="H295" s="9"/>
      <c r="I295" s="9"/>
      <c r="J295" s="9"/>
      <c r="K295" s="9"/>
      <c r="L295" s="9"/>
      <c r="M295" s="9"/>
      <c r="N295" s="9"/>
      <c r="O295" s="9"/>
    </row>
    <row r="296">
      <c r="A296" s="11" t="s">
        <v>5873</v>
      </c>
      <c r="B296" s="9"/>
      <c r="C296" s="9"/>
      <c r="D296" s="17">
        <v>3.0</v>
      </c>
      <c r="E296" s="9"/>
      <c r="F296" s="9"/>
      <c r="G296" s="9"/>
      <c r="H296" s="9"/>
      <c r="I296" s="9"/>
      <c r="J296" s="9"/>
      <c r="K296" s="9"/>
      <c r="L296" s="9"/>
      <c r="M296" s="9"/>
      <c r="N296" s="9"/>
      <c r="O296" s="9"/>
    </row>
    <row r="297">
      <c r="A297" s="11" t="s">
        <v>5874</v>
      </c>
      <c r="B297" s="9"/>
      <c r="C297" s="9"/>
      <c r="D297" s="17">
        <v>3.0</v>
      </c>
      <c r="E297" s="9"/>
      <c r="F297" s="9"/>
      <c r="G297" s="9"/>
      <c r="H297" s="9"/>
      <c r="I297" s="9"/>
      <c r="J297" s="9"/>
      <c r="K297" s="9"/>
      <c r="L297" s="9"/>
      <c r="M297" s="9"/>
      <c r="N297" s="9"/>
      <c r="O297" s="9"/>
    </row>
    <row r="298">
      <c r="A298" s="20" t="s">
        <v>5875</v>
      </c>
      <c r="B298" s="9"/>
      <c r="C298" s="9"/>
      <c r="D298" s="17">
        <v>3.0</v>
      </c>
      <c r="E298" s="9"/>
      <c r="F298" s="9"/>
      <c r="G298" s="9"/>
      <c r="H298" s="9"/>
      <c r="I298" s="9"/>
      <c r="J298" s="9"/>
      <c r="K298" s="9"/>
      <c r="L298" s="9"/>
      <c r="M298" s="9"/>
      <c r="N298" s="9"/>
      <c r="O298" s="9"/>
    </row>
    <row r="299">
      <c r="A299" s="11" t="s">
        <v>5876</v>
      </c>
      <c r="B299" s="9"/>
      <c r="C299" s="9"/>
      <c r="D299" s="17">
        <v>3.0</v>
      </c>
      <c r="E299" s="9"/>
      <c r="F299" s="9"/>
      <c r="G299" s="9"/>
      <c r="H299" s="9"/>
      <c r="I299" s="9"/>
      <c r="J299" s="9"/>
      <c r="K299" s="9"/>
      <c r="L299" s="9"/>
      <c r="M299" s="9"/>
      <c r="N299" s="9"/>
      <c r="O299" s="9"/>
    </row>
    <row r="300">
      <c r="A300" s="11" t="s">
        <v>5877</v>
      </c>
      <c r="B300" s="8" t="s">
        <v>54</v>
      </c>
      <c r="C300" s="9"/>
      <c r="D300" s="9"/>
      <c r="E300" s="9"/>
      <c r="F300" s="9"/>
      <c r="G300" s="9"/>
      <c r="H300" s="9"/>
      <c r="I300" s="9"/>
      <c r="J300" s="9"/>
      <c r="K300" s="9"/>
      <c r="L300" s="9"/>
      <c r="M300" s="9"/>
      <c r="N300" s="9"/>
      <c r="O300" s="9"/>
    </row>
    <row r="301">
      <c r="A301" s="11" t="s">
        <v>5878</v>
      </c>
      <c r="B301" s="8" t="s">
        <v>54</v>
      </c>
      <c r="C301" s="9"/>
      <c r="D301" s="9"/>
      <c r="E301" s="9"/>
      <c r="F301" s="9"/>
      <c r="G301" s="9"/>
      <c r="H301" s="9"/>
      <c r="I301" s="9"/>
      <c r="J301" s="9"/>
      <c r="K301" s="9"/>
      <c r="L301" s="9"/>
      <c r="M301" s="9"/>
      <c r="N301" s="9"/>
      <c r="O301" s="9"/>
    </row>
    <row r="302">
      <c r="A302" s="11" t="s">
        <v>5879</v>
      </c>
      <c r="B302" s="9"/>
      <c r="C302" s="9"/>
      <c r="D302" s="17">
        <v>3.0</v>
      </c>
      <c r="E302" s="9"/>
      <c r="F302" s="9"/>
      <c r="G302" s="9"/>
      <c r="H302" s="9"/>
      <c r="I302" s="9"/>
      <c r="J302" s="9"/>
      <c r="K302" s="9"/>
      <c r="L302" s="9"/>
      <c r="M302" s="9"/>
      <c r="N302" s="9"/>
      <c r="O302" s="9"/>
    </row>
    <row r="303">
      <c r="A303" s="11" t="s">
        <v>5880</v>
      </c>
      <c r="B303" s="9"/>
      <c r="C303" s="9"/>
      <c r="D303" s="17">
        <v>3.0</v>
      </c>
      <c r="E303" s="9"/>
      <c r="F303" s="9"/>
      <c r="G303" s="9"/>
      <c r="H303" s="9"/>
      <c r="I303" s="9"/>
      <c r="J303" s="9"/>
      <c r="K303" s="9"/>
      <c r="L303" s="9"/>
      <c r="M303" s="9"/>
      <c r="N303" s="9"/>
      <c r="O303" s="9"/>
    </row>
    <row r="304">
      <c r="A304" s="11" t="s">
        <v>5881</v>
      </c>
      <c r="B304" s="9"/>
      <c r="C304" s="9"/>
      <c r="D304" s="17">
        <v>3.0</v>
      </c>
      <c r="E304" s="9"/>
      <c r="F304" s="9"/>
      <c r="G304" s="9"/>
      <c r="H304" s="9"/>
      <c r="I304" s="9"/>
      <c r="J304" s="9"/>
      <c r="K304" s="9"/>
      <c r="L304" s="9"/>
      <c r="M304" s="9"/>
      <c r="N304" s="9"/>
      <c r="O304" s="9"/>
    </row>
    <row r="305">
      <c r="A305" s="10" t="s">
        <v>5882</v>
      </c>
      <c r="B305" s="9"/>
      <c r="C305" s="9"/>
      <c r="D305" s="17">
        <v>3.0</v>
      </c>
      <c r="E305" s="9"/>
      <c r="F305" s="9"/>
      <c r="G305" s="9"/>
      <c r="H305" s="9"/>
      <c r="I305" s="9"/>
      <c r="J305" s="9"/>
      <c r="K305" s="9"/>
      <c r="L305" s="9"/>
      <c r="M305" s="9"/>
      <c r="N305" s="9"/>
      <c r="O305" s="9"/>
    </row>
    <row r="306">
      <c r="A306" s="11" t="s">
        <v>5883</v>
      </c>
      <c r="B306" s="9"/>
      <c r="C306" s="9"/>
      <c r="D306" s="17">
        <v>3.0</v>
      </c>
      <c r="E306" s="9"/>
      <c r="F306" s="9"/>
      <c r="G306" s="9"/>
      <c r="H306" s="9"/>
      <c r="I306" s="9"/>
      <c r="J306" s="9"/>
      <c r="K306" s="9"/>
      <c r="L306" s="9"/>
      <c r="M306" s="9"/>
      <c r="N306" s="9"/>
      <c r="O306" s="9"/>
    </row>
    <row r="307">
      <c r="A307" s="20" t="s">
        <v>5884</v>
      </c>
      <c r="B307" s="9"/>
      <c r="C307" s="9"/>
      <c r="D307" s="17">
        <v>3.0</v>
      </c>
      <c r="E307" s="9"/>
      <c r="F307" s="9"/>
      <c r="G307" s="9"/>
      <c r="H307" s="9"/>
      <c r="I307" s="9"/>
      <c r="J307" s="9"/>
      <c r="K307" s="9"/>
      <c r="L307" s="9"/>
      <c r="M307" s="9"/>
      <c r="N307" s="9"/>
      <c r="O307" s="9"/>
    </row>
    <row r="308">
      <c r="A308" s="11" t="s">
        <v>5885</v>
      </c>
      <c r="B308" s="9"/>
      <c r="C308" s="9"/>
      <c r="D308" s="17">
        <v>3.0</v>
      </c>
      <c r="E308" s="9"/>
      <c r="F308" s="9"/>
      <c r="G308" s="9"/>
      <c r="H308" s="9"/>
      <c r="I308" s="9"/>
      <c r="J308" s="9"/>
      <c r="K308" s="9"/>
      <c r="L308" s="9"/>
      <c r="M308" s="9"/>
      <c r="N308" s="9"/>
      <c r="O308" s="9"/>
    </row>
    <row r="309">
      <c r="A309" s="20" t="s">
        <v>5886</v>
      </c>
      <c r="B309" s="9"/>
      <c r="C309" s="9"/>
      <c r="D309" s="17">
        <v>3.0</v>
      </c>
      <c r="E309" s="9"/>
      <c r="F309" s="9"/>
      <c r="G309" s="9"/>
      <c r="H309" s="9"/>
      <c r="I309" s="9"/>
      <c r="J309" s="9"/>
      <c r="K309" s="9"/>
      <c r="L309" s="9"/>
      <c r="M309" s="9"/>
      <c r="N309" s="9"/>
      <c r="O309" s="9"/>
    </row>
    <row r="310">
      <c r="A310" s="11" t="s">
        <v>5887</v>
      </c>
      <c r="B310" s="9"/>
      <c r="C310" s="9"/>
      <c r="D310" s="17">
        <v>3.0</v>
      </c>
      <c r="E310" s="9"/>
      <c r="F310" s="9"/>
      <c r="G310" s="9"/>
      <c r="H310" s="9"/>
      <c r="I310" s="9"/>
      <c r="J310" s="9"/>
      <c r="K310" s="9"/>
      <c r="L310" s="9"/>
      <c r="M310" s="9"/>
      <c r="N310" s="9"/>
      <c r="O310" s="9"/>
    </row>
    <row r="311">
      <c r="A311" s="11" t="s">
        <v>5888</v>
      </c>
      <c r="B311" s="9"/>
      <c r="C311" s="9"/>
      <c r="D311" s="17">
        <v>3.0</v>
      </c>
      <c r="E311" s="9"/>
      <c r="F311" s="9"/>
      <c r="G311" s="9"/>
      <c r="H311" s="9"/>
      <c r="I311" s="9"/>
      <c r="J311" s="9"/>
      <c r="K311" s="9"/>
      <c r="L311" s="9"/>
      <c r="M311" s="9"/>
      <c r="N311" s="9"/>
      <c r="O311" s="9"/>
    </row>
    <row r="312">
      <c r="A312" s="11" t="s">
        <v>5889</v>
      </c>
      <c r="B312" s="9"/>
      <c r="C312" s="9"/>
      <c r="D312" s="8">
        <v>5.0</v>
      </c>
      <c r="E312" s="8">
        <v>5.0</v>
      </c>
      <c r="F312" s="8">
        <v>5.0</v>
      </c>
      <c r="G312" s="8">
        <v>3.0</v>
      </c>
      <c r="H312" s="9"/>
      <c r="I312" s="9"/>
      <c r="J312" s="9"/>
      <c r="K312" s="9"/>
      <c r="L312" s="9"/>
      <c r="M312" s="9"/>
      <c r="N312" s="9"/>
      <c r="O312" s="9"/>
    </row>
    <row r="313">
      <c r="A313" s="11" t="s">
        <v>5890</v>
      </c>
      <c r="B313" s="9"/>
      <c r="C313" s="9"/>
      <c r="D313" s="17">
        <v>3.0</v>
      </c>
      <c r="H313" s="9"/>
      <c r="I313" s="9"/>
      <c r="J313" s="9"/>
      <c r="K313" s="9"/>
      <c r="L313" s="9"/>
      <c r="M313" s="9"/>
      <c r="N313" s="9"/>
      <c r="O313" s="9"/>
    </row>
    <row r="314">
      <c r="A314" s="11" t="s">
        <v>5891</v>
      </c>
      <c r="B314" s="9"/>
      <c r="C314" s="9"/>
      <c r="D314" s="8">
        <v>5.0</v>
      </c>
      <c r="E314" s="8">
        <v>3.0</v>
      </c>
      <c r="F314" s="8">
        <v>3.0</v>
      </c>
      <c r="G314" s="8">
        <v>3.0</v>
      </c>
      <c r="H314" s="9"/>
      <c r="I314" s="9"/>
      <c r="J314" s="9"/>
      <c r="K314" s="9"/>
      <c r="L314" s="9"/>
      <c r="M314" s="9"/>
      <c r="N314" s="9"/>
      <c r="O314" s="9"/>
    </row>
    <row r="315">
      <c r="A315" s="11" t="s">
        <v>5892</v>
      </c>
      <c r="B315" s="9"/>
      <c r="C315" s="9"/>
      <c r="D315" s="8">
        <v>5.0</v>
      </c>
      <c r="E315" s="8">
        <v>5.0</v>
      </c>
      <c r="F315" s="8">
        <v>5.0</v>
      </c>
      <c r="G315" s="8">
        <v>3.0</v>
      </c>
      <c r="H315" s="9"/>
      <c r="I315" s="9"/>
      <c r="J315" s="9"/>
      <c r="K315" s="9"/>
      <c r="L315" s="9"/>
      <c r="M315" s="9"/>
      <c r="N315" s="9"/>
      <c r="O315" s="9"/>
    </row>
    <row r="316">
      <c r="A316" s="20" t="s">
        <v>5893</v>
      </c>
      <c r="B316" s="9"/>
      <c r="C316" s="9"/>
      <c r="D316" s="17">
        <v>3.0</v>
      </c>
      <c r="E316" s="9"/>
      <c r="F316" s="9"/>
      <c r="G316" s="9"/>
      <c r="H316" s="9"/>
      <c r="I316" s="9"/>
      <c r="J316" s="9"/>
      <c r="K316" s="9"/>
      <c r="L316" s="9"/>
      <c r="M316" s="9"/>
      <c r="N316" s="9"/>
      <c r="O316" s="9"/>
    </row>
    <row r="317">
      <c r="A317" s="18" t="s">
        <v>5894</v>
      </c>
      <c r="B317" s="9"/>
      <c r="C317" s="9"/>
      <c r="D317" s="8">
        <v>5.0</v>
      </c>
      <c r="E317" s="8">
        <v>5.0</v>
      </c>
      <c r="F317" s="8">
        <v>5.0</v>
      </c>
      <c r="G317" s="8">
        <v>5.0</v>
      </c>
      <c r="H317" s="9"/>
      <c r="I317" s="9"/>
      <c r="J317" s="9"/>
      <c r="K317" s="9"/>
      <c r="L317" s="9"/>
      <c r="M317" s="9"/>
      <c r="N317" s="9"/>
      <c r="O317" s="9"/>
    </row>
    <row r="318">
      <c r="A318" s="18" t="s">
        <v>5895</v>
      </c>
      <c r="B318" s="9"/>
      <c r="C318" s="9"/>
      <c r="D318" s="8">
        <v>5.0</v>
      </c>
      <c r="E318" s="8">
        <v>5.0</v>
      </c>
      <c r="F318" s="8">
        <v>5.0</v>
      </c>
      <c r="G318" s="8">
        <v>5.0</v>
      </c>
      <c r="H318" s="9"/>
      <c r="I318" s="9"/>
      <c r="J318" s="9"/>
      <c r="K318" s="9"/>
      <c r="L318" s="9"/>
      <c r="M318" s="9"/>
      <c r="N318" s="9"/>
      <c r="O318" s="9"/>
    </row>
    <row r="319">
      <c r="A319" s="18" t="s">
        <v>5896</v>
      </c>
      <c r="B319" s="9"/>
      <c r="C319" s="9"/>
      <c r="D319" s="8">
        <v>5.0</v>
      </c>
      <c r="E319" s="8">
        <v>5.0</v>
      </c>
      <c r="F319" s="8">
        <v>5.0</v>
      </c>
      <c r="G319" s="8">
        <v>3.0</v>
      </c>
      <c r="H319" s="9"/>
      <c r="I319" s="9"/>
      <c r="J319" s="9"/>
      <c r="K319" s="9"/>
      <c r="L319" s="9"/>
      <c r="M319" s="9"/>
      <c r="N319" s="9"/>
      <c r="O319" s="9"/>
    </row>
    <row r="320">
      <c r="A320" s="18" t="s">
        <v>5897</v>
      </c>
      <c r="B320" s="9"/>
      <c r="C320" s="9"/>
      <c r="D320" s="8">
        <v>5.0</v>
      </c>
      <c r="E320" s="8">
        <v>5.0</v>
      </c>
      <c r="F320" s="8">
        <v>5.0</v>
      </c>
      <c r="G320" s="8">
        <v>3.0</v>
      </c>
      <c r="H320" s="9"/>
      <c r="I320" s="9"/>
      <c r="J320" s="9"/>
      <c r="K320" s="9"/>
      <c r="L320" s="9"/>
      <c r="M320" s="9"/>
      <c r="N320" s="9"/>
      <c r="O320" s="9"/>
    </row>
    <row r="321">
      <c r="A321" s="18" t="s">
        <v>5898</v>
      </c>
      <c r="B321" s="9"/>
      <c r="C321" s="9"/>
      <c r="D321" s="17">
        <v>5.0</v>
      </c>
      <c r="E321" s="17">
        <v>3.0</v>
      </c>
      <c r="F321" s="17">
        <v>3.0</v>
      </c>
      <c r="G321" s="17">
        <v>3.0</v>
      </c>
      <c r="H321" s="9"/>
      <c r="I321" s="9"/>
      <c r="J321" s="9"/>
      <c r="K321" s="9"/>
      <c r="L321" s="9"/>
      <c r="M321" s="9"/>
      <c r="N321" s="9"/>
      <c r="O321" s="9"/>
    </row>
    <row r="322">
      <c r="A322" s="18" t="s">
        <v>5899</v>
      </c>
      <c r="B322" s="9"/>
      <c r="C322" s="9"/>
      <c r="D322" s="17">
        <v>5.0</v>
      </c>
      <c r="E322" s="17">
        <v>3.0</v>
      </c>
      <c r="F322" s="17">
        <v>3.0</v>
      </c>
      <c r="G322" s="17">
        <v>3.0</v>
      </c>
      <c r="H322" s="9"/>
      <c r="I322" s="9"/>
      <c r="J322" s="9"/>
      <c r="K322" s="9"/>
      <c r="L322" s="9"/>
      <c r="M322" s="9"/>
      <c r="N322" s="9"/>
      <c r="O322" s="9"/>
    </row>
    <row r="323">
      <c r="A323" s="18" t="s">
        <v>5900</v>
      </c>
      <c r="B323" s="9"/>
      <c r="C323" s="9"/>
      <c r="D323" s="9"/>
      <c r="E323" s="9"/>
      <c r="F323" s="9"/>
      <c r="G323" s="9"/>
      <c r="H323" s="9"/>
      <c r="I323" s="9"/>
      <c r="J323" s="9"/>
      <c r="K323" s="9"/>
      <c r="L323" s="9"/>
      <c r="M323" s="9"/>
      <c r="N323" s="9"/>
      <c r="O323" s="9"/>
    </row>
    <row r="324">
      <c r="A324" s="18" t="s">
        <v>5901</v>
      </c>
      <c r="B324" s="9"/>
      <c r="C324" s="9"/>
      <c r="D324" s="9"/>
      <c r="E324" s="9"/>
      <c r="F324" s="9"/>
      <c r="G324" s="9"/>
      <c r="H324" s="9"/>
      <c r="I324" s="9"/>
      <c r="J324" s="9"/>
      <c r="K324" s="9"/>
      <c r="L324" s="9"/>
      <c r="M324" s="9"/>
      <c r="N324" s="9"/>
      <c r="O324" s="9"/>
    </row>
    <row r="325">
      <c r="A325" s="11" t="s">
        <v>5902</v>
      </c>
      <c r="B325" s="9"/>
      <c r="C325" s="9"/>
      <c r="D325" s="17">
        <v>3.0</v>
      </c>
      <c r="E325" s="9"/>
      <c r="F325" s="9"/>
      <c r="G325" s="9"/>
      <c r="H325" s="9"/>
      <c r="I325" s="9"/>
      <c r="J325" s="9"/>
      <c r="K325" s="9"/>
      <c r="L325" s="9"/>
      <c r="M325" s="9"/>
      <c r="N325" s="9"/>
      <c r="O325" s="9"/>
    </row>
    <row r="326">
      <c r="A326" s="11" t="s">
        <v>5903</v>
      </c>
      <c r="B326" s="9"/>
      <c r="C326" s="8" t="s">
        <v>133</v>
      </c>
      <c r="D326" s="8">
        <v>5.0</v>
      </c>
      <c r="E326" s="8">
        <v>5.0</v>
      </c>
      <c r="F326" s="8">
        <v>5.0</v>
      </c>
      <c r="G326" s="8">
        <v>3.0</v>
      </c>
      <c r="H326" s="9"/>
      <c r="I326" s="9"/>
      <c r="J326" s="9"/>
      <c r="K326" s="9"/>
      <c r="L326" s="9"/>
      <c r="M326" s="9"/>
      <c r="N326" s="9"/>
      <c r="O326" s="9"/>
    </row>
    <row r="327">
      <c r="A327" s="11" t="s">
        <v>5904</v>
      </c>
      <c r="B327" s="9"/>
      <c r="C327" s="9"/>
      <c r="D327" s="17">
        <v>3.0</v>
      </c>
      <c r="E327" s="9"/>
      <c r="F327" s="9"/>
      <c r="G327" s="9"/>
      <c r="H327" s="9"/>
      <c r="I327" s="9"/>
      <c r="J327" s="9"/>
      <c r="K327" s="9"/>
      <c r="L327" s="9"/>
      <c r="M327" s="9"/>
      <c r="N327" s="9"/>
      <c r="O327" s="9"/>
    </row>
    <row r="328">
      <c r="A328" s="21" t="s">
        <v>5905</v>
      </c>
      <c r="B328" s="9"/>
      <c r="C328" s="9"/>
      <c r="D328" s="17">
        <v>3.0</v>
      </c>
      <c r="E328" s="9"/>
      <c r="F328" s="9"/>
      <c r="G328" s="9"/>
      <c r="H328" s="9"/>
      <c r="I328" s="9"/>
      <c r="J328" s="9"/>
      <c r="K328" s="9"/>
      <c r="L328" s="9"/>
      <c r="M328" s="9"/>
      <c r="N328" s="9"/>
      <c r="O328" s="9"/>
    </row>
    <row r="329">
      <c r="A329" s="20" t="s">
        <v>5906</v>
      </c>
      <c r="B329" s="9"/>
      <c r="C329" s="9"/>
      <c r="D329" s="17">
        <v>3.0</v>
      </c>
      <c r="E329" s="9"/>
      <c r="F329" s="9"/>
      <c r="G329" s="9"/>
      <c r="H329" s="9"/>
      <c r="I329" s="9"/>
      <c r="J329" s="9"/>
      <c r="K329" s="9"/>
      <c r="L329" s="9"/>
      <c r="M329" s="9"/>
      <c r="N329" s="9"/>
      <c r="O329" s="9"/>
    </row>
    <row r="330">
      <c r="A330" s="20" t="s">
        <v>5907</v>
      </c>
      <c r="B330" s="9"/>
      <c r="C330" s="9"/>
      <c r="D330" s="17">
        <v>3.0</v>
      </c>
      <c r="E330" s="9"/>
      <c r="F330" s="9"/>
      <c r="G330" s="9"/>
      <c r="H330" s="9"/>
      <c r="I330" s="9"/>
      <c r="J330" s="9"/>
      <c r="K330" s="9"/>
      <c r="L330" s="9"/>
      <c r="M330" s="9"/>
      <c r="N330" s="9"/>
      <c r="O330" s="9"/>
    </row>
    <row r="331">
      <c r="A331" s="11" t="s">
        <v>5908</v>
      </c>
      <c r="B331" s="9"/>
      <c r="C331" s="8" t="s">
        <v>133</v>
      </c>
      <c r="D331" s="17">
        <v>3.0</v>
      </c>
      <c r="E331" s="9"/>
      <c r="F331" s="9"/>
      <c r="G331" s="9"/>
      <c r="H331" s="9"/>
      <c r="I331" s="9"/>
      <c r="J331" s="9"/>
      <c r="K331" s="9"/>
      <c r="L331" s="9"/>
      <c r="M331" s="9"/>
      <c r="N331" s="9"/>
      <c r="O331" s="9"/>
    </row>
    <row r="332">
      <c r="A332" s="20" t="s">
        <v>5909</v>
      </c>
      <c r="B332" s="9"/>
      <c r="C332" s="9"/>
      <c r="D332" s="17">
        <v>3.0</v>
      </c>
      <c r="E332" s="9"/>
      <c r="F332" s="9"/>
      <c r="G332" s="9"/>
      <c r="H332" s="9"/>
      <c r="I332" s="9"/>
      <c r="J332" s="9"/>
      <c r="K332" s="9"/>
      <c r="L332" s="9"/>
      <c r="M332" s="9"/>
      <c r="N332" s="9"/>
      <c r="O332" s="9"/>
    </row>
    <row r="333">
      <c r="A333" s="11" t="s">
        <v>5910</v>
      </c>
      <c r="B333" s="9"/>
      <c r="C333" s="9"/>
      <c r="D333" s="17">
        <v>3.0</v>
      </c>
      <c r="E333" s="9"/>
      <c r="F333" s="9"/>
      <c r="G333" s="9"/>
      <c r="H333" s="9"/>
      <c r="I333" s="9"/>
      <c r="J333" s="9"/>
      <c r="K333" s="9"/>
      <c r="L333" s="9"/>
      <c r="M333" s="9"/>
      <c r="N333" s="9"/>
      <c r="O333" s="9"/>
    </row>
    <row r="334">
      <c r="A334" s="20" t="s">
        <v>5911</v>
      </c>
      <c r="B334" s="9"/>
      <c r="C334" s="9"/>
      <c r="D334" s="17">
        <v>3.0</v>
      </c>
      <c r="E334" s="9"/>
      <c r="F334" s="9"/>
      <c r="G334" s="9"/>
      <c r="H334" s="9"/>
      <c r="I334" s="9"/>
      <c r="J334" s="9"/>
      <c r="K334" s="9"/>
      <c r="L334" s="9"/>
      <c r="M334" s="9"/>
      <c r="N334" s="9"/>
      <c r="O334" s="9"/>
    </row>
    <row r="335">
      <c r="A335" s="20" t="s">
        <v>5912</v>
      </c>
      <c r="B335" s="9"/>
      <c r="C335" s="9"/>
      <c r="D335" s="17">
        <v>3.0</v>
      </c>
      <c r="E335" s="9"/>
      <c r="F335" s="9"/>
      <c r="G335" s="9"/>
      <c r="H335" s="9"/>
      <c r="I335" s="9"/>
      <c r="J335" s="9"/>
      <c r="K335" s="9"/>
      <c r="L335" s="9"/>
      <c r="M335" s="9"/>
      <c r="N335" s="9"/>
      <c r="O335" s="9"/>
    </row>
    <row r="336">
      <c r="A336" s="20" t="s">
        <v>5913</v>
      </c>
      <c r="B336" s="9"/>
      <c r="C336" s="9"/>
      <c r="D336" s="17">
        <v>3.0</v>
      </c>
      <c r="E336" s="9"/>
      <c r="F336" s="9"/>
      <c r="G336" s="9"/>
      <c r="H336" s="9"/>
      <c r="I336" s="9"/>
      <c r="J336" s="9"/>
      <c r="K336" s="9"/>
      <c r="L336" s="9"/>
      <c r="M336" s="9"/>
      <c r="N336" s="9"/>
      <c r="O336" s="9"/>
    </row>
    <row r="337">
      <c r="A337" s="20" t="s">
        <v>5914</v>
      </c>
      <c r="B337" s="9"/>
      <c r="C337" s="9"/>
      <c r="D337" s="17">
        <v>3.0</v>
      </c>
      <c r="E337" s="9"/>
      <c r="F337" s="9"/>
      <c r="G337" s="9"/>
      <c r="H337" s="9"/>
      <c r="I337" s="9"/>
      <c r="J337" s="9"/>
      <c r="K337" s="9"/>
      <c r="L337" s="9"/>
      <c r="M337" s="9"/>
      <c r="N337" s="9"/>
      <c r="O337" s="9"/>
    </row>
    <row r="338">
      <c r="A338" s="11" t="s">
        <v>5915</v>
      </c>
      <c r="B338" s="9"/>
      <c r="C338" s="9"/>
      <c r="D338" s="17">
        <v>3.0</v>
      </c>
      <c r="E338" s="9"/>
      <c r="F338" s="9"/>
      <c r="G338" s="9"/>
      <c r="H338" s="9"/>
      <c r="I338" s="9"/>
      <c r="J338" s="9"/>
      <c r="K338" s="9"/>
      <c r="L338" s="9"/>
      <c r="M338" s="9"/>
      <c r="N338" s="9"/>
      <c r="O338" s="9"/>
    </row>
    <row r="339">
      <c r="A339" s="11" t="s">
        <v>5916</v>
      </c>
      <c r="B339" s="9"/>
      <c r="C339" s="9"/>
      <c r="D339" s="17">
        <v>3.0</v>
      </c>
      <c r="E339" s="9"/>
      <c r="F339" s="9"/>
      <c r="G339" s="9"/>
      <c r="H339" s="9"/>
      <c r="I339" s="9"/>
      <c r="J339" s="9"/>
      <c r="K339" s="9"/>
      <c r="L339" s="9"/>
      <c r="M339" s="9"/>
      <c r="N339" s="9"/>
      <c r="O339" s="9"/>
    </row>
    <row r="340">
      <c r="A340" s="11" t="s">
        <v>5917</v>
      </c>
      <c r="B340" s="9"/>
      <c r="C340" s="9"/>
      <c r="D340" s="17">
        <v>3.0</v>
      </c>
      <c r="E340" s="9"/>
      <c r="F340" s="9"/>
      <c r="G340" s="9"/>
      <c r="H340" s="9"/>
      <c r="I340" s="9"/>
      <c r="J340" s="9"/>
      <c r="K340" s="9"/>
      <c r="L340" s="9"/>
      <c r="M340" s="9"/>
      <c r="N340" s="9"/>
      <c r="O340" s="9"/>
    </row>
    <row r="341">
      <c r="A341" s="11" t="s">
        <v>5918</v>
      </c>
      <c r="B341" s="9"/>
      <c r="C341" s="9"/>
      <c r="D341" s="17">
        <v>3.0</v>
      </c>
      <c r="E341" s="9"/>
      <c r="F341" s="9"/>
      <c r="G341" s="9"/>
      <c r="H341" s="9"/>
      <c r="I341" s="9"/>
      <c r="J341" s="9"/>
      <c r="K341" s="9"/>
      <c r="L341" s="9"/>
      <c r="M341" s="9"/>
      <c r="N341" s="9"/>
      <c r="O341" s="9"/>
    </row>
    <row r="342">
      <c r="A342" s="11" t="s">
        <v>5919</v>
      </c>
      <c r="B342" s="9"/>
      <c r="C342" s="9"/>
      <c r="D342" s="17">
        <v>3.0</v>
      </c>
      <c r="E342" s="9"/>
      <c r="F342" s="9"/>
      <c r="G342" s="9"/>
      <c r="H342" s="9"/>
      <c r="I342" s="9"/>
      <c r="J342" s="9"/>
      <c r="K342" s="9"/>
      <c r="L342" s="9"/>
      <c r="M342" s="9"/>
      <c r="N342" s="9"/>
      <c r="O342" s="9"/>
    </row>
    <row r="343">
      <c r="A343" s="18" t="s">
        <v>5920</v>
      </c>
      <c r="B343" s="9"/>
      <c r="C343" s="9"/>
      <c r="D343" s="8">
        <v>5.0</v>
      </c>
      <c r="E343" s="8">
        <v>5.0</v>
      </c>
      <c r="F343" s="8">
        <v>5.0</v>
      </c>
      <c r="G343" s="8">
        <v>5.0</v>
      </c>
      <c r="H343" s="9"/>
      <c r="I343" s="9"/>
      <c r="J343" s="9"/>
      <c r="K343" s="9"/>
      <c r="L343" s="9"/>
      <c r="M343" s="9"/>
      <c r="N343" s="9"/>
      <c r="O343" s="9"/>
    </row>
    <row r="344">
      <c r="A344" s="18" t="s">
        <v>5921</v>
      </c>
      <c r="B344" s="9"/>
      <c r="C344" s="9"/>
      <c r="D344" s="17">
        <v>5.0</v>
      </c>
      <c r="E344" s="17">
        <v>5.0</v>
      </c>
      <c r="F344" s="17">
        <v>5.0</v>
      </c>
      <c r="G344" s="17">
        <v>3.0</v>
      </c>
      <c r="H344" s="9"/>
      <c r="I344" s="9"/>
      <c r="J344" s="9"/>
      <c r="K344" s="9"/>
      <c r="L344" s="9"/>
      <c r="M344" s="9"/>
      <c r="N344" s="9"/>
      <c r="O344" s="9"/>
    </row>
    <row r="345">
      <c r="A345" s="18" t="s">
        <v>5922</v>
      </c>
      <c r="B345" s="9"/>
      <c r="C345" s="9"/>
      <c r="D345" s="17">
        <v>5.0</v>
      </c>
      <c r="E345" s="17">
        <v>3.0</v>
      </c>
      <c r="F345" s="17">
        <v>3.0</v>
      </c>
      <c r="G345" s="17">
        <v>3.0</v>
      </c>
      <c r="H345" s="9"/>
      <c r="I345" s="9"/>
      <c r="J345" s="9"/>
      <c r="K345" s="9"/>
      <c r="L345" s="9"/>
      <c r="M345" s="9"/>
      <c r="N345" s="9"/>
      <c r="O345" s="9"/>
    </row>
    <row r="346">
      <c r="A346" s="18" t="s">
        <v>5923</v>
      </c>
      <c r="B346" s="9"/>
      <c r="C346" s="9"/>
      <c r="D346" s="17">
        <v>5.0</v>
      </c>
      <c r="E346" s="17">
        <v>3.0</v>
      </c>
      <c r="F346" s="17">
        <v>3.0</v>
      </c>
      <c r="G346" s="17">
        <v>3.0</v>
      </c>
      <c r="H346" s="9"/>
      <c r="I346" s="9"/>
      <c r="J346" s="9"/>
      <c r="K346" s="9"/>
      <c r="L346" s="9"/>
      <c r="M346" s="9"/>
      <c r="N346" s="9"/>
      <c r="O346" s="9"/>
    </row>
    <row r="347">
      <c r="A347" s="18" t="s">
        <v>5924</v>
      </c>
      <c r="B347" s="9"/>
      <c r="C347" s="9"/>
      <c r="D347" s="17">
        <v>3.0</v>
      </c>
      <c r="E347" s="9"/>
      <c r="F347" s="9"/>
      <c r="G347" s="9"/>
      <c r="H347" s="9"/>
      <c r="I347" s="9"/>
      <c r="J347" s="9"/>
      <c r="K347" s="9"/>
      <c r="L347" s="9"/>
      <c r="M347" s="9"/>
      <c r="N347" s="9"/>
      <c r="O347" s="9"/>
    </row>
    <row r="348">
      <c r="A348" s="11" t="s">
        <v>5925</v>
      </c>
      <c r="B348" s="9"/>
      <c r="C348" s="9"/>
      <c r="D348" s="9"/>
      <c r="E348" s="9"/>
      <c r="F348" s="9"/>
      <c r="G348" s="9"/>
      <c r="H348" s="9"/>
      <c r="I348" s="9"/>
      <c r="J348" s="9"/>
      <c r="K348" s="9"/>
      <c r="L348" s="9"/>
      <c r="M348" s="9"/>
      <c r="N348" s="9"/>
      <c r="O348" s="9"/>
    </row>
    <row r="349">
      <c r="A349" s="20" t="s">
        <v>5926</v>
      </c>
      <c r="B349" s="9"/>
      <c r="C349" s="9"/>
      <c r="D349" s="9"/>
      <c r="E349" s="9"/>
      <c r="F349" s="9"/>
      <c r="G349" s="9"/>
      <c r="H349" s="9"/>
      <c r="I349" s="9"/>
      <c r="J349" s="9"/>
      <c r="K349" s="9"/>
      <c r="L349" s="9"/>
      <c r="M349" s="9"/>
      <c r="N349" s="9"/>
      <c r="O349" s="9"/>
    </row>
    <row r="350">
      <c r="A350" s="18" t="s">
        <v>5927</v>
      </c>
      <c r="B350" s="9"/>
      <c r="C350" s="9"/>
      <c r="D350" s="9"/>
      <c r="E350" s="9"/>
      <c r="F350" s="9"/>
      <c r="G350" s="9"/>
      <c r="H350" s="9"/>
      <c r="I350" s="9"/>
      <c r="J350" s="9"/>
      <c r="K350" s="9"/>
      <c r="L350" s="9"/>
      <c r="M350" s="9"/>
      <c r="N350" s="9"/>
      <c r="O350" s="9"/>
    </row>
    <row r="351">
      <c r="A351" s="20" t="s">
        <v>5928</v>
      </c>
      <c r="B351" s="9"/>
      <c r="C351" s="9"/>
      <c r="D351" s="9"/>
      <c r="E351" s="9"/>
      <c r="F351" s="9"/>
      <c r="G351" s="9"/>
      <c r="H351" s="9"/>
      <c r="I351" s="9"/>
      <c r="J351" s="9"/>
      <c r="K351" s="9"/>
      <c r="L351" s="9"/>
      <c r="M351" s="9"/>
      <c r="N351" s="9"/>
      <c r="O351" s="9"/>
    </row>
    <row r="352">
      <c r="B352" s="9" t="str">
        <f t="shared" ref="B352:B1016" si="1">CONCATENATE(A352," Violation")</f>
        <v> Violation</v>
      </c>
      <c r="C352" s="9"/>
      <c r="D352" s="9"/>
      <c r="E352" s="9"/>
      <c r="F352" s="9"/>
      <c r="G352" s="9"/>
      <c r="H352" s="9"/>
      <c r="I352" s="9"/>
      <c r="J352" s="9"/>
      <c r="K352" s="9"/>
      <c r="L352" s="9"/>
      <c r="M352" s="9"/>
      <c r="N352" s="9"/>
      <c r="O352" s="9"/>
    </row>
    <row r="353">
      <c r="B353" s="9" t="str">
        <f t="shared" si="1"/>
        <v> Violation</v>
      </c>
      <c r="C353" s="9"/>
      <c r="D353" s="9"/>
      <c r="E353" s="9"/>
      <c r="F353" s="9"/>
      <c r="G353" s="9"/>
      <c r="H353" s="9"/>
      <c r="I353" s="9"/>
      <c r="J353" s="9"/>
      <c r="K353" s="9"/>
      <c r="L353" s="9"/>
      <c r="M353" s="9"/>
      <c r="N353" s="9"/>
      <c r="O353" s="9"/>
    </row>
    <row r="354">
      <c r="B354" s="9" t="str">
        <f t="shared" si="1"/>
        <v> Violation</v>
      </c>
      <c r="C354" s="9"/>
      <c r="D354" s="9"/>
      <c r="E354" s="9"/>
      <c r="F354" s="9"/>
      <c r="G354" s="9"/>
      <c r="H354" s="9"/>
      <c r="I354" s="9"/>
      <c r="J354" s="9"/>
      <c r="K354" s="9"/>
      <c r="L354" s="9"/>
      <c r="M354" s="9"/>
      <c r="N354" s="9"/>
      <c r="O354" s="9"/>
    </row>
    <row r="355">
      <c r="B355" s="9" t="str">
        <f t="shared" si="1"/>
        <v> Violation</v>
      </c>
      <c r="C355" s="9"/>
      <c r="D355" s="9"/>
      <c r="E355" s="9"/>
      <c r="F355" s="9"/>
      <c r="G355" s="9"/>
      <c r="H355" s="9"/>
      <c r="I355" s="9"/>
      <c r="J355" s="9"/>
      <c r="K355" s="9"/>
      <c r="L355" s="9"/>
      <c r="M355" s="9"/>
      <c r="N355" s="9"/>
      <c r="O355" s="9"/>
    </row>
    <row r="356">
      <c r="B356" s="9" t="str">
        <f t="shared" si="1"/>
        <v> Violation</v>
      </c>
      <c r="C356" s="9"/>
      <c r="D356" s="9"/>
      <c r="E356" s="9"/>
      <c r="F356" s="9"/>
      <c r="G356" s="9"/>
      <c r="H356" s="9"/>
      <c r="I356" s="9"/>
      <c r="J356" s="9"/>
      <c r="K356" s="9"/>
      <c r="L356" s="9"/>
      <c r="M356" s="9"/>
      <c r="N356" s="9"/>
      <c r="O356" s="9"/>
    </row>
    <row r="357">
      <c r="B357" s="9" t="str">
        <f t="shared" si="1"/>
        <v> Violation</v>
      </c>
      <c r="C357" s="9"/>
      <c r="D357" s="9"/>
      <c r="E357" s="9"/>
      <c r="F357" s="9"/>
      <c r="G357" s="9"/>
      <c r="H357" s="9"/>
      <c r="I357" s="9"/>
      <c r="J357" s="9"/>
      <c r="K357" s="9"/>
      <c r="L357" s="9"/>
      <c r="M357" s="9"/>
      <c r="N357" s="9"/>
      <c r="O357" s="9"/>
    </row>
    <row r="358">
      <c r="B358" s="9" t="str">
        <f t="shared" si="1"/>
        <v> Violation</v>
      </c>
      <c r="C358" s="9"/>
      <c r="D358" s="9"/>
      <c r="E358" s="9"/>
      <c r="F358" s="9"/>
      <c r="G358" s="9"/>
      <c r="H358" s="9"/>
      <c r="I358" s="9"/>
      <c r="J358" s="9"/>
      <c r="K358" s="9"/>
      <c r="L358" s="9"/>
      <c r="M358" s="9"/>
      <c r="N358" s="9"/>
      <c r="O358" s="9"/>
    </row>
    <row r="359">
      <c r="B359" s="9" t="str">
        <f t="shared" si="1"/>
        <v> Violation</v>
      </c>
      <c r="C359" s="9"/>
      <c r="D359" s="9"/>
      <c r="E359" s="9"/>
      <c r="F359" s="9"/>
      <c r="G359" s="9"/>
      <c r="H359" s="9"/>
      <c r="I359" s="9"/>
      <c r="J359" s="9"/>
      <c r="K359" s="9"/>
      <c r="L359" s="9"/>
      <c r="M359" s="9"/>
      <c r="N359" s="9"/>
      <c r="O359" s="9"/>
    </row>
    <row r="360">
      <c r="B360" s="9" t="str">
        <f t="shared" si="1"/>
        <v> Violation</v>
      </c>
      <c r="C360" s="9"/>
      <c r="D360" s="9"/>
      <c r="E360" s="9"/>
      <c r="F360" s="9"/>
      <c r="G360" s="9"/>
      <c r="H360" s="9"/>
      <c r="I360" s="9"/>
      <c r="J360" s="9"/>
      <c r="K360" s="9"/>
      <c r="L360" s="9"/>
      <c r="M360" s="9"/>
      <c r="N360" s="9"/>
      <c r="O360" s="9"/>
    </row>
    <row r="361">
      <c r="B361" s="9" t="str">
        <f t="shared" si="1"/>
        <v> Violation</v>
      </c>
      <c r="C361" s="9"/>
      <c r="D361" s="9"/>
      <c r="E361" s="9"/>
      <c r="F361" s="9"/>
      <c r="G361" s="9"/>
      <c r="H361" s="9"/>
      <c r="I361" s="9"/>
      <c r="J361" s="9"/>
      <c r="K361" s="9"/>
      <c r="L361" s="9"/>
      <c r="M361" s="9"/>
      <c r="N361" s="9"/>
      <c r="O361" s="9"/>
    </row>
    <row r="362">
      <c r="B362" s="9" t="str">
        <f t="shared" si="1"/>
        <v> Violation</v>
      </c>
      <c r="C362" s="9"/>
      <c r="D362" s="9"/>
      <c r="E362" s="9"/>
      <c r="F362" s="9"/>
      <c r="G362" s="9"/>
      <c r="H362" s="9"/>
      <c r="I362" s="9"/>
      <c r="J362" s="9"/>
      <c r="K362" s="9"/>
      <c r="L362" s="9"/>
      <c r="M362" s="9"/>
      <c r="N362" s="9"/>
      <c r="O362" s="9"/>
    </row>
    <row r="363">
      <c r="B363" s="9" t="str">
        <f t="shared" si="1"/>
        <v> Violation</v>
      </c>
      <c r="C363" s="9"/>
      <c r="D363" s="9"/>
      <c r="E363" s="9"/>
      <c r="F363" s="9"/>
      <c r="G363" s="9"/>
      <c r="H363" s="9"/>
      <c r="I363" s="9"/>
      <c r="J363" s="9"/>
      <c r="K363" s="9"/>
      <c r="L363" s="9"/>
      <c r="M363" s="9"/>
      <c r="N363" s="9"/>
      <c r="O363" s="9"/>
    </row>
    <row r="364">
      <c r="B364" s="9" t="str">
        <f t="shared" si="1"/>
        <v> Violation</v>
      </c>
      <c r="C364" s="9"/>
      <c r="D364" s="9"/>
      <c r="E364" s="9"/>
      <c r="F364" s="9"/>
      <c r="G364" s="9"/>
      <c r="H364" s="9"/>
      <c r="I364" s="9"/>
      <c r="J364" s="9"/>
      <c r="K364" s="9"/>
      <c r="L364" s="9"/>
      <c r="M364" s="9"/>
      <c r="N364" s="9"/>
      <c r="O364" s="9"/>
    </row>
    <row r="365">
      <c r="B365" s="9" t="str">
        <f t="shared" si="1"/>
        <v> Violation</v>
      </c>
      <c r="C365" s="9"/>
      <c r="D365" s="9"/>
      <c r="E365" s="9"/>
      <c r="F365" s="9"/>
      <c r="G365" s="9"/>
      <c r="H365" s="9"/>
      <c r="I365" s="9"/>
      <c r="J365" s="9"/>
      <c r="K365" s="9"/>
      <c r="L365" s="9"/>
      <c r="M365" s="9"/>
      <c r="N365" s="9"/>
      <c r="O365" s="9"/>
    </row>
    <row r="366">
      <c r="B366" s="9" t="str">
        <f t="shared" si="1"/>
        <v> Violation</v>
      </c>
      <c r="C366" s="9"/>
      <c r="D366" s="9"/>
      <c r="E366" s="9"/>
      <c r="F366" s="9"/>
      <c r="G366" s="9"/>
      <c r="H366" s="9"/>
      <c r="I366" s="9"/>
      <c r="J366" s="9"/>
      <c r="K366" s="9"/>
      <c r="L366" s="9"/>
      <c r="M366" s="9"/>
      <c r="N366" s="9"/>
      <c r="O366" s="9"/>
    </row>
    <row r="367">
      <c r="B367" s="9" t="str">
        <f t="shared" si="1"/>
        <v> Violation</v>
      </c>
      <c r="C367" s="9"/>
      <c r="D367" s="9"/>
      <c r="E367" s="9"/>
      <c r="F367" s="9"/>
      <c r="G367" s="9"/>
      <c r="H367" s="9"/>
      <c r="I367" s="9"/>
      <c r="J367" s="9"/>
      <c r="K367" s="9"/>
      <c r="L367" s="9"/>
      <c r="M367" s="9"/>
      <c r="N367" s="9"/>
      <c r="O367" s="9"/>
    </row>
    <row r="368">
      <c r="B368" s="9" t="str">
        <f t="shared" si="1"/>
        <v> Violation</v>
      </c>
      <c r="C368" s="9"/>
      <c r="D368" s="9"/>
      <c r="E368" s="9"/>
      <c r="F368" s="9"/>
      <c r="G368" s="9"/>
      <c r="H368" s="9"/>
      <c r="I368" s="9"/>
      <c r="J368" s="9"/>
      <c r="K368" s="9"/>
      <c r="L368" s="9"/>
      <c r="M368" s="9"/>
      <c r="N368" s="9"/>
      <c r="O368" s="9"/>
    </row>
    <row r="369">
      <c r="B369" s="9" t="str">
        <f t="shared" si="1"/>
        <v> Violation</v>
      </c>
      <c r="C369" s="9"/>
      <c r="D369" s="9"/>
      <c r="E369" s="9"/>
      <c r="F369" s="9"/>
      <c r="G369" s="9"/>
      <c r="H369" s="9"/>
      <c r="I369" s="9"/>
      <c r="J369" s="9"/>
      <c r="K369" s="9"/>
      <c r="L369" s="9"/>
      <c r="M369" s="9"/>
      <c r="N369" s="9"/>
      <c r="O369" s="9"/>
    </row>
    <row r="370">
      <c r="B370" s="9" t="str">
        <f t="shared" si="1"/>
        <v> Violation</v>
      </c>
      <c r="C370" s="9"/>
      <c r="D370" s="9"/>
      <c r="E370" s="9"/>
      <c r="F370" s="9"/>
      <c r="G370" s="9"/>
      <c r="H370" s="9"/>
      <c r="I370" s="9"/>
      <c r="J370" s="9"/>
      <c r="K370" s="9"/>
      <c r="L370" s="9"/>
      <c r="M370" s="9"/>
      <c r="N370" s="9"/>
      <c r="O370" s="9"/>
    </row>
    <row r="371">
      <c r="B371" s="9" t="str">
        <f t="shared" si="1"/>
        <v> Violation</v>
      </c>
      <c r="C371" s="9"/>
      <c r="D371" s="9"/>
      <c r="E371" s="9"/>
      <c r="F371" s="9"/>
      <c r="G371" s="9"/>
      <c r="H371" s="9"/>
      <c r="I371" s="9"/>
      <c r="J371" s="9"/>
      <c r="K371" s="9"/>
      <c r="L371" s="9"/>
      <c r="M371" s="9"/>
      <c r="N371" s="9"/>
      <c r="O371" s="9"/>
    </row>
    <row r="372">
      <c r="B372" s="9" t="str">
        <f t="shared" si="1"/>
        <v> Violation</v>
      </c>
      <c r="C372" s="9"/>
      <c r="D372" s="9"/>
      <c r="E372" s="9"/>
      <c r="F372" s="9"/>
      <c r="G372" s="9"/>
      <c r="H372" s="9"/>
      <c r="I372" s="9"/>
      <c r="J372" s="9"/>
      <c r="K372" s="9"/>
      <c r="L372" s="9"/>
      <c r="M372" s="9"/>
      <c r="N372" s="9"/>
      <c r="O372" s="9"/>
    </row>
    <row r="373">
      <c r="B373" s="9" t="str">
        <f t="shared" si="1"/>
        <v> Violation</v>
      </c>
      <c r="C373" s="9"/>
      <c r="D373" s="9"/>
      <c r="E373" s="9"/>
      <c r="F373" s="9"/>
      <c r="G373" s="9"/>
      <c r="H373" s="9"/>
      <c r="I373" s="9"/>
      <c r="J373" s="9"/>
      <c r="K373" s="9"/>
      <c r="L373" s="9"/>
      <c r="M373" s="9"/>
      <c r="N373" s="9"/>
      <c r="O373" s="9"/>
    </row>
    <row r="374">
      <c r="B374" s="9" t="str">
        <f t="shared" si="1"/>
        <v> Violation</v>
      </c>
      <c r="C374" s="9"/>
      <c r="D374" s="9"/>
      <c r="E374" s="9"/>
      <c r="F374" s="9"/>
      <c r="G374" s="9"/>
      <c r="H374" s="9"/>
      <c r="I374" s="9"/>
      <c r="J374" s="9"/>
      <c r="K374" s="9"/>
      <c r="L374" s="9"/>
      <c r="M374" s="9"/>
      <c r="N374" s="9"/>
      <c r="O374" s="9"/>
    </row>
    <row r="375">
      <c r="B375" s="9" t="str">
        <f t="shared" si="1"/>
        <v> Violation</v>
      </c>
      <c r="C375" s="9"/>
      <c r="D375" s="9"/>
      <c r="E375" s="9"/>
      <c r="F375" s="9"/>
      <c r="G375" s="9"/>
      <c r="H375" s="9"/>
      <c r="I375" s="9"/>
      <c r="J375" s="9"/>
      <c r="K375" s="9"/>
      <c r="L375" s="9"/>
      <c r="M375" s="9"/>
      <c r="N375" s="9"/>
      <c r="O375" s="9"/>
    </row>
    <row r="376">
      <c r="B376" s="9" t="str">
        <f t="shared" si="1"/>
        <v> Violation</v>
      </c>
      <c r="C376" s="9"/>
      <c r="D376" s="9"/>
      <c r="E376" s="9"/>
      <c r="F376" s="9"/>
      <c r="G376" s="9"/>
      <c r="H376" s="9"/>
      <c r="I376" s="9"/>
      <c r="J376" s="9"/>
      <c r="K376" s="9"/>
      <c r="L376" s="9"/>
      <c r="M376" s="9"/>
      <c r="N376" s="9"/>
      <c r="O376" s="9"/>
    </row>
    <row r="377">
      <c r="B377" s="9" t="str">
        <f t="shared" si="1"/>
        <v> Violation</v>
      </c>
      <c r="C377" s="9"/>
      <c r="D377" s="9"/>
      <c r="E377" s="9"/>
      <c r="F377" s="9"/>
      <c r="G377" s="9"/>
      <c r="H377" s="9"/>
      <c r="I377" s="9"/>
      <c r="J377" s="9"/>
      <c r="K377" s="9"/>
      <c r="L377" s="9"/>
      <c r="M377" s="9"/>
      <c r="N377" s="9"/>
      <c r="O377" s="9"/>
    </row>
    <row r="378">
      <c r="B378" s="9" t="str">
        <f t="shared" si="1"/>
        <v> Violation</v>
      </c>
      <c r="C378" s="9"/>
      <c r="D378" s="9"/>
      <c r="E378" s="9"/>
      <c r="F378" s="9"/>
      <c r="G378" s="9"/>
      <c r="H378" s="9"/>
      <c r="I378" s="9"/>
      <c r="J378" s="9"/>
      <c r="K378" s="9"/>
      <c r="L378" s="9"/>
      <c r="M378" s="9"/>
      <c r="N378" s="9"/>
      <c r="O378" s="9"/>
    </row>
    <row r="379">
      <c r="B379" s="9" t="str">
        <f t="shared" si="1"/>
        <v> Violation</v>
      </c>
      <c r="C379" s="9"/>
      <c r="D379" s="9"/>
      <c r="E379" s="9"/>
      <c r="F379" s="9"/>
      <c r="G379" s="9"/>
      <c r="H379" s="9"/>
      <c r="I379" s="9"/>
      <c r="J379" s="9"/>
      <c r="K379" s="9"/>
      <c r="L379" s="9"/>
      <c r="M379" s="9"/>
      <c r="N379" s="9"/>
      <c r="O379" s="9"/>
    </row>
    <row r="380">
      <c r="B380" s="9" t="str">
        <f t="shared" si="1"/>
        <v> Violation</v>
      </c>
      <c r="C380" s="9"/>
      <c r="D380" s="9"/>
      <c r="E380" s="9"/>
      <c r="F380" s="9"/>
      <c r="G380" s="9"/>
      <c r="H380" s="9"/>
      <c r="I380" s="9"/>
      <c r="J380" s="9"/>
      <c r="K380" s="9"/>
      <c r="L380" s="9"/>
      <c r="M380" s="9"/>
      <c r="N380" s="9"/>
      <c r="O380" s="9"/>
    </row>
    <row r="381">
      <c r="B381" s="9" t="str">
        <f t="shared" si="1"/>
        <v> Violation</v>
      </c>
      <c r="C381" s="9"/>
      <c r="D381" s="9"/>
      <c r="E381" s="9"/>
      <c r="F381" s="9"/>
      <c r="G381" s="9"/>
      <c r="H381" s="9"/>
      <c r="I381" s="9"/>
      <c r="J381" s="9"/>
      <c r="K381" s="9"/>
      <c r="L381" s="9"/>
      <c r="M381" s="9"/>
      <c r="N381" s="9"/>
      <c r="O381" s="9"/>
    </row>
    <row r="382">
      <c r="B382" s="9" t="str">
        <f t="shared" si="1"/>
        <v> Violation</v>
      </c>
      <c r="C382" s="9"/>
      <c r="D382" s="9"/>
      <c r="E382" s="9"/>
      <c r="F382" s="9"/>
      <c r="G382" s="9"/>
      <c r="H382" s="9"/>
      <c r="I382" s="9"/>
      <c r="J382" s="9"/>
      <c r="K382" s="9"/>
      <c r="L382" s="9"/>
      <c r="M382" s="9"/>
      <c r="N382" s="9"/>
      <c r="O382" s="9"/>
    </row>
    <row r="383">
      <c r="B383" s="9" t="str">
        <f t="shared" si="1"/>
        <v> Violation</v>
      </c>
      <c r="C383" s="9"/>
      <c r="D383" s="9"/>
      <c r="E383" s="9"/>
      <c r="F383" s="9"/>
      <c r="G383" s="9"/>
      <c r="H383" s="9"/>
      <c r="I383" s="9"/>
      <c r="J383" s="9"/>
      <c r="K383" s="9"/>
      <c r="L383" s="9"/>
      <c r="M383" s="9"/>
      <c r="N383" s="9"/>
      <c r="O383" s="9"/>
    </row>
    <row r="384">
      <c r="B384" s="9" t="str">
        <f t="shared" si="1"/>
        <v> Violation</v>
      </c>
      <c r="C384" s="9"/>
      <c r="D384" s="9"/>
      <c r="E384" s="9"/>
      <c r="F384" s="9"/>
      <c r="G384" s="9"/>
      <c r="H384" s="9"/>
      <c r="I384" s="9"/>
      <c r="J384" s="9"/>
      <c r="K384" s="9"/>
      <c r="L384" s="9"/>
      <c r="M384" s="9"/>
      <c r="N384" s="9"/>
      <c r="O384" s="9"/>
    </row>
    <row r="385">
      <c r="B385" s="9" t="str">
        <f t="shared" si="1"/>
        <v> Violation</v>
      </c>
      <c r="C385" s="9"/>
      <c r="D385" s="9"/>
      <c r="E385" s="9"/>
      <c r="F385" s="9"/>
      <c r="G385" s="9"/>
      <c r="H385" s="9"/>
      <c r="I385" s="9"/>
      <c r="J385" s="9"/>
      <c r="K385" s="9"/>
      <c r="L385" s="9"/>
      <c r="M385" s="9"/>
      <c r="N385" s="9"/>
      <c r="O385" s="9"/>
    </row>
    <row r="386">
      <c r="B386" s="9" t="str">
        <f t="shared" si="1"/>
        <v> Violation</v>
      </c>
      <c r="C386" s="9"/>
      <c r="D386" s="9"/>
      <c r="E386" s="9"/>
      <c r="F386" s="9"/>
      <c r="G386" s="9"/>
      <c r="H386" s="9"/>
      <c r="I386" s="9"/>
      <c r="J386" s="9"/>
      <c r="K386" s="9"/>
      <c r="L386" s="9"/>
      <c r="M386" s="9"/>
      <c r="N386" s="9"/>
      <c r="O386" s="9"/>
    </row>
    <row r="387">
      <c r="B387" s="9" t="str">
        <f t="shared" si="1"/>
        <v> Violation</v>
      </c>
      <c r="C387" s="9"/>
      <c r="D387" s="9"/>
      <c r="E387" s="9"/>
      <c r="F387" s="9"/>
      <c r="G387" s="9"/>
      <c r="H387" s="9"/>
      <c r="I387" s="9"/>
      <c r="J387" s="9"/>
      <c r="K387" s="9"/>
      <c r="L387" s="9"/>
      <c r="M387" s="9"/>
      <c r="N387" s="9"/>
      <c r="O387" s="9"/>
    </row>
    <row r="388">
      <c r="B388" s="9" t="str">
        <f t="shared" si="1"/>
        <v> Violation</v>
      </c>
      <c r="C388" s="9"/>
      <c r="D388" s="9"/>
      <c r="E388" s="9"/>
      <c r="F388" s="9"/>
      <c r="G388" s="9"/>
      <c r="H388" s="9"/>
      <c r="I388" s="9"/>
      <c r="J388" s="9"/>
      <c r="K388" s="9"/>
      <c r="L388" s="9"/>
      <c r="M388" s="9"/>
      <c r="N388" s="9"/>
      <c r="O388" s="9"/>
    </row>
    <row r="389">
      <c r="B389" s="9" t="str">
        <f t="shared" si="1"/>
        <v> Violation</v>
      </c>
      <c r="C389" s="9"/>
      <c r="D389" s="9"/>
      <c r="E389" s="9"/>
      <c r="F389" s="9"/>
      <c r="G389" s="9"/>
      <c r="H389" s="9"/>
      <c r="I389" s="9"/>
      <c r="J389" s="9"/>
      <c r="K389" s="9"/>
      <c r="L389" s="9"/>
      <c r="M389" s="9"/>
      <c r="N389" s="9"/>
      <c r="O389" s="9"/>
    </row>
    <row r="390">
      <c r="B390" s="9" t="str">
        <f t="shared" si="1"/>
        <v> Violation</v>
      </c>
      <c r="C390" s="9"/>
      <c r="D390" s="9"/>
      <c r="E390" s="9"/>
      <c r="F390" s="9"/>
      <c r="G390" s="9"/>
      <c r="H390" s="9"/>
      <c r="I390" s="9"/>
      <c r="J390" s="9"/>
      <c r="K390" s="9"/>
      <c r="L390" s="9"/>
      <c r="M390" s="9"/>
      <c r="N390" s="9"/>
      <c r="O390" s="9"/>
    </row>
    <row r="391">
      <c r="B391" s="9" t="str">
        <f t="shared" si="1"/>
        <v> Violation</v>
      </c>
      <c r="C391" s="9"/>
      <c r="D391" s="9"/>
      <c r="E391" s="9"/>
      <c r="F391" s="9"/>
      <c r="G391" s="9"/>
      <c r="H391" s="9"/>
      <c r="I391" s="9"/>
      <c r="J391" s="9"/>
      <c r="K391" s="9"/>
      <c r="L391" s="9"/>
      <c r="M391" s="9"/>
      <c r="N391" s="9"/>
      <c r="O391" s="9"/>
    </row>
    <row r="392">
      <c r="B392" s="9" t="str">
        <f t="shared" si="1"/>
        <v> Violation</v>
      </c>
      <c r="C392" s="9"/>
      <c r="D392" s="9"/>
      <c r="E392" s="9"/>
      <c r="F392" s="9"/>
      <c r="G392" s="9"/>
      <c r="H392" s="9"/>
      <c r="I392" s="9"/>
      <c r="J392" s="9"/>
      <c r="K392" s="9"/>
      <c r="L392" s="9"/>
      <c r="M392" s="9"/>
      <c r="N392" s="9"/>
      <c r="O392" s="9"/>
    </row>
    <row r="393">
      <c r="B393" s="9" t="str">
        <f t="shared" si="1"/>
        <v> Violation</v>
      </c>
      <c r="C393" s="9"/>
      <c r="D393" s="9"/>
      <c r="E393" s="9"/>
      <c r="F393" s="9"/>
      <c r="G393" s="9"/>
      <c r="H393" s="9"/>
      <c r="I393" s="9"/>
      <c r="J393" s="9"/>
      <c r="K393" s="9"/>
      <c r="L393" s="9"/>
      <c r="M393" s="9"/>
      <c r="N393" s="9"/>
      <c r="O393" s="9"/>
    </row>
    <row r="394">
      <c r="B394" s="9" t="str">
        <f t="shared" si="1"/>
        <v> Violation</v>
      </c>
      <c r="C394" s="9"/>
      <c r="D394" s="9"/>
      <c r="E394" s="9"/>
      <c r="F394" s="9"/>
      <c r="G394" s="9"/>
      <c r="H394" s="9"/>
      <c r="I394" s="9"/>
      <c r="J394" s="9"/>
      <c r="K394" s="9"/>
      <c r="L394" s="9"/>
      <c r="M394" s="9"/>
      <c r="N394" s="9"/>
      <c r="O394" s="9"/>
    </row>
    <row r="395">
      <c r="B395" s="9" t="str">
        <f t="shared" si="1"/>
        <v> Violation</v>
      </c>
      <c r="C395" s="9"/>
      <c r="D395" s="9"/>
      <c r="E395" s="9"/>
      <c r="F395" s="9"/>
      <c r="G395" s="9"/>
      <c r="H395" s="9"/>
      <c r="I395" s="9"/>
      <c r="J395" s="9"/>
      <c r="K395" s="9"/>
      <c r="L395" s="9"/>
      <c r="M395" s="9"/>
      <c r="N395" s="9"/>
      <c r="O395" s="9"/>
    </row>
    <row r="396">
      <c r="B396" s="9" t="str">
        <f t="shared" si="1"/>
        <v> Violation</v>
      </c>
      <c r="C396" s="9"/>
      <c r="D396" s="9"/>
      <c r="E396" s="9"/>
      <c r="F396" s="9"/>
      <c r="G396" s="9"/>
      <c r="H396" s="9"/>
      <c r="I396" s="9"/>
      <c r="J396" s="9"/>
      <c r="K396" s="9"/>
      <c r="L396" s="9"/>
      <c r="M396" s="9"/>
      <c r="N396" s="9"/>
      <c r="O396" s="9"/>
    </row>
    <row r="397">
      <c r="B397" s="9" t="str">
        <f t="shared" si="1"/>
        <v> Violation</v>
      </c>
      <c r="C397" s="9"/>
      <c r="D397" s="9"/>
      <c r="E397" s="9"/>
      <c r="F397" s="9"/>
      <c r="G397" s="9"/>
      <c r="H397" s="9"/>
      <c r="I397" s="9"/>
      <c r="J397" s="9"/>
      <c r="K397" s="9"/>
      <c r="L397" s="9"/>
      <c r="M397" s="9"/>
      <c r="N397" s="9"/>
      <c r="O397" s="9"/>
    </row>
    <row r="398">
      <c r="B398" s="9" t="str">
        <f t="shared" si="1"/>
        <v> Violation</v>
      </c>
      <c r="C398" s="9"/>
      <c r="D398" s="9"/>
      <c r="E398" s="9"/>
      <c r="F398" s="9"/>
      <c r="G398" s="9"/>
      <c r="H398" s="9"/>
      <c r="I398" s="9"/>
      <c r="J398" s="9"/>
      <c r="K398" s="9"/>
      <c r="L398" s="9"/>
      <c r="M398" s="9"/>
      <c r="N398" s="9"/>
      <c r="O398" s="9"/>
    </row>
    <row r="399">
      <c r="B399" s="9" t="str">
        <f t="shared" si="1"/>
        <v> Violation</v>
      </c>
      <c r="C399" s="9"/>
      <c r="D399" s="9"/>
      <c r="E399" s="9"/>
      <c r="F399" s="9"/>
      <c r="G399" s="9"/>
      <c r="H399" s="9"/>
      <c r="I399" s="9"/>
      <c r="J399" s="9"/>
      <c r="K399" s="9"/>
      <c r="L399" s="9"/>
      <c r="M399" s="9"/>
      <c r="N399" s="9"/>
      <c r="O399" s="9"/>
    </row>
    <row r="400">
      <c r="B400" s="9" t="str">
        <f t="shared" si="1"/>
        <v> Violation</v>
      </c>
      <c r="C400" s="9"/>
      <c r="D400" s="9"/>
      <c r="E400" s="9"/>
      <c r="F400" s="9"/>
      <c r="G400" s="9"/>
      <c r="H400" s="9"/>
      <c r="I400" s="9"/>
      <c r="J400" s="9"/>
      <c r="K400" s="9"/>
      <c r="L400" s="9"/>
      <c r="M400" s="9"/>
      <c r="N400" s="9"/>
      <c r="O400" s="9"/>
    </row>
    <row r="401">
      <c r="B401" s="9" t="str">
        <f t="shared" si="1"/>
        <v> Violation</v>
      </c>
      <c r="C401" s="9"/>
      <c r="D401" s="9"/>
      <c r="E401" s="9"/>
      <c r="F401" s="9"/>
      <c r="G401" s="9"/>
      <c r="H401" s="9"/>
      <c r="I401" s="9"/>
      <c r="J401" s="9"/>
      <c r="K401" s="9"/>
      <c r="L401" s="9"/>
      <c r="M401" s="9"/>
      <c r="N401" s="9"/>
      <c r="O401" s="9"/>
    </row>
    <row r="402">
      <c r="B402" s="9" t="str">
        <f t="shared" si="1"/>
        <v> Violation</v>
      </c>
      <c r="C402" s="9"/>
      <c r="D402" s="9"/>
      <c r="E402" s="9"/>
      <c r="F402" s="9"/>
      <c r="G402" s="9"/>
      <c r="H402" s="9"/>
      <c r="I402" s="9"/>
      <c r="J402" s="9"/>
      <c r="K402" s="9"/>
      <c r="L402" s="9"/>
      <c r="M402" s="9"/>
      <c r="N402" s="9"/>
      <c r="O402" s="9"/>
    </row>
    <row r="403">
      <c r="B403" s="9" t="str">
        <f t="shared" si="1"/>
        <v> Violation</v>
      </c>
      <c r="C403" s="9"/>
      <c r="D403" s="9"/>
      <c r="E403" s="9"/>
      <c r="F403" s="9"/>
      <c r="G403" s="9"/>
      <c r="H403" s="9"/>
      <c r="I403" s="9"/>
      <c r="J403" s="9"/>
      <c r="K403" s="9"/>
      <c r="L403" s="9"/>
      <c r="M403" s="9"/>
      <c r="N403" s="9"/>
      <c r="O403" s="9"/>
    </row>
    <row r="404">
      <c r="B404" s="9" t="str">
        <f t="shared" si="1"/>
        <v> Violation</v>
      </c>
      <c r="C404" s="9"/>
      <c r="D404" s="9"/>
      <c r="E404" s="9"/>
      <c r="F404" s="9"/>
      <c r="G404" s="9"/>
      <c r="H404" s="9"/>
      <c r="I404" s="9"/>
      <c r="J404" s="9"/>
      <c r="K404" s="9"/>
      <c r="L404" s="9"/>
      <c r="M404" s="9"/>
      <c r="N404" s="9"/>
      <c r="O404" s="9"/>
    </row>
    <row r="405">
      <c r="B405" s="9" t="str">
        <f t="shared" si="1"/>
        <v> Violation</v>
      </c>
      <c r="C405" s="9"/>
      <c r="D405" s="9"/>
      <c r="E405" s="9"/>
      <c r="F405" s="9"/>
      <c r="G405" s="9"/>
      <c r="H405" s="9"/>
      <c r="I405" s="9"/>
      <c r="J405" s="9"/>
      <c r="K405" s="9"/>
      <c r="L405" s="9"/>
      <c r="M405" s="9"/>
      <c r="N405" s="9"/>
      <c r="O405" s="9"/>
    </row>
    <row r="406">
      <c r="B406" s="9" t="str">
        <f t="shared" si="1"/>
        <v> Violation</v>
      </c>
      <c r="C406" s="9"/>
      <c r="D406" s="9"/>
      <c r="E406" s="9"/>
      <c r="F406" s="9"/>
      <c r="G406" s="9"/>
      <c r="H406" s="9"/>
      <c r="I406" s="9"/>
      <c r="J406" s="9"/>
      <c r="K406" s="9"/>
      <c r="L406" s="9"/>
      <c r="M406" s="9"/>
      <c r="N406" s="9"/>
      <c r="O406" s="9"/>
    </row>
    <row r="407">
      <c r="B407" s="9" t="str">
        <f t="shared" si="1"/>
        <v> Violation</v>
      </c>
      <c r="C407" s="9"/>
      <c r="D407" s="9"/>
      <c r="E407" s="9"/>
      <c r="F407" s="9"/>
      <c r="G407" s="9"/>
      <c r="H407" s="9"/>
      <c r="I407" s="9"/>
      <c r="J407" s="9"/>
      <c r="K407" s="9"/>
      <c r="L407" s="9"/>
      <c r="M407" s="9"/>
      <c r="N407" s="9"/>
      <c r="O407" s="9"/>
    </row>
    <row r="408">
      <c r="B408" s="9" t="str">
        <f t="shared" si="1"/>
        <v> Violation</v>
      </c>
      <c r="C408" s="9"/>
      <c r="D408" s="9"/>
      <c r="E408" s="9"/>
      <c r="F408" s="9"/>
      <c r="G408" s="9"/>
      <c r="H408" s="9"/>
      <c r="I408" s="9"/>
      <c r="J408" s="9"/>
      <c r="K408" s="9"/>
      <c r="L408" s="9"/>
      <c r="M408" s="9"/>
      <c r="N408" s="9"/>
      <c r="O408" s="9"/>
    </row>
    <row r="409">
      <c r="B409" s="9" t="str">
        <f t="shared" si="1"/>
        <v> Violation</v>
      </c>
      <c r="C409" s="9"/>
      <c r="D409" s="9"/>
      <c r="E409" s="9"/>
      <c r="F409" s="9"/>
      <c r="G409" s="9"/>
      <c r="H409" s="9"/>
      <c r="I409" s="9"/>
      <c r="J409" s="9"/>
      <c r="K409" s="9"/>
      <c r="L409" s="9"/>
      <c r="M409" s="9"/>
      <c r="N409" s="9"/>
      <c r="O409" s="9"/>
    </row>
    <row r="410">
      <c r="B410" s="9" t="str">
        <f t="shared" si="1"/>
        <v> Violation</v>
      </c>
      <c r="C410" s="9"/>
      <c r="D410" s="9"/>
      <c r="E410" s="9"/>
      <c r="F410" s="9"/>
      <c r="G410" s="9"/>
      <c r="H410" s="9"/>
      <c r="I410" s="9"/>
      <c r="J410" s="9"/>
      <c r="K410" s="9"/>
      <c r="L410" s="9"/>
      <c r="M410" s="9"/>
      <c r="N410" s="9"/>
      <c r="O410" s="9"/>
    </row>
    <row r="411">
      <c r="B411" s="9" t="str">
        <f t="shared" si="1"/>
        <v> Violation</v>
      </c>
      <c r="C411" s="9"/>
      <c r="D411" s="9"/>
      <c r="E411" s="9"/>
      <c r="F411" s="9"/>
      <c r="G411" s="9"/>
      <c r="H411" s="9"/>
      <c r="I411" s="9"/>
      <c r="J411" s="9"/>
      <c r="K411" s="9"/>
      <c r="L411" s="9"/>
      <c r="M411" s="9"/>
      <c r="N411" s="9"/>
      <c r="O411" s="9"/>
    </row>
    <row r="412">
      <c r="B412" s="9" t="str">
        <f t="shared" si="1"/>
        <v> Violation</v>
      </c>
      <c r="C412" s="9"/>
      <c r="D412" s="9"/>
      <c r="E412" s="9"/>
      <c r="F412" s="9"/>
      <c r="G412" s="9"/>
      <c r="H412" s="9"/>
      <c r="I412" s="9"/>
      <c r="J412" s="9"/>
      <c r="K412" s="9"/>
      <c r="L412" s="9"/>
      <c r="M412" s="9"/>
      <c r="N412" s="9"/>
      <c r="O412" s="9"/>
    </row>
    <row r="413">
      <c r="B413" s="9" t="str">
        <f t="shared" si="1"/>
        <v> Violation</v>
      </c>
      <c r="C413" s="9"/>
      <c r="D413" s="9"/>
      <c r="E413" s="9"/>
      <c r="F413" s="9"/>
      <c r="G413" s="9"/>
      <c r="H413" s="9"/>
      <c r="I413" s="9"/>
      <c r="J413" s="9"/>
      <c r="K413" s="9"/>
      <c r="L413" s="9"/>
      <c r="M413" s="9"/>
      <c r="N413" s="9"/>
      <c r="O413" s="9"/>
    </row>
    <row r="414">
      <c r="B414" s="9" t="str">
        <f t="shared" si="1"/>
        <v> Violation</v>
      </c>
      <c r="C414" s="9"/>
      <c r="D414" s="9"/>
      <c r="E414" s="9"/>
      <c r="F414" s="9"/>
      <c r="G414" s="9"/>
      <c r="H414" s="9"/>
      <c r="I414" s="9"/>
      <c r="J414" s="9"/>
      <c r="K414" s="9"/>
      <c r="L414" s="9"/>
      <c r="M414" s="9"/>
      <c r="N414" s="9"/>
      <c r="O414" s="9"/>
    </row>
    <row r="415">
      <c r="B415" s="9" t="str">
        <f t="shared" si="1"/>
        <v> Violation</v>
      </c>
      <c r="C415" s="9"/>
      <c r="D415" s="9"/>
      <c r="E415" s="9"/>
      <c r="F415" s="9"/>
      <c r="G415" s="9"/>
      <c r="H415" s="9"/>
      <c r="I415" s="9"/>
      <c r="J415" s="9"/>
      <c r="K415" s="9"/>
      <c r="L415" s="9"/>
      <c r="M415" s="9"/>
      <c r="N415" s="9"/>
      <c r="O415" s="9"/>
    </row>
    <row r="416">
      <c r="B416" s="9" t="str">
        <f t="shared" si="1"/>
        <v> Violation</v>
      </c>
      <c r="C416" s="9"/>
      <c r="D416" s="9"/>
      <c r="E416" s="9"/>
      <c r="F416" s="9"/>
      <c r="G416" s="9"/>
      <c r="H416" s="9"/>
      <c r="I416" s="9"/>
      <c r="J416" s="9"/>
      <c r="K416" s="9"/>
      <c r="L416" s="9"/>
      <c r="M416" s="9"/>
      <c r="N416" s="9"/>
      <c r="O416" s="9"/>
    </row>
    <row r="417">
      <c r="B417" s="9" t="str">
        <f t="shared" si="1"/>
        <v> Violation</v>
      </c>
      <c r="C417" s="9"/>
      <c r="D417" s="9"/>
      <c r="E417" s="9"/>
      <c r="F417" s="9"/>
      <c r="G417" s="9"/>
      <c r="H417" s="9"/>
      <c r="I417" s="9"/>
      <c r="J417" s="9"/>
      <c r="K417" s="9"/>
      <c r="L417" s="9"/>
      <c r="M417" s="9"/>
      <c r="N417" s="9"/>
      <c r="O417" s="9"/>
    </row>
    <row r="418">
      <c r="B418" s="9" t="str">
        <f t="shared" si="1"/>
        <v> Violation</v>
      </c>
      <c r="C418" s="9"/>
      <c r="D418" s="9"/>
      <c r="E418" s="9"/>
      <c r="F418" s="9"/>
      <c r="G418" s="9"/>
      <c r="H418" s="9"/>
      <c r="I418" s="9"/>
      <c r="J418" s="9"/>
      <c r="K418" s="9"/>
      <c r="L418" s="9"/>
      <c r="M418" s="9"/>
      <c r="N418" s="9"/>
      <c r="O418" s="9"/>
    </row>
    <row r="419">
      <c r="B419" s="9" t="str">
        <f t="shared" si="1"/>
        <v> Violation</v>
      </c>
      <c r="C419" s="9"/>
      <c r="D419" s="9"/>
      <c r="E419" s="9"/>
      <c r="F419" s="9"/>
      <c r="G419" s="9"/>
      <c r="H419" s="9"/>
      <c r="I419" s="9"/>
      <c r="J419" s="9"/>
      <c r="K419" s="9"/>
      <c r="L419" s="9"/>
      <c r="M419" s="9"/>
      <c r="N419" s="9"/>
      <c r="O419" s="9"/>
    </row>
    <row r="420">
      <c r="B420" s="9" t="str">
        <f t="shared" si="1"/>
        <v> Violation</v>
      </c>
      <c r="C420" s="9"/>
      <c r="D420" s="9"/>
      <c r="E420" s="9"/>
      <c r="F420" s="9"/>
      <c r="G420" s="9"/>
      <c r="H420" s="9"/>
      <c r="I420" s="9"/>
      <c r="J420" s="9"/>
      <c r="K420" s="9"/>
      <c r="L420" s="9"/>
      <c r="M420" s="9"/>
      <c r="N420" s="9"/>
      <c r="O420" s="9"/>
    </row>
    <row r="421">
      <c r="B421" s="9" t="str">
        <f t="shared" si="1"/>
        <v> Violation</v>
      </c>
      <c r="C421" s="9"/>
      <c r="D421" s="9"/>
      <c r="E421" s="9"/>
      <c r="F421" s="9"/>
      <c r="G421" s="9"/>
      <c r="H421" s="9"/>
      <c r="I421" s="9"/>
      <c r="J421" s="9"/>
      <c r="K421" s="9"/>
      <c r="L421" s="9"/>
      <c r="M421" s="9"/>
      <c r="N421" s="9"/>
      <c r="O421" s="9"/>
    </row>
    <row r="422">
      <c r="B422" s="9" t="str">
        <f t="shared" si="1"/>
        <v> Violation</v>
      </c>
      <c r="C422" s="9"/>
      <c r="D422" s="9"/>
      <c r="E422" s="9"/>
      <c r="F422" s="9"/>
      <c r="G422" s="9"/>
      <c r="H422" s="9"/>
      <c r="I422" s="9"/>
      <c r="J422" s="9"/>
      <c r="K422" s="9"/>
      <c r="L422" s="9"/>
      <c r="M422" s="9"/>
      <c r="N422" s="9"/>
      <c r="O422" s="9"/>
    </row>
    <row r="423">
      <c r="B423" s="9" t="str">
        <f t="shared" si="1"/>
        <v> Violation</v>
      </c>
      <c r="C423" s="9"/>
      <c r="D423" s="9"/>
      <c r="E423" s="9"/>
      <c r="F423" s="9"/>
      <c r="G423" s="9"/>
      <c r="H423" s="9"/>
      <c r="I423" s="9"/>
      <c r="J423" s="9"/>
      <c r="K423" s="9"/>
      <c r="L423" s="9"/>
      <c r="M423" s="9"/>
      <c r="N423" s="9"/>
      <c r="O423" s="9"/>
    </row>
    <row r="424">
      <c r="B424" s="9" t="str">
        <f t="shared" si="1"/>
        <v> Violation</v>
      </c>
      <c r="C424" s="9"/>
      <c r="D424" s="9"/>
      <c r="E424" s="9"/>
      <c r="F424" s="9"/>
      <c r="G424" s="9"/>
      <c r="H424" s="9"/>
      <c r="I424" s="9"/>
      <c r="J424" s="9"/>
      <c r="K424" s="9"/>
      <c r="L424" s="9"/>
      <c r="M424" s="9"/>
      <c r="N424" s="9"/>
      <c r="O424" s="9"/>
    </row>
    <row r="425">
      <c r="B425" s="9" t="str">
        <f t="shared" si="1"/>
        <v> Violation</v>
      </c>
      <c r="C425" s="9"/>
      <c r="D425" s="9"/>
      <c r="E425" s="9"/>
      <c r="F425" s="9"/>
      <c r="G425" s="9"/>
      <c r="H425" s="9"/>
      <c r="I425" s="9"/>
      <c r="J425" s="9"/>
      <c r="K425" s="9"/>
      <c r="L425" s="9"/>
      <c r="M425" s="9"/>
      <c r="N425" s="9"/>
      <c r="O425" s="9"/>
    </row>
    <row r="426">
      <c r="B426" s="9" t="str">
        <f t="shared" si="1"/>
        <v> Violation</v>
      </c>
      <c r="C426" s="9"/>
      <c r="D426" s="9"/>
      <c r="E426" s="9"/>
      <c r="F426" s="9"/>
      <c r="G426" s="9"/>
      <c r="H426" s="9"/>
      <c r="I426" s="9"/>
      <c r="J426" s="9"/>
      <c r="K426" s="9"/>
      <c r="L426" s="9"/>
      <c r="M426" s="9"/>
      <c r="N426" s="9"/>
      <c r="O426" s="9"/>
    </row>
    <row r="427">
      <c r="B427" s="9" t="str">
        <f t="shared" si="1"/>
        <v> Violation</v>
      </c>
      <c r="C427" s="9"/>
      <c r="D427" s="9"/>
      <c r="E427" s="9"/>
      <c r="F427" s="9"/>
      <c r="G427" s="9"/>
      <c r="H427" s="9"/>
      <c r="I427" s="9"/>
      <c r="J427" s="9"/>
      <c r="K427" s="9"/>
      <c r="L427" s="9"/>
      <c r="M427" s="9"/>
      <c r="N427" s="9"/>
      <c r="O427" s="9"/>
    </row>
    <row r="428">
      <c r="B428" s="9" t="str">
        <f t="shared" si="1"/>
        <v> Violation</v>
      </c>
      <c r="C428" s="9"/>
      <c r="D428" s="9"/>
      <c r="E428" s="9"/>
      <c r="F428" s="9"/>
      <c r="G428" s="9"/>
      <c r="H428" s="9"/>
      <c r="I428" s="9"/>
      <c r="J428" s="9"/>
      <c r="K428" s="9"/>
      <c r="L428" s="9"/>
      <c r="M428" s="9"/>
      <c r="N428" s="9"/>
      <c r="O428" s="9"/>
    </row>
    <row r="429">
      <c r="B429" s="9" t="str">
        <f t="shared" si="1"/>
        <v> Violation</v>
      </c>
      <c r="C429" s="9"/>
      <c r="D429" s="9"/>
      <c r="E429" s="9"/>
      <c r="F429" s="9"/>
      <c r="G429" s="9"/>
      <c r="H429" s="9"/>
      <c r="I429" s="9"/>
      <c r="J429" s="9"/>
      <c r="K429" s="9"/>
      <c r="L429" s="9"/>
      <c r="M429" s="9"/>
      <c r="N429" s="9"/>
      <c r="O429" s="9"/>
    </row>
    <row r="430">
      <c r="B430" s="9" t="str">
        <f t="shared" si="1"/>
        <v> Violation</v>
      </c>
      <c r="C430" s="9"/>
      <c r="D430" s="9"/>
      <c r="E430" s="9"/>
      <c r="F430" s="9"/>
      <c r="G430" s="9"/>
      <c r="H430" s="9"/>
      <c r="I430" s="9"/>
      <c r="J430" s="9"/>
      <c r="K430" s="9"/>
      <c r="L430" s="9"/>
      <c r="M430" s="9"/>
      <c r="N430" s="9"/>
      <c r="O430" s="9"/>
    </row>
    <row r="431">
      <c r="B431" s="9" t="str">
        <f t="shared" si="1"/>
        <v> Violation</v>
      </c>
      <c r="C431" s="9"/>
      <c r="D431" s="9"/>
      <c r="E431" s="9"/>
      <c r="F431" s="9"/>
      <c r="G431" s="9"/>
      <c r="H431" s="9"/>
      <c r="I431" s="9"/>
      <c r="J431" s="9"/>
      <c r="K431" s="9"/>
      <c r="L431" s="9"/>
      <c r="M431" s="9"/>
      <c r="N431" s="9"/>
      <c r="O431" s="9"/>
    </row>
    <row r="432">
      <c r="B432" s="9" t="str">
        <f t="shared" si="1"/>
        <v> Violation</v>
      </c>
      <c r="C432" s="9"/>
      <c r="D432" s="9"/>
      <c r="E432" s="9"/>
      <c r="F432" s="9"/>
      <c r="G432" s="9"/>
      <c r="H432" s="9"/>
      <c r="I432" s="9"/>
      <c r="J432" s="9"/>
      <c r="K432" s="9"/>
      <c r="L432" s="9"/>
      <c r="M432" s="9"/>
      <c r="N432" s="9"/>
      <c r="O432" s="9"/>
    </row>
    <row r="433">
      <c r="B433" s="9" t="str">
        <f t="shared" si="1"/>
        <v> Violation</v>
      </c>
      <c r="C433" s="9"/>
      <c r="D433" s="9"/>
      <c r="E433" s="9"/>
      <c r="F433" s="9"/>
      <c r="G433" s="9"/>
      <c r="H433" s="9"/>
      <c r="I433" s="9"/>
      <c r="J433" s="9"/>
      <c r="K433" s="9"/>
      <c r="L433" s="9"/>
      <c r="M433" s="9"/>
      <c r="N433" s="9"/>
      <c r="O433" s="9"/>
    </row>
    <row r="434">
      <c r="B434" s="9" t="str">
        <f t="shared" si="1"/>
        <v> Violation</v>
      </c>
      <c r="C434" s="9"/>
      <c r="D434" s="9"/>
      <c r="E434" s="9"/>
      <c r="F434" s="9"/>
      <c r="G434" s="9"/>
      <c r="H434" s="9"/>
      <c r="I434" s="9"/>
      <c r="J434" s="9"/>
      <c r="K434" s="9"/>
      <c r="L434" s="9"/>
      <c r="M434" s="9"/>
      <c r="N434" s="9"/>
      <c r="O434" s="9"/>
    </row>
    <row r="435">
      <c r="B435" s="9" t="str">
        <f t="shared" si="1"/>
        <v> Violation</v>
      </c>
      <c r="C435" s="9"/>
      <c r="D435" s="9"/>
      <c r="E435" s="9"/>
      <c r="F435" s="9"/>
      <c r="G435" s="9"/>
      <c r="H435" s="9"/>
      <c r="I435" s="9"/>
      <c r="J435" s="9"/>
      <c r="K435" s="9"/>
      <c r="L435" s="9"/>
      <c r="M435" s="9"/>
      <c r="N435" s="9"/>
      <c r="O435" s="9"/>
    </row>
    <row r="436">
      <c r="B436" s="9" t="str">
        <f t="shared" si="1"/>
        <v> Violation</v>
      </c>
      <c r="C436" s="9"/>
      <c r="D436" s="9"/>
      <c r="E436" s="9"/>
      <c r="F436" s="9"/>
      <c r="G436" s="9"/>
      <c r="H436" s="9"/>
      <c r="I436" s="9"/>
      <c r="J436" s="9"/>
      <c r="K436" s="9"/>
      <c r="L436" s="9"/>
      <c r="M436" s="9"/>
      <c r="N436" s="9"/>
      <c r="O436" s="9"/>
    </row>
    <row r="437">
      <c r="B437" s="9" t="str">
        <f t="shared" si="1"/>
        <v> Violation</v>
      </c>
      <c r="C437" s="9"/>
      <c r="D437" s="9"/>
      <c r="E437" s="9"/>
      <c r="F437" s="9"/>
      <c r="G437" s="9"/>
      <c r="H437" s="9"/>
      <c r="I437" s="9"/>
      <c r="J437" s="9"/>
      <c r="K437" s="9"/>
      <c r="L437" s="9"/>
      <c r="M437" s="9"/>
      <c r="N437" s="9"/>
      <c r="O437" s="9"/>
    </row>
    <row r="438">
      <c r="B438" s="9" t="str">
        <f t="shared" si="1"/>
        <v> Violation</v>
      </c>
      <c r="C438" s="9"/>
      <c r="D438" s="9"/>
      <c r="E438" s="9"/>
      <c r="F438" s="9"/>
      <c r="G438" s="9"/>
      <c r="H438" s="9"/>
      <c r="I438" s="9"/>
      <c r="J438" s="9"/>
      <c r="K438" s="9"/>
      <c r="L438" s="9"/>
      <c r="M438" s="9"/>
      <c r="N438" s="9"/>
      <c r="O438" s="9"/>
    </row>
    <row r="439">
      <c r="B439" s="9" t="str">
        <f t="shared" si="1"/>
        <v> Violation</v>
      </c>
      <c r="C439" s="9"/>
      <c r="D439" s="9"/>
      <c r="E439" s="9"/>
      <c r="F439" s="9"/>
      <c r="G439" s="9"/>
      <c r="H439" s="9"/>
      <c r="I439" s="9"/>
      <c r="J439" s="9"/>
      <c r="K439" s="9"/>
      <c r="L439" s="9"/>
      <c r="M439" s="9"/>
      <c r="N439" s="9"/>
      <c r="O439" s="9"/>
    </row>
    <row r="440">
      <c r="B440" s="9" t="str">
        <f t="shared" si="1"/>
        <v> Violation</v>
      </c>
      <c r="C440" s="9"/>
      <c r="D440" s="9"/>
      <c r="E440" s="9"/>
      <c r="F440" s="9"/>
      <c r="G440" s="9"/>
      <c r="H440" s="9"/>
      <c r="I440" s="9"/>
      <c r="J440" s="9"/>
      <c r="K440" s="9"/>
      <c r="L440" s="9"/>
      <c r="M440" s="9"/>
      <c r="N440" s="9"/>
      <c r="O440" s="9"/>
    </row>
    <row r="441">
      <c r="B441" s="9" t="str">
        <f t="shared" si="1"/>
        <v> Violation</v>
      </c>
      <c r="C441" s="9"/>
      <c r="D441" s="9"/>
      <c r="E441" s="9"/>
      <c r="F441" s="9"/>
      <c r="G441" s="9"/>
      <c r="H441" s="9"/>
      <c r="I441" s="9"/>
      <c r="J441" s="9"/>
      <c r="K441" s="9"/>
      <c r="L441" s="9"/>
      <c r="M441" s="9"/>
      <c r="N441" s="9"/>
      <c r="O441" s="9"/>
    </row>
    <row r="442">
      <c r="B442" s="9" t="str">
        <f t="shared" si="1"/>
        <v> Violation</v>
      </c>
      <c r="C442" s="9"/>
      <c r="D442" s="9"/>
      <c r="E442" s="9"/>
      <c r="F442" s="9"/>
      <c r="G442" s="9"/>
      <c r="H442" s="9"/>
      <c r="I442" s="9"/>
      <c r="J442" s="9"/>
      <c r="K442" s="9"/>
      <c r="L442" s="9"/>
      <c r="M442" s="9"/>
      <c r="N442" s="9"/>
      <c r="O442" s="9"/>
    </row>
    <row r="443">
      <c r="B443" s="9" t="str">
        <f t="shared" si="1"/>
        <v> Violation</v>
      </c>
      <c r="C443" s="9"/>
      <c r="D443" s="9"/>
      <c r="E443" s="9"/>
      <c r="F443" s="9"/>
      <c r="G443" s="9"/>
      <c r="H443" s="9"/>
      <c r="I443" s="9"/>
      <c r="J443" s="9"/>
      <c r="K443" s="9"/>
      <c r="L443" s="9"/>
      <c r="M443" s="9"/>
      <c r="N443" s="9"/>
      <c r="O443" s="9"/>
    </row>
    <row r="444">
      <c r="B444" s="9" t="str">
        <f t="shared" si="1"/>
        <v> Violation</v>
      </c>
      <c r="C444" s="9"/>
      <c r="D444" s="9"/>
      <c r="E444" s="9"/>
      <c r="F444" s="9"/>
      <c r="G444" s="9"/>
      <c r="H444" s="9"/>
      <c r="I444" s="9"/>
      <c r="J444" s="9"/>
      <c r="K444" s="9"/>
      <c r="L444" s="9"/>
      <c r="M444" s="9"/>
      <c r="N444" s="9"/>
      <c r="O444" s="9"/>
    </row>
    <row r="445">
      <c r="B445" s="9" t="str">
        <f t="shared" si="1"/>
        <v> Violation</v>
      </c>
      <c r="C445" s="9"/>
      <c r="D445" s="9"/>
      <c r="E445" s="9"/>
      <c r="F445" s="9"/>
      <c r="G445" s="9"/>
      <c r="H445" s="9"/>
      <c r="I445" s="9"/>
      <c r="J445" s="9"/>
      <c r="K445" s="9"/>
      <c r="L445" s="9"/>
      <c r="M445" s="9"/>
      <c r="N445" s="9"/>
      <c r="O445" s="9"/>
    </row>
    <row r="446">
      <c r="B446" s="9" t="str">
        <f t="shared" si="1"/>
        <v> Violation</v>
      </c>
      <c r="C446" s="9"/>
      <c r="D446" s="9"/>
      <c r="E446" s="9"/>
      <c r="F446" s="9"/>
      <c r="G446" s="9"/>
      <c r="H446" s="9"/>
      <c r="I446" s="9"/>
      <c r="J446" s="9"/>
      <c r="K446" s="9"/>
      <c r="L446" s="9"/>
      <c r="M446" s="9"/>
      <c r="N446" s="9"/>
      <c r="O446" s="9"/>
    </row>
    <row r="447">
      <c r="B447" s="9" t="str">
        <f t="shared" si="1"/>
        <v> Violation</v>
      </c>
      <c r="C447" s="9"/>
      <c r="D447" s="9"/>
      <c r="E447" s="9"/>
      <c r="F447" s="9"/>
      <c r="G447" s="9"/>
      <c r="H447" s="9"/>
      <c r="I447" s="9"/>
      <c r="J447" s="9"/>
      <c r="K447" s="9"/>
      <c r="L447" s="9"/>
      <c r="M447" s="9"/>
      <c r="N447" s="9"/>
      <c r="O447" s="9"/>
    </row>
    <row r="448">
      <c r="B448" s="9" t="str">
        <f t="shared" si="1"/>
        <v> Violation</v>
      </c>
      <c r="C448" s="9"/>
      <c r="D448" s="9"/>
      <c r="E448" s="9"/>
      <c r="F448" s="9"/>
      <c r="G448" s="9"/>
      <c r="H448" s="9"/>
      <c r="I448" s="9"/>
      <c r="J448" s="9"/>
      <c r="K448" s="9"/>
      <c r="L448" s="9"/>
      <c r="M448" s="9"/>
      <c r="N448" s="9"/>
      <c r="O448" s="9"/>
    </row>
    <row r="449">
      <c r="B449" s="9" t="str">
        <f t="shared" si="1"/>
        <v> Violation</v>
      </c>
      <c r="C449" s="9"/>
      <c r="D449" s="9"/>
      <c r="E449" s="9"/>
      <c r="F449" s="9"/>
      <c r="G449" s="9"/>
      <c r="H449" s="9"/>
      <c r="I449" s="9"/>
      <c r="J449" s="9"/>
      <c r="K449" s="9"/>
      <c r="L449" s="9"/>
      <c r="M449" s="9"/>
      <c r="N449" s="9"/>
      <c r="O449" s="9"/>
    </row>
    <row r="450">
      <c r="B450" s="9" t="str">
        <f t="shared" si="1"/>
        <v> Violation</v>
      </c>
      <c r="C450" s="9"/>
      <c r="D450" s="9"/>
      <c r="E450" s="9"/>
      <c r="F450" s="9"/>
      <c r="G450" s="9"/>
      <c r="H450" s="9"/>
      <c r="I450" s="9"/>
      <c r="J450" s="9"/>
      <c r="K450" s="9"/>
      <c r="L450" s="9"/>
      <c r="M450" s="9"/>
      <c r="N450" s="9"/>
      <c r="O450" s="9"/>
    </row>
    <row r="451">
      <c r="B451" s="9" t="str">
        <f t="shared" si="1"/>
        <v> Violation</v>
      </c>
      <c r="C451" s="9"/>
      <c r="D451" s="9"/>
      <c r="E451" s="9"/>
      <c r="F451" s="9"/>
      <c r="G451" s="9"/>
      <c r="H451" s="9"/>
      <c r="I451" s="9"/>
      <c r="J451" s="9"/>
      <c r="K451" s="9"/>
      <c r="L451" s="9"/>
      <c r="M451" s="9"/>
      <c r="N451" s="9"/>
      <c r="O451" s="9"/>
    </row>
    <row r="452">
      <c r="B452" s="9" t="str">
        <f t="shared" si="1"/>
        <v> Violation</v>
      </c>
      <c r="C452" s="9"/>
      <c r="D452" s="9"/>
      <c r="E452" s="9"/>
      <c r="F452" s="9"/>
      <c r="G452" s="9"/>
      <c r="H452" s="9"/>
      <c r="I452" s="9"/>
      <c r="J452" s="9"/>
      <c r="K452" s="9"/>
      <c r="L452" s="9"/>
      <c r="M452" s="9"/>
      <c r="N452" s="9"/>
      <c r="O452" s="9"/>
    </row>
    <row r="453">
      <c r="B453" s="9" t="str">
        <f t="shared" si="1"/>
        <v> Violation</v>
      </c>
      <c r="C453" s="9"/>
      <c r="D453" s="9"/>
      <c r="E453" s="9"/>
      <c r="F453" s="9"/>
      <c r="G453" s="9"/>
      <c r="H453" s="9"/>
      <c r="I453" s="9"/>
      <c r="J453" s="9"/>
      <c r="K453" s="9"/>
      <c r="L453" s="9"/>
      <c r="M453" s="9"/>
      <c r="N453" s="9"/>
      <c r="O453" s="9"/>
    </row>
    <row r="454">
      <c r="B454" s="9" t="str">
        <f t="shared" si="1"/>
        <v> Violation</v>
      </c>
      <c r="C454" s="9"/>
      <c r="D454" s="9"/>
      <c r="E454" s="9"/>
      <c r="F454" s="9"/>
      <c r="G454" s="9"/>
      <c r="H454" s="9"/>
      <c r="I454" s="9"/>
      <c r="J454" s="9"/>
      <c r="K454" s="9"/>
      <c r="L454" s="9"/>
      <c r="M454" s="9"/>
      <c r="N454" s="9"/>
      <c r="O454" s="9"/>
    </row>
    <row r="455">
      <c r="B455" s="9" t="str">
        <f t="shared" si="1"/>
        <v> Violation</v>
      </c>
      <c r="C455" s="9"/>
      <c r="D455" s="9"/>
      <c r="E455" s="9"/>
      <c r="F455" s="9"/>
      <c r="G455" s="9"/>
      <c r="H455" s="9"/>
      <c r="I455" s="9"/>
      <c r="J455" s="9"/>
      <c r="K455" s="9"/>
      <c r="L455" s="9"/>
      <c r="M455" s="9"/>
      <c r="N455" s="9"/>
      <c r="O455" s="9"/>
    </row>
    <row r="456">
      <c r="B456" s="9" t="str">
        <f t="shared" si="1"/>
        <v> Violation</v>
      </c>
      <c r="C456" s="9"/>
      <c r="D456" s="9"/>
      <c r="E456" s="9"/>
      <c r="F456" s="9"/>
      <c r="G456" s="9"/>
      <c r="H456" s="9"/>
      <c r="I456" s="9"/>
      <c r="J456" s="9"/>
      <c r="K456" s="9"/>
      <c r="L456" s="9"/>
      <c r="M456" s="9"/>
      <c r="N456" s="9"/>
      <c r="O456" s="9"/>
    </row>
    <row r="457">
      <c r="B457" s="9" t="str">
        <f t="shared" si="1"/>
        <v> Violation</v>
      </c>
      <c r="C457" s="9"/>
      <c r="D457" s="9"/>
      <c r="E457" s="9"/>
      <c r="F457" s="9"/>
      <c r="G457" s="9"/>
      <c r="H457" s="9"/>
      <c r="I457" s="9"/>
      <c r="J457" s="9"/>
      <c r="K457" s="9"/>
      <c r="L457" s="9"/>
      <c r="M457" s="9"/>
      <c r="N457" s="9"/>
      <c r="O457" s="9"/>
    </row>
    <row r="458">
      <c r="B458" s="9" t="str">
        <f t="shared" si="1"/>
        <v> Violation</v>
      </c>
      <c r="C458" s="9"/>
      <c r="D458" s="9"/>
      <c r="E458" s="9"/>
      <c r="F458" s="9"/>
      <c r="G458" s="9"/>
      <c r="H458" s="9"/>
      <c r="I458" s="9"/>
      <c r="J458" s="9"/>
      <c r="K458" s="9"/>
      <c r="L458" s="9"/>
      <c r="M458" s="9"/>
      <c r="N458" s="9"/>
      <c r="O458" s="9"/>
    </row>
    <row r="459">
      <c r="B459" s="9" t="str">
        <f t="shared" si="1"/>
        <v> Violation</v>
      </c>
      <c r="C459" s="9"/>
      <c r="D459" s="9"/>
      <c r="E459" s="9"/>
      <c r="F459" s="9"/>
      <c r="G459" s="9"/>
      <c r="H459" s="9"/>
      <c r="I459" s="9"/>
      <c r="J459" s="9"/>
      <c r="K459" s="9"/>
      <c r="L459" s="9"/>
      <c r="M459" s="9"/>
      <c r="N459" s="9"/>
      <c r="O459" s="9"/>
    </row>
    <row r="460">
      <c r="B460" s="9" t="str">
        <f t="shared" si="1"/>
        <v> Violation</v>
      </c>
      <c r="C460" s="9"/>
      <c r="D460" s="9"/>
      <c r="E460" s="9"/>
      <c r="F460" s="9"/>
      <c r="G460" s="9"/>
      <c r="H460" s="9"/>
      <c r="I460" s="9"/>
      <c r="J460" s="9"/>
      <c r="K460" s="9"/>
      <c r="L460" s="9"/>
      <c r="M460" s="9"/>
      <c r="N460" s="9"/>
      <c r="O460" s="9"/>
    </row>
    <row r="461">
      <c r="B461" s="9" t="str">
        <f t="shared" si="1"/>
        <v> Violation</v>
      </c>
      <c r="C461" s="9"/>
      <c r="D461" s="9"/>
      <c r="E461" s="9"/>
      <c r="F461" s="9"/>
      <c r="G461" s="9"/>
      <c r="H461" s="9"/>
      <c r="I461" s="9"/>
      <c r="J461" s="9"/>
      <c r="K461" s="9"/>
      <c r="L461" s="9"/>
      <c r="M461" s="9"/>
      <c r="N461" s="9"/>
      <c r="O461" s="9"/>
    </row>
    <row r="462">
      <c r="B462" s="9" t="str">
        <f t="shared" si="1"/>
        <v> Violation</v>
      </c>
      <c r="C462" s="9"/>
      <c r="D462" s="9"/>
      <c r="E462" s="9"/>
      <c r="F462" s="9"/>
      <c r="G462" s="9"/>
      <c r="H462" s="9"/>
      <c r="I462" s="9"/>
      <c r="J462" s="9"/>
      <c r="K462" s="9"/>
      <c r="L462" s="9"/>
      <c r="M462" s="9"/>
      <c r="N462" s="9"/>
      <c r="O462" s="9"/>
    </row>
    <row r="463">
      <c r="B463" s="9" t="str">
        <f t="shared" si="1"/>
        <v> Violation</v>
      </c>
      <c r="C463" s="9"/>
      <c r="D463" s="9"/>
      <c r="E463" s="9"/>
      <c r="F463" s="9"/>
      <c r="G463" s="9"/>
      <c r="H463" s="9"/>
      <c r="I463" s="9"/>
      <c r="J463" s="9"/>
      <c r="K463" s="9"/>
      <c r="L463" s="9"/>
      <c r="M463" s="9"/>
      <c r="N463" s="9"/>
      <c r="O463" s="9"/>
    </row>
    <row r="464">
      <c r="B464" s="9" t="str">
        <f t="shared" si="1"/>
        <v> Violation</v>
      </c>
      <c r="C464" s="9"/>
      <c r="D464" s="9"/>
      <c r="E464" s="9"/>
      <c r="F464" s="9"/>
      <c r="G464" s="9"/>
      <c r="H464" s="9"/>
      <c r="I464" s="9"/>
      <c r="J464" s="9"/>
      <c r="K464" s="9"/>
      <c r="L464" s="9"/>
      <c r="M464" s="9"/>
      <c r="N464" s="9"/>
      <c r="O464" s="9"/>
    </row>
    <row r="465">
      <c r="B465" s="9" t="str">
        <f t="shared" si="1"/>
        <v> Violation</v>
      </c>
      <c r="C465" s="9"/>
      <c r="D465" s="9"/>
      <c r="E465" s="9"/>
      <c r="F465" s="9"/>
      <c r="G465" s="9"/>
      <c r="H465" s="9"/>
      <c r="I465" s="9"/>
      <c r="J465" s="9"/>
      <c r="K465" s="9"/>
      <c r="L465" s="9"/>
      <c r="M465" s="9"/>
      <c r="N465" s="9"/>
      <c r="O465" s="9"/>
    </row>
    <row r="466">
      <c r="B466" s="9" t="str">
        <f t="shared" si="1"/>
        <v> Violation</v>
      </c>
      <c r="C466" s="9"/>
      <c r="D466" s="9"/>
      <c r="E466" s="9"/>
      <c r="F466" s="9"/>
      <c r="G466" s="9"/>
      <c r="H466" s="9"/>
      <c r="I466" s="9"/>
      <c r="J466" s="9"/>
      <c r="K466" s="9"/>
      <c r="L466" s="9"/>
      <c r="M466" s="9"/>
      <c r="N466" s="9"/>
      <c r="O466" s="9"/>
    </row>
    <row r="467">
      <c r="B467" s="9" t="str">
        <f t="shared" si="1"/>
        <v> Violation</v>
      </c>
      <c r="C467" s="9"/>
      <c r="D467" s="9"/>
      <c r="E467" s="9"/>
      <c r="F467" s="9"/>
      <c r="G467" s="9"/>
      <c r="H467" s="9"/>
      <c r="I467" s="9"/>
      <c r="J467" s="9"/>
      <c r="K467" s="9"/>
      <c r="L467" s="9"/>
      <c r="M467" s="9"/>
      <c r="N467" s="9"/>
      <c r="O467" s="9"/>
    </row>
    <row r="468">
      <c r="B468" s="9" t="str">
        <f t="shared" si="1"/>
        <v> Violation</v>
      </c>
      <c r="C468" s="9"/>
      <c r="D468" s="9"/>
      <c r="E468" s="9"/>
      <c r="F468" s="9"/>
      <c r="G468" s="9"/>
      <c r="H468" s="9"/>
      <c r="I468" s="9"/>
      <c r="J468" s="9"/>
      <c r="K468" s="9"/>
      <c r="L468" s="9"/>
      <c r="M468" s="9"/>
      <c r="N468" s="9"/>
      <c r="O468" s="9"/>
    </row>
    <row r="469">
      <c r="B469" s="9" t="str">
        <f t="shared" si="1"/>
        <v> Violation</v>
      </c>
      <c r="C469" s="9"/>
      <c r="D469" s="9"/>
      <c r="E469" s="9"/>
      <c r="F469" s="9"/>
      <c r="G469" s="9"/>
      <c r="H469" s="9"/>
      <c r="I469" s="9"/>
      <c r="J469" s="9"/>
      <c r="K469" s="9"/>
      <c r="L469" s="9"/>
      <c r="M469" s="9"/>
      <c r="N469" s="9"/>
      <c r="O469" s="9"/>
    </row>
    <row r="470">
      <c r="B470" s="9" t="str">
        <f t="shared" si="1"/>
        <v> Violation</v>
      </c>
      <c r="C470" s="9"/>
      <c r="D470" s="9"/>
      <c r="E470" s="9"/>
      <c r="F470" s="9"/>
      <c r="G470" s="9"/>
      <c r="H470" s="9"/>
      <c r="I470" s="9"/>
      <c r="J470" s="9"/>
      <c r="K470" s="9"/>
      <c r="L470" s="9"/>
      <c r="M470" s="9"/>
      <c r="N470" s="9"/>
      <c r="O470" s="9"/>
    </row>
    <row r="471">
      <c r="B471" s="9" t="str">
        <f t="shared" si="1"/>
        <v> Violation</v>
      </c>
      <c r="C471" s="9"/>
      <c r="D471" s="9"/>
      <c r="E471" s="9"/>
      <c r="F471" s="9"/>
      <c r="G471" s="9"/>
      <c r="H471" s="9"/>
      <c r="I471" s="9"/>
      <c r="J471" s="9"/>
      <c r="K471" s="9"/>
      <c r="L471" s="9"/>
      <c r="M471" s="9"/>
      <c r="N471" s="9"/>
      <c r="O471" s="9"/>
    </row>
    <row r="472">
      <c r="B472" s="9" t="str">
        <f t="shared" si="1"/>
        <v> Violation</v>
      </c>
      <c r="C472" s="9"/>
      <c r="D472" s="9"/>
      <c r="E472" s="9"/>
      <c r="F472" s="9"/>
      <c r="G472" s="9"/>
      <c r="H472" s="9"/>
      <c r="I472" s="9"/>
      <c r="J472" s="9"/>
      <c r="K472" s="9"/>
      <c r="L472" s="9"/>
      <c r="M472" s="9"/>
      <c r="N472" s="9"/>
      <c r="O472" s="9"/>
    </row>
    <row r="473">
      <c r="B473" s="9" t="str">
        <f t="shared" si="1"/>
        <v> Violation</v>
      </c>
      <c r="C473" s="9"/>
      <c r="D473" s="9"/>
      <c r="E473" s="9"/>
      <c r="F473" s="9"/>
      <c r="G473" s="9"/>
      <c r="H473" s="9"/>
      <c r="I473" s="9"/>
      <c r="J473" s="9"/>
      <c r="K473" s="9"/>
      <c r="L473" s="9"/>
      <c r="M473" s="9"/>
      <c r="N473" s="9"/>
      <c r="O473" s="9"/>
    </row>
    <row r="474">
      <c r="B474" s="9" t="str">
        <f t="shared" si="1"/>
        <v> Violation</v>
      </c>
      <c r="C474" s="9"/>
      <c r="D474" s="9"/>
      <c r="E474" s="9"/>
      <c r="F474" s="9"/>
      <c r="G474" s="9"/>
      <c r="H474" s="9"/>
      <c r="I474" s="9"/>
      <c r="J474" s="9"/>
      <c r="K474" s="9"/>
      <c r="L474" s="9"/>
      <c r="M474" s="9"/>
      <c r="N474" s="9"/>
      <c r="O474" s="9"/>
    </row>
    <row r="475">
      <c r="B475" s="9" t="str">
        <f t="shared" si="1"/>
        <v> Violation</v>
      </c>
      <c r="C475" s="9"/>
      <c r="D475" s="9"/>
      <c r="E475" s="9"/>
      <c r="F475" s="9"/>
      <c r="G475" s="9"/>
      <c r="H475" s="9"/>
      <c r="I475" s="9"/>
      <c r="J475" s="9"/>
      <c r="K475" s="9"/>
      <c r="L475" s="9"/>
      <c r="M475" s="9"/>
      <c r="N475" s="9"/>
      <c r="O475" s="9"/>
    </row>
    <row r="476">
      <c r="B476" s="9" t="str">
        <f t="shared" si="1"/>
        <v> Violation</v>
      </c>
      <c r="C476" s="9"/>
      <c r="D476" s="9"/>
      <c r="E476" s="9"/>
      <c r="F476" s="9"/>
      <c r="G476" s="9"/>
      <c r="H476" s="9"/>
      <c r="I476" s="9"/>
      <c r="J476" s="9"/>
      <c r="K476" s="9"/>
      <c r="L476" s="9"/>
      <c r="M476" s="9"/>
      <c r="N476" s="9"/>
      <c r="O476" s="9"/>
    </row>
    <row r="477">
      <c r="B477" s="9" t="str">
        <f t="shared" si="1"/>
        <v> Violation</v>
      </c>
      <c r="C477" s="9"/>
      <c r="D477" s="9"/>
      <c r="E477" s="9"/>
      <c r="F477" s="9"/>
      <c r="G477" s="9"/>
      <c r="H477" s="9"/>
      <c r="I477" s="9"/>
      <c r="J477" s="9"/>
      <c r="K477" s="9"/>
      <c r="L477" s="9"/>
      <c r="M477" s="9"/>
      <c r="N477" s="9"/>
      <c r="O477" s="9"/>
    </row>
    <row r="478">
      <c r="B478" s="9" t="str">
        <f t="shared" si="1"/>
        <v> Violation</v>
      </c>
      <c r="C478" s="9"/>
      <c r="D478" s="9"/>
      <c r="E478" s="9"/>
      <c r="F478" s="9"/>
      <c r="G478" s="9"/>
      <c r="H478" s="9"/>
      <c r="I478" s="9"/>
      <c r="J478" s="9"/>
      <c r="K478" s="9"/>
      <c r="L478" s="9"/>
      <c r="M478" s="9"/>
      <c r="N478" s="9"/>
      <c r="O478" s="9"/>
    </row>
    <row r="479">
      <c r="B479" s="9" t="str">
        <f t="shared" si="1"/>
        <v> Violation</v>
      </c>
      <c r="C479" s="9"/>
      <c r="D479" s="9"/>
      <c r="E479" s="9"/>
      <c r="F479" s="9"/>
      <c r="G479" s="9"/>
      <c r="H479" s="9"/>
      <c r="I479" s="9"/>
      <c r="J479" s="9"/>
      <c r="K479" s="9"/>
      <c r="L479" s="9"/>
      <c r="M479" s="9"/>
      <c r="N479" s="9"/>
      <c r="O479" s="9"/>
    </row>
    <row r="480">
      <c r="B480" s="9" t="str">
        <f t="shared" si="1"/>
        <v> Violation</v>
      </c>
      <c r="C480" s="9"/>
      <c r="D480" s="9"/>
      <c r="E480" s="9"/>
      <c r="F480" s="9"/>
      <c r="G480" s="9"/>
      <c r="H480" s="9"/>
      <c r="I480" s="9"/>
      <c r="J480" s="9"/>
      <c r="K480" s="9"/>
      <c r="L480" s="9"/>
      <c r="M480" s="9"/>
      <c r="N480" s="9"/>
      <c r="O480" s="9"/>
    </row>
    <row r="481">
      <c r="B481" s="9" t="str">
        <f t="shared" si="1"/>
        <v> Violation</v>
      </c>
      <c r="C481" s="9"/>
      <c r="D481" s="9"/>
      <c r="E481" s="9"/>
      <c r="F481" s="9"/>
      <c r="G481" s="9"/>
      <c r="H481" s="9"/>
      <c r="I481" s="9"/>
      <c r="J481" s="9"/>
      <c r="K481" s="9"/>
      <c r="L481" s="9"/>
      <c r="M481" s="9"/>
      <c r="N481" s="9"/>
      <c r="O481" s="9"/>
    </row>
    <row r="482">
      <c r="B482" s="9" t="str">
        <f t="shared" si="1"/>
        <v> Violation</v>
      </c>
      <c r="C482" s="9"/>
      <c r="D482" s="9"/>
      <c r="E482" s="9"/>
      <c r="F482" s="9"/>
      <c r="G482" s="9"/>
      <c r="H482" s="9"/>
      <c r="I482" s="9"/>
      <c r="J482" s="9"/>
      <c r="K482" s="9"/>
      <c r="L482" s="9"/>
      <c r="M482" s="9"/>
      <c r="N482" s="9"/>
      <c r="O482" s="9"/>
    </row>
    <row r="483">
      <c r="B483" s="9" t="str">
        <f t="shared" si="1"/>
        <v> Violation</v>
      </c>
      <c r="C483" s="9"/>
      <c r="D483" s="9"/>
      <c r="E483" s="9"/>
      <c r="F483" s="9"/>
      <c r="G483" s="9"/>
      <c r="H483" s="9"/>
      <c r="I483" s="9"/>
      <c r="J483" s="9"/>
      <c r="K483" s="9"/>
      <c r="L483" s="9"/>
      <c r="M483" s="9"/>
      <c r="N483" s="9"/>
      <c r="O483" s="9"/>
    </row>
    <row r="484">
      <c r="B484" s="9" t="str">
        <f t="shared" si="1"/>
        <v> Violation</v>
      </c>
      <c r="C484" s="9"/>
      <c r="D484" s="9"/>
      <c r="E484" s="9"/>
      <c r="F484" s="9"/>
      <c r="G484" s="9"/>
      <c r="H484" s="9"/>
      <c r="I484" s="9"/>
      <c r="J484" s="9"/>
      <c r="K484" s="9"/>
      <c r="L484" s="9"/>
      <c r="M484" s="9"/>
      <c r="N484" s="9"/>
      <c r="O484" s="9"/>
    </row>
    <row r="485">
      <c r="B485" s="9" t="str">
        <f t="shared" si="1"/>
        <v> Violation</v>
      </c>
      <c r="C485" s="9"/>
      <c r="D485" s="9"/>
      <c r="E485" s="9"/>
      <c r="F485" s="9"/>
      <c r="G485" s="9"/>
      <c r="H485" s="9"/>
      <c r="I485" s="9"/>
      <c r="J485" s="9"/>
      <c r="K485" s="9"/>
      <c r="L485" s="9"/>
      <c r="M485" s="9"/>
      <c r="N485" s="9"/>
      <c r="O485" s="9"/>
    </row>
    <row r="486">
      <c r="B486" s="9" t="str">
        <f t="shared" si="1"/>
        <v> Violation</v>
      </c>
      <c r="C486" s="9"/>
      <c r="D486" s="9"/>
      <c r="E486" s="9"/>
      <c r="F486" s="9"/>
      <c r="G486" s="9"/>
      <c r="H486" s="9"/>
      <c r="I486" s="9"/>
      <c r="J486" s="9"/>
      <c r="K486" s="9"/>
      <c r="L486" s="9"/>
      <c r="M486" s="9"/>
      <c r="N486" s="9"/>
      <c r="O486" s="9"/>
    </row>
    <row r="487">
      <c r="B487" s="9" t="str">
        <f t="shared" si="1"/>
        <v> Violation</v>
      </c>
      <c r="C487" s="9"/>
      <c r="D487" s="9"/>
      <c r="E487" s="9"/>
      <c r="F487" s="9"/>
      <c r="G487" s="9"/>
      <c r="H487" s="9"/>
      <c r="I487" s="9"/>
      <c r="J487" s="9"/>
      <c r="K487" s="9"/>
      <c r="L487" s="9"/>
      <c r="M487" s="9"/>
      <c r="N487" s="9"/>
      <c r="O487" s="9"/>
    </row>
    <row r="488">
      <c r="B488" s="9" t="str">
        <f t="shared" si="1"/>
        <v> Violation</v>
      </c>
      <c r="C488" s="9"/>
      <c r="D488" s="9"/>
      <c r="E488" s="9"/>
      <c r="F488" s="9"/>
      <c r="G488" s="9"/>
      <c r="H488" s="9"/>
      <c r="I488" s="9"/>
      <c r="J488" s="9"/>
      <c r="K488" s="9"/>
      <c r="L488" s="9"/>
      <c r="M488" s="9"/>
      <c r="N488" s="9"/>
      <c r="O488" s="9"/>
    </row>
    <row r="489">
      <c r="B489" s="9" t="str">
        <f t="shared" si="1"/>
        <v> Violation</v>
      </c>
      <c r="C489" s="9"/>
      <c r="D489" s="9"/>
      <c r="E489" s="9"/>
      <c r="F489" s="9"/>
      <c r="G489" s="9"/>
      <c r="H489" s="9"/>
      <c r="I489" s="9"/>
      <c r="J489" s="9"/>
      <c r="K489" s="9"/>
      <c r="L489" s="9"/>
      <c r="M489" s="9"/>
      <c r="N489" s="9"/>
      <c r="O489" s="9"/>
    </row>
    <row r="490">
      <c r="B490" s="9" t="str">
        <f t="shared" si="1"/>
        <v> Violation</v>
      </c>
      <c r="C490" s="9"/>
      <c r="D490" s="9"/>
      <c r="E490" s="9"/>
      <c r="F490" s="9"/>
      <c r="G490" s="9"/>
      <c r="H490" s="9"/>
      <c r="I490" s="9"/>
      <c r="J490" s="9"/>
      <c r="K490" s="9"/>
      <c r="L490" s="9"/>
      <c r="M490" s="9"/>
      <c r="N490" s="9"/>
      <c r="O490" s="9"/>
    </row>
    <row r="491">
      <c r="B491" s="9" t="str">
        <f t="shared" si="1"/>
        <v> Violation</v>
      </c>
      <c r="C491" s="9"/>
      <c r="D491" s="9"/>
      <c r="E491" s="9"/>
      <c r="F491" s="9"/>
      <c r="G491" s="9"/>
      <c r="H491" s="9"/>
      <c r="I491" s="9"/>
      <c r="J491" s="9"/>
      <c r="K491" s="9"/>
      <c r="L491" s="9"/>
      <c r="M491" s="9"/>
      <c r="N491" s="9"/>
      <c r="O491" s="9"/>
    </row>
    <row r="492">
      <c r="B492" s="9" t="str">
        <f t="shared" si="1"/>
        <v> Violation</v>
      </c>
      <c r="C492" s="9"/>
      <c r="D492" s="9"/>
      <c r="E492" s="9"/>
      <c r="F492" s="9"/>
      <c r="G492" s="9"/>
      <c r="H492" s="9"/>
      <c r="I492" s="9"/>
      <c r="J492" s="9"/>
      <c r="K492" s="9"/>
      <c r="L492" s="9"/>
      <c r="M492" s="9"/>
      <c r="N492" s="9"/>
      <c r="O492" s="9"/>
    </row>
    <row r="493">
      <c r="B493" s="9" t="str">
        <f t="shared" si="1"/>
        <v> Violation</v>
      </c>
      <c r="C493" s="9"/>
      <c r="D493" s="9"/>
      <c r="E493" s="9"/>
      <c r="F493" s="9"/>
      <c r="G493" s="9"/>
      <c r="H493" s="9"/>
      <c r="I493" s="9"/>
      <c r="J493" s="9"/>
      <c r="K493" s="9"/>
      <c r="L493" s="9"/>
      <c r="M493" s="9"/>
      <c r="N493" s="9"/>
      <c r="O493" s="9"/>
    </row>
    <row r="494">
      <c r="B494" s="9" t="str">
        <f t="shared" si="1"/>
        <v> Violation</v>
      </c>
      <c r="C494" s="9"/>
      <c r="D494" s="9"/>
      <c r="E494" s="9"/>
      <c r="F494" s="9"/>
      <c r="G494" s="9"/>
      <c r="H494" s="9"/>
      <c r="I494" s="9"/>
      <c r="J494" s="9"/>
      <c r="K494" s="9"/>
      <c r="L494" s="9"/>
      <c r="M494" s="9"/>
      <c r="N494" s="9"/>
      <c r="O494" s="9"/>
    </row>
    <row r="495">
      <c r="B495" s="9" t="str">
        <f t="shared" si="1"/>
        <v> Violation</v>
      </c>
      <c r="C495" s="9"/>
      <c r="D495" s="9"/>
      <c r="E495" s="9"/>
      <c r="F495" s="9"/>
      <c r="G495" s="9"/>
      <c r="H495" s="9"/>
      <c r="I495" s="9"/>
      <c r="J495" s="9"/>
      <c r="K495" s="9"/>
      <c r="L495" s="9"/>
      <c r="M495" s="9"/>
      <c r="N495" s="9"/>
      <c r="O495" s="9"/>
    </row>
    <row r="496">
      <c r="B496" s="9" t="str">
        <f t="shared" si="1"/>
        <v> Violation</v>
      </c>
      <c r="C496" s="9"/>
      <c r="D496" s="9"/>
      <c r="E496" s="9"/>
      <c r="F496" s="9"/>
      <c r="G496" s="9"/>
      <c r="H496" s="9"/>
      <c r="I496" s="9"/>
      <c r="J496" s="9"/>
      <c r="K496" s="9"/>
      <c r="L496" s="9"/>
      <c r="M496" s="9"/>
      <c r="N496" s="9"/>
      <c r="O496" s="9"/>
    </row>
    <row r="497">
      <c r="B497" s="9" t="str">
        <f t="shared" si="1"/>
        <v> Violation</v>
      </c>
      <c r="C497" s="9"/>
      <c r="D497" s="9"/>
      <c r="E497" s="9"/>
      <c r="F497" s="9"/>
      <c r="G497" s="9"/>
      <c r="H497" s="9"/>
      <c r="I497" s="9"/>
      <c r="J497" s="9"/>
      <c r="K497" s="9"/>
      <c r="L497" s="9"/>
      <c r="M497" s="9"/>
      <c r="N497" s="9"/>
      <c r="O497" s="9"/>
    </row>
    <row r="498">
      <c r="B498" s="9" t="str">
        <f t="shared" si="1"/>
        <v> Violation</v>
      </c>
      <c r="C498" s="9"/>
      <c r="D498" s="9"/>
      <c r="E498" s="9"/>
      <c r="F498" s="9"/>
      <c r="G498" s="9"/>
      <c r="H498" s="9"/>
      <c r="I498" s="9"/>
      <c r="J498" s="9"/>
      <c r="K498" s="9"/>
      <c r="L498" s="9"/>
      <c r="M498" s="9"/>
      <c r="N498" s="9"/>
      <c r="O498" s="9"/>
    </row>
    <row r="499">
      <c r="B499" s="9" t="str">
        <f t="shared" si="1"/>
        <v> Violation</v>
      </c>
      <c r="C499" s="9"/>
      <c r="D499" s="9"/>
      <c r="E499" s="9"/>
      <c r="F499" s="9"/>
      <c r="G499" s="9"/>
      <c r="H499" s="9"/>
      <c r="I499" s="9"/>
      <c r="J499" s="9"/>
      <c r="K499" s="9"/>
      <c r="L499" s="9"/>
      <c r="M499" s="9"/>
      <c r="N499" s="9"/>
      <c r="O499" s="9"/>
    </row>
    <row r="500">
      <c r="B500" s="9" t="str">
        <f t="shared" si="1"/>
        <v> Violation</v>
      </c>
      <c r="C500" s="9"/>
      <c r="D500" s="9"/>
      <c r="E500" s="9"/>
      <c r="F500" s="9"/>
      <c r="G500" s="9"/>
      <c r="H500" s="9"/>
      <c r="I500" s="9"/>
      <c r="J500" s="9"/>
      <c r="K500" s="9"/>
      <c r="L500" s="9"/>
      <c r="M500" s="9"/>
      <c r="N500" s="9"/>
      <c r="O500" s="9"/>
    </row>
    <row r="501">
      <c r="B501" s="9" t="str">
        <f t="shared" si="1"/>
        <v> Violation</v>
      </c>
      <c r="C501" s="9"/>
      <c r="D501" s="9"/>
      <c r="E501" s="9"/>
      <c r="F501" s="9"/>
      <c r="G501" s="9"/>
      <c r="H501" s="9"/>
      <c r="I501" s="9"/>
      <c r="J501" s="9"/>
      <c r="K501" s="9"/>
      <c r="L501" s="9"/>
      <c r="M501" s="9"/>
      <c r="N501" s="9"/>
      <c r="O501" s="9"/>
    </row>
    <row r="502">
      <c r="B502" s="9" t="str">
        <f t="shared" si="1"/>
        <v> Violation</v>
      </c>
      <c r="C502" s="9"/>
      <c r="D502" s="9"/>
      <c r="E502" s="9"/>
      <c r="F502" s="9"/>
      <c r="G502" s="9"/>
      <c r="H502" s="9"/>
      <c r="I502" s="9"/>
      <c r="J502" s="9"/>
      <c r="K502" s="9"/>
      <c r="L502" s="9"/>
      <c r="M502" s="9"/>
      <c r="N502" s="9"/>
      <c r="O502" s="9"/>
    </row>
    <row r="503">
      <c r="B503" s="9" t="str">
        <f t="shared" si="1"/>
        <v> Violation</v>
      </c>
      <c r="C503" s="9"/>
      <c r="D503" s="9"/>
      <c r="E503" s="9"/>
      <c r="F503" s="9"/>
      <c r="G503" s="9"/>
      <c r="H503" s="9"/>
      <c r="I503" s="9"/>
      <c r="J503" s="9"/>
      <c r="K503" s="9"/>
      <c r="L503" s="9"/>
      <c r="M503" s="9"/>
      <c r="N503" s="9"/>
      <c r="O503" s="9"/>
    </row>
    <row r="504">
      <c r="B504" s="9" t="str">
        <f t="shared" si="1"/>
        <v> Violation</v>
      </c>
      <c r="C504" s="9"/>
      <c r="D504" s="9"/>
      <c r="E504" s="9"/>
      <c r="F504" s="9"/>
      <c r="G504" s="9"/>
      <c r="H504" s="9"/>
      <c r="I504" s="9"/>
      <c r="J504" s="9"/>
      <c r="K504" s="9"/>
      <c r="L504" s="9"/>
      <c r="M504" s="9"/>
      <c r="N504" s="9"/>
      <c r="O504" s="9"/>
    </row>
    <row r="505">
      <c r="B505" s="9" t="str">
        <f t="shared" si="1"/>
        <v> Violation</v>
      </c>
      <c r="C505" s="9"/>
      <c r="D505" s="9"/>
      <c r="E505" s="9"/>
      <c r="F505" s="9"/>
      <c r="G505" s="9"/>
      <c r="H505" s="9"/>
      <c r="I505" s="9"/>
      <c r="J505" s="9"/>
      <c r="K505" s="9"/>
      <c r="L505" s="9"/>
      <c r="M505" s="9"/>
      <c r="N505" s="9"/>
      <c r="O505" s="9"/>
    </row>
    <row r="506">
      <c r="B506" s="9" t="str">
        <f t="shared" si="1"/>
        <v> Violation</v>
      </c>
      <c r="C506" s="9"/>
      <c r="D506" s="9"/>
      <c r="E506" s="9"/>
      <c r="F506" s="9"/>
      <c r="G506" s="9"/>
      <c r="H506" s="9"/>
      <c r="I506" s="9"/>
      <c r="J506" s="9"/>
      <c r="K506" s="9"/>
      <c r="L506" s="9"/>
      <c r="M506" s="9"/>
      <c r="N506" s="9"/>
      <c r="O506" s="9"/>
    </row>
    <row r="507">
      <c r="B507" s="9" t="str">
        <f t="shared" si="1"/>
        <v> Violation</v>
      </c>
      <c r="C507" s="9"/>
      <c r="D507" s="9"/>
      <c r="E507" s="9"/>
      <c r="F507" s="9"/>
      <c r="G507" s="9"/>
      <c r="H507" s="9"/>
      <c r="I507" s="9"/>
      <c r="J507" s="9"/>
      <c r="K507" s="9"/>
      <c r="L507" s="9"/>
      <c r="M507" s="9"/>
      <c r="N507" s="9"/>
      <c r="O507" s="9"/>
    </row>
    <row r="508">
      <c r="B508" s="9" t="str">
        <f t="shared" si="1"/>
        <v> Violation</v>
      </c>
      <c r="C508" s="9"/>
      <c r="D508" s="9"/>
      <c r="E508" s="9"/>
      <c r="F508" s="9"/>
      <c r="G508" s="9"/>
      <c r="H508" s="9"/>
      <c r="I508" s="9"/>
      <c r="J508" s="9"/>
      <c r="K508" s="9"/>
      <c r="L508" s="9"/>
      <c r="M508" s="9"/>
      <c r="N508" s="9"/>
      <c r="O508" s="9"/>
    </row>
    <row r="509">
      <c r="B509" s="9" t="str">
        <f t="shared" si="1"/>
        <v> Violation</v>
      </c>
      <c r="C509" s="9"/>
      <c r="D509" s="9"/>
      <c r="E509" s="9"/>
      <c r="F509" s="9"/>
      <c r="G509" s="9"/>
      <c r="H509" s="9"/>
      <c r="I509" s="9"/>
      <c r="J509" s="9"/>
      <c r="K509" s="9"/>
      <c r="L509" s="9"/>
      <c r="M509" s="9"/>
      <c r="N509" s="9"/>
      <c r="O509" s="9"/>
    </row>
    <row r="510">
      <c r="B510" s="9" t="str">
        <f t="shared" si="1"/>
        <v> Violation</v>
      </c>
      <c r="C510" s="9"/>
      <c r="D510" s="9"/>
      <c r="E510" s="9"/>
      <c r="F510" s="9"/>
      <c r="G510" s="9"/>
      <c r="H510" s="9"/>
      <c r="I510" s="9"/>
      <c r="J510" s="9"/>
      <c r="K510" s="9"/>
      <c r="L510" s="9"/>
      <c r="M510" s="9"/>
      <c r="N510" s="9"/>
      <c r="O510" s="9"/>
    </row>
    <row r="511">
      <c r="B511" s="9" t="str">
        <f t="shared" si="1"/>
        <v> Violation</v>
      </c>
      <c r="C511" s="9"/>
      <c r="D511" s="9"/>
      <c r="E511" s="9"/>
      <c r="F511" s="9"/>
      <c r="G511" s="9"/>
      <c r="H511" s="9"/>
      <c r="I511" s="9"/>
      <c r="J511" s="9"/>
      <c r="K511" s="9"/>
      <c r="L511" s="9"/>
      <c r="M511" s="9"/>
      <c r="N511" s="9"/>
      <c r="O511" s="9"/>
    </row>
    <row r="512">
      <c r="B512" s="9" t="str">
        <f t="shared" si="1"/>
        <v> Violation</v>
      </c>
      <c r="C512" s="9"/>
      <c r="D512" s="9"/>
      <c r="E512" s="9"/>
      <c r="F512" s="9"/>
      <c r="G512" s="9"/>
      <c r="H512" s="9"/>
      <c r="I512" s="9"/>
      <c r="J512" s="9"/>
      <c r="K512" s="9"/>
      <c r="L512" s="9"/>
      <c r="M512" s="9"/>
      <c r="N512" s="9"/>
      <c r="O512" s="9"/>
    </row>
    <row r="513">
      <c r="B513" s="9" t="str">
        <f t="shared" si="1"/>
        <v> Violation</v>
      </c>
      <c r="C513" s="9"/>
      <c r="D513" s="9"/>
      <c r="E513" s="9"/>
      <c r="F513" s="9"/>
      <c r="G513" s="9"/>
      <c r="H513" s="9"/>
      <c r="I513" s="9"/>
      <c r="J513" s="9"/>
      <c r="K513" s="9"/>
      <c r="L513" s="9"/>
      <c r="M513" s="9"/>
      <c r="N513" s="9"/>
      <c r="O513" s="9"/>
    </row>
    <row r="514">
      <c r="B514" s="9" t="str">
        <f t="shared" si="1"/>
        <v> Violation</v>
      </c>
      <c r="C514" s="9"/>
      <c r="D514" s="9"/>
      <c r="E514" s="9"/>
      <c r="F514" s="9"/>
      <c r="G514" s="9"/>
      <c r="H514" s="9"/>
      <c r="I514" s="9"/>
      <c r="J514" s="9"/>
      <c r="K514" s="9"/>
      <c r="L514" s="9"/>
      <c r="M514" s="9"/>
      <c r="N514" s="9"/>
      <c r="O514" s="9"/>
    </row>
    <row r="515">
      <c r="B515" s="9" t="str">
        <f t="shared" si="1"/>
        <v> Violation</v>
      </c>
      <c r="C515" s="9"/>
      <c r="D515" s="9"/>
      <c r="E515" s="9"/>
      <c r="F515" s="9"/>
      <c r="G515" s="9"/>
      <c r="H515" s="9"/>
      <c r="I515" s="9"/>
      <c r="J515" s="9"/>
      <c r="K515" s="9"/>
      <c r="L515" s="9"/>
      <c r="M515" s="9"/>
      <c r="N515" s="9"/>
      <c r="O515" s="9"/>
    </row>
    <row r="516">
      <c r="B516" s="9" t="str">
        <f t="shared" si="1"/>
        <v> Violation</v>
      </c>
      <c r="C516" s="9"/>
      <c r="D516" s="9"/>
      <c r="E516" s="9"/>
      <c r="F516" s="9"/>
      <c r="G516" s="9"/>
      <c r="H516" s="9"/>
      <c r="I516" s="9"/>
      <c r="J516" s="9"/>
      <c r="K516" s="9"/>
      <c r="L516" s="9"/>
      <c r="M516" s="9"/>
      <c r="N516" s="9"/>
      <c r="O516" s="9"/>
    </row>
    <row r="517">
      <c r="B517" s="9" t="str">
        <f t="shared" si="1"/>
        <v> Violation</v>
      </c>
      <c r="C517" s="9"/>
      <c r="D517" s="9"/>
      <c r="E517" s="9"/>
      <c r="F517" s="9"/>
      <c r="G517" s="9"/>
      <c r="H517" s="9"/>
      <c r="I517" s="9"/>
      <c r="J517" s="9"/>
      <c r="K517" s="9"/>
      <c r="L517" s="9"/>
      <c r="M517" s="9"/>
      <c r="N517" s="9"/>
      <c r="O517" s="9"/>
    </row>
    <row r="518">
      <c r="B518" s="9" t="str">
        <f t="shared" si="1"/>
        <v> Violation</v>
      </c>
      <c r="C518" s="9"/>
      <c r="D518" s="9"/>
      <c r="E518" s="9"/>
      <c r="F518" s="9"/>
      <c r="G518" s="9"/>
      <c r="H518" s="9"/>
      <c r="I518" s="9"/>
      <c r="J518" s="9"/>
      <c r="K518" s="9"/>
      <c r="L518" s="9"/>
      <c r="M518" s="9"/>
      <c r="N518" s="9"/>
      <c r="O518" s="9"/>
    </row>
    <row r="519">
      <c r="B519" s="9" t="str">
        <f t="shared" si="1"/>
        <v> Violation</v>
      </c>
      <c r="C519" s="9"/>
      <c r="D519" s="9"/>
      <c r="E519" s="9"/>
      <c r="F519" s="9"/>
      <c r="G519" s="9"/>
      <c r="H519" s="9"/>
      <c r="I519" s="9"/>
      <c r="J519" s="9"/>
      <c r="K519" s="9"/>
      <c r="L519" s="9"/>
      <c r="M519" s="9"/>
      <c r="N519" s="9"/>
      <c r="O519" s="9"/>
    </row>
    <row r="520">
      <c r="B520" s="9" t="str">
        <f t="shared" si="1"/>
        <v> Violation</v>
      </c>
      <c r="C520" s="9"/>
      <c r="D520" s="9"/>
      <c r="E520" s="9"/>
      <c r="F520" s="9"/>
      <c r="G520" s="9"/>
      <c r="H520" s="9"/>
      <c r="I520" s="9"/>
      <c r="J520" s="9"/>
      <c r="K520" s="9"/>
      <c r="L520" s="9"/>
      <c r="M520" s="9"/>
      <c r="N520" s="9"/>
      <c r="O520" s="9"/>
    </row>
    <row r="521">
      <c r="B521" s="9" t="str">
        <f t="shared" si="1"/>
        <v> Violation</v>
      </c>
      <c r="C521" s="9"/>
      <c r="D521" s="9"/>
      <c r="E521" s="9"/>
      <c r="F521" s="9"/>
      <c r="G521" s="9"/>
      <c r="H521" s="9"/>
      <c r="I521" s="9"/>
      <c r="J521" s="9"/>
      <c r="K521" s="9"/>
      <c r="L521" s="9"/>
      <c r="M521" s="9"/>
      <c r="N521" s="9"/>
      <c r="O521" s="9"/>
    </row>
    <row r="522">
      <c r="B522" s="9" t="str">
        <f t="shared" si="1"/>
        <v> Violation</v>
      </c>
      <c r="C522" s="9"/>
      <c r="D522" s="9"/>
      <c r="E522" s="9"/>
      <c r="F522" s="9"/>
      <c r="G522" s="9"/>
      <c r="H522" s="9"/>
      <c r="I522" s="9"/>
      <c r="J522" s="9"/>
      <c r="K522" s="9"/>
      <c r="L522" s="9"/>
      <c r="M522" s="9"/>
      <c r="N522" s="9"/>
      <c r="O522" s="9"/>
    </row>
    <row r="523">
      <c r="B523" s="9" t="str">
        <f t="shared" si="1"/>
        <v> Violation</v>
      </c>
      <c r="C523" s="9"/>
      <c r="D523" s="9"/>
      <c r="E523" s="9"/>
      <c r="F523" s="9"/>
      <c r="G523" s="9"/>
      <c r="H523" s="9"/>
      <c r="I523" s="9"/>
      <c r="J523" s="9"/>
      <c r="K523" s="9"/>
      <c r="L523" s="9"/>
      <c r="M523" s="9"/>
      <c r="N523" s="9"/>
      <c r="O523" s="9"/>
    </row>
    <row r="524">
      <c r="B524" s="9" t="str">
        <f t="shared" si="1"/>
        <v> Violation</v>
      </c>
      <c r="C524" s="9"/>
      <c r="D524" s="9"/>
      <c r="E524" s="9"/>
      <c r="F524" s="9"/>
      <c r="G524" s="9"/>
      <c r="H524" s="9"/>
      <c r="I524" s="9"/>
      <c r="J524" s="9"/>
      <c r="K524" s="9"/>
      <c r="L524" s="9"/>
      <c r="M524" s="9"/>
      <c r="N524" s="9"/>
      <c r="O524" s="9"/>
    </row>
    <row r="525">
      <c r="B525" s="9" t="str">
        <f t="shared" si="1"/>
        <v> Violation</v>
      </c>
      <c r="C525" s="9"/>
      <c r="D525" s="9"/>
      <c r="E525" s="9"/>
      <c r="F525" s="9"/>
      <c r="G525" s="9"/>
      <c r="H525" s="9"/>
      <c r="I525" s="9"/>
      <c r="J525" s="9"/>
      <c r="K525" s="9"/>
      <c r="L525" s="9"/>
      <c r="M525" s="9"/>
      <c r="N525" s="9"/>
      <c r="O525" s="9"/>
    </row>
    <row r="526">
      <c r="B526" s="9" t="str">
        <f t="shared" si="1"/>
        <v> Violation</v>
      </c>
      <c r="C526" s="9"/>
      <c r="D526" s="9"/>
      <c r="E526" s="9"/>
      <c r="F526" s="9"/>
      <c r="G526" s="9"/>
      <c r="H526" s="9"/>
      <c r="I526" s="9"/>
      <c r="J526" s="9"/>
      <c r="K526" s="9"/>
      <c r="L526" s="9"/>
      <c r="M526" s="9"/>
      <c r="N526" s="9"/>
      <c r="O526" s="9"/>
    </row>
    <row r="527">
      <c r="B527" s="9" t="str">
        <f t="shared" si="1"/>
        <v> Violation</v>
      </c>
      <c r="C527" s="9"/>
      <c r="D527" s="9"/>
      <c r="E527" s="9"/>
      <c r="F527" s="9"/>
      <c r="G527" s="9"/>
      <c r="H527" s="9"/>
      <c r="I527" s="9"/>
      <c r="J527" s="9"/>
      <c r="K527" s="9"/>
      <c r="L527" s="9"/>
      <c r="M527" s="9"/>
      <c r="N527" s="9"/>
      <c r="O527" s="9"/>
    </row>
    <row r="528">
      <c r="B528" s="9" t="str">
        <f t="shared" si="1"/>
        <v> Violation</v>
      </c>
      <c r="C528" s="9"/>
      <c r="D528" s="9"/>
      <c r="E528" s="9"/>
      <c r="F528" s="9"/>
      <c r="G528" s="9"/>
      <c r="H528" s="9"/>
      <c r="I528" s="9"/>
      <c r="J528" s="9"/>
      <c r="K528" s="9"/>
      <c r="L528" s="9"/>
      <c r="M528" s="9"/>
      <c r="N528" s="9"/>
      <c r="O528" s="9"/>
    </row>
    <row r="529">
      <c r="B529" s="9" t="str">
        <f t="shared" si="1"/>
        <v> Violation</v>
      </c>
      <c r="C529" s="9"/>
      <c r="D529" s="9"/>
      <c r="E529" s="9"/>
      <c r="F529" s="9"/>
      <c r="G529" s="9"/>
      <c r="H529" s="9"/>
      <c r="I529" s="9"/>
      <c r="J529" s="9"/>
      <c r="K529" s="9"/>
      <c r="L529" s="9"/>
      <c r="M529" s="9"/>
      <c r="N529" s="9"/>
      <c r="O529" s="9"/>
    </row>
    <row r="530">
      <c r="B530" s="9" t="str">
        <f t="shared" si="1"/>
        <v> Violation</v>
      </c>
      <c r="C530" s="9"/>
      <c r="D530" s="9"/>
      <c r="E530" s="9"/>
      <c r="F530" s="9"/>
      <c r="G530" s="9"/>
      <c r="H530" s="9"/>
      <c r="I530" s="9"/>
      <c r="J530" s="9"/>
      <c r="K530" s="9"/>
      <c r="L530" s="9"/>
      <c r="M530" s="9"/>
      <c r="N530" s="9"/>
      <c r="O530" s="9"/>
    </row>
    <row r="531">
      <c r="B531" s="9" t="str">
        <f t="shared" si="1"/>
        <v> Violation</v>
      </c>
      <c r="C531" s="9"/>
      <c r="D531" s="9"/>
      <c r="E531" s="9"/>
      <c r="F531" s="9"/>
      <c r="G531" s="9"/>
      <c r="H531" s="9"/>
      <c r="I531" s="9"/>
      <c r="J531" s="9"/>
      <c r="K531" s="9"/>
      <c r="L531" s="9"/>
      <c r="M531" s="9"/>
      <c r="N531" s="9"/>
      <c r="O531" s="9"/>
    </row>
    <row r="532">
      <c r="B532" s="9" t="str">
        <f t="shared" si="1"/>
        <v> Violation</v>
      </c>
      <c r="C532" s="9"/>
      <c r="D532" s="9"/>
      <c r="E532" s="9"/>
      <c r="F532" s="9"/>
      <c r="G532" s="9"/>
      <c r="H532" s="9"/>
      <c r="I532" s="9"/>
      <c r="J532" s="9"/>
      <c r="K532" s="9"/>
      <c r="L532" s="9"/>
      <c r="M532" s="9"/>
      <c r="N532" s="9"/>
      <c r="O532" s="9"/>
    </row>
    <row r="533">
      <c r="B533" s="9" t="str">
        <f t="shared" si="1"/>
        <v> Violation</v>
      </c>
      <c r="C533" s="9"/>
      <c r="D533" s="9"/>
      <c r="E533" s="9"/>
      <c r="F533" s="9"/>
      <c r="G533" s="9"/>
      <c r="H533" s="9"/>
      <c r="I533" s="9"/>
      <c r="J533" s="9"/>
      <c r="K533" s="9"/>
      <c r="L533" s="9"/>
      <c r="M533" s="9"/>
      <c r="N533" s="9"/>
      <c r="O533" s="9"/>
    </row>
    <row r="534">
      <c r="B534" s="9" t="str">
        <f t="shared" si="1"/>
        <v> Violation</v>
      </c>
      <c r="C534" s="9"/>
      <c r="D534" s="9"/>
      <c r="E534" s="9"/>
      <c r="F534" s="9"/>
      <c r="G534" s="9"/>
      <c r="H534" s="9"/>
      <c r="I534" s="9"/>
      <c r="J534" s="9"/>
      <c r="K534" s="9"/>
      <c r="L534" s="9"/>
      <c r="M534" s="9"/>
      <c r="N534" s="9"/>
      <c r="O534" s="9"/>
    </row>
    <row r="535">
      <c r="B535" s="9" t="str">
        <f t="shared" si="1"/>
        <v> Violation</v>
      </c>
      <c r="C535" s="9"/>
      <c r="D535" s="9"/>
      <c r="E535" s="9"/>
      <c r="F535" s="9"/>
      <c r="G535" s="9"/>
      <c r="H535" s="9"/>
      <c r="I535" s="9"/>
      <c r="J535" s="9"/>
      <c r="K535" s="9"/>
      <c r="L535" s="9"/>
      <c r="M535" s="9"/>
      <c r="N535" s="9"/>
      <c r="O535" s="9"/>
    </row>
    <row r="536">
      <c r="B536" s="9" t="str">
        <f t="shared" si="1"/>
        <v> Violation</v>
      </c>
      <c r="C536" s="9"/>
      <c r="D536" s="9"/>
      <c r="E536" s="9"/>
      <c r="F536" s="9"/>
      <c r="G536" s="9"/>
      <c r="H536" s="9"/>
      <c r="I536" s="9"/>
      <c r="J536" s="9"/>
      <c r="K536" s="9"/>
      <c r="L536" s="9"/>
      <c r="M536" s="9"/>
      <c r="N536" s="9"/>
      <c r="O536" s="9"/>
    </row>
    <row r="537">
      <c r="B537" s="9" t="str">
        <f t="shared" si="1"/>
        <v> Violation</v>
      </c>
      <c r="C537" s="9"/>
      <c r="D537" s="9"/>
      <c r="E537" s="9"/>
      <c r="F537" s="9"/>
      <c r="G537" s="9"/>
      <c r="H537" s="9"/>
      <c r="I537" s="9"/>
      <c r="J537" s="9"/>
      <c r="K537" s="9"/>
      <c r="L537" s="9"/>
      <c r="M537" s="9"/>
      <c r="N537" s="9"/>
      <c r="O537" s="9"/>
    </row>
    <row r="538">
      <c r="B538" s="9" t="str">
        <f t="shared" si="1"/>
        <v> Violation</v>
      </c>
      <c r="C538" s="9"/>
      <c r="D538" s="9"/>
      <c r="E538" s="9"/>
      <c r="F538" s="9"/>
      <c r="G538" s="9"/>
      <c r="H538" s="9"/>
      <c r="I538" s="9"/>
      <c r="J538" s="9"/>
      <c r="K538" s="9"/>
      <c r="L538" s="9"/>
      <c r="M538" s="9"/>
      <c r="N538" s="9"/>
      <c r="O538" s="9"/>
    </row>
    <row r="539">
      <c r="B539" s="9" t="str">
        <f t="shared" si="1"/>
        <v> Violation</v>
      </c>
      <c r="C539" s="9"/>
      <c r="D539" s="9"/>
      <c r="E539" s="9"/>
      <c r="F539" s="9"/>
      <c r="G539" s="9"/>
      <c r="H539" s="9"/>
      <c r="I539" s="9"/>
      <c r="J539" s="9"/>
      <c r="K539" s="9"/>
      <c r="L539" s="9"/>
      <c r="M539" s="9"/>
      <c r="N539" s="9"/>
      <c r="O539" s="9"/>
    </row>
    <row r="540">
      <c r="B540" s="9" t="str">
        <f t="shared" si="1"/>
        <v> Violation</v>
      </c>
      <c r="C540" s="9"/>
      <c r="D540" s="9"/>
      <c r="E540" s="9"/>
      <c r="F540" s="9"/>
      <c r="G540" s="9"/>
      <c r="H540" s="9"/>
      <c r="I540" s="9"/>
      <c r="J540" s="9"/>
      <c r="K540" s="9"/>
      <c r="L540" s="9"/>
      <c r="M540" s="9"/>
      <c r="N540" s="9"/>
      <c r="O540" s="9"/>
    </row>
    <row r="541">
      <c r="B541" s="9" t="str">
        <f t="shared" si="1"/>
        <v> Violation</v>
      </c>
      <c r="C541" s="9"/>
      <c r="D541" s="9"/>
      <c r="E541" s="9"/>
      <c r="F541" s="9"/>
      <c r="G541" s="9"/>
      <c r="H541" s="9"/>
      <c r="I541" s="9"/>
      <c r="J541" s="9"/>
      <c r="K541" s="9"/>
      <c r="L541" s="9"/>
      <c r="M541" s="9"/>
      <c r="N541" s="9"/>
      <c r="O541" s="9"/>
    </row>
    <row r="542">
      <c r="B542" s="9" t="str">
        <f t="shared" si="1"/>
        <v> Violation</v>
      </c>
      <c r="C542" s="9"/>
      <c r="D542" s="9"/>
      <c r="E542" s="9"/>
      <c r="F542" s="9"/>
      <c r="G542" s="9"/>
      <c r="H542" s="9"/>
      <c r="I542" s="9"/>
      <c r="J542" s="9"/>
      <c r="K542" s="9"/>
      <c r="L542" s="9"/>
      <c r="M542" s="9"/>
      <c r="N542" s="9"/>
      <c r="O542" s="9"/>
    </row>
    <row r="543">
      <c r="B543" s="9" t="str">
        <f t="shared" si="1"/>
        <v> Violation</v>
      </c>
      <c r="C543" s="9"/>
      <c r="D543" s="9"/>
      <c r="E543" s="9"/>
      <c r="F543" s="9"/>
      <c r="G543" s="9"/>
      <c r="H543" s="9"/>
      <c r="I543" s="9"/>
      <c r="J543" s="9"/>
      <c r="K543" s="9"/>
      <c r="L543" s="9"/>
      <c r="M543" s="9"/>
      <c r="N543" s="9"/>
      <c r="O543" s="9"/>
    </row>
    <row r="544">
      <c r="B544" s="9" t="str">
        <f t="shared" si="1"/>
        <v> Violation</v>
      </c>
      <c r="C544" s="9"/>
      <c r="D544" s="9"/>
      <c r="E544" s="9"/>
      <c r="F544" s="9"/>
      <c r="G544" s="9"/>
      <c r="H544" s="9"/>
      <c r="I544" s="9"/>
      <c r="J544" s="9"/>
      <c r="K544" s="9"/>
      <c r="L544" s="9"/>
      <c r="M544" s="9"/>
      <c r="N544" s="9"/>
      <c r="O544" s="9"/>
    </row>
    <row r="545">
      <c r="B545" s="9" t="str">
        <f t="shared" si="1"/>
        <v> Violation</v>
      </c>
      <c r="C545" s="9"/>
      <c r="D545" s="9"/>
      <c r="E545" s="9"/>
      <c r="F545" s="9"/>
      <c r="G545" s="9"/>
      <c r="H545" s="9"/>
      <c r="I545" s="9"/>
      <c r="J545" s="9"/>
      <c r="K545" s="9"/>
      <c r="L545" s="9"/>
      <c r="M545" s="9"/>
      <c r="N545" s="9"/>
      <c r="O545" s="9"/>
    </row>
    <row r="546">
      <c r="B546" s="9" t="str">
        <f t="shared" si="1"/>
        <v> Violation</v>
      </c>
      <c r="C546" s="9"/>
      <c r="D546" s="9"/>
      <c r="E546" s="9"/>
      <c r="F546" s="9"/>
      <c r="G546" s="9"/>
      <c r="H546" s="9"/>
      <c r="I546" s="9"/>
      <c r="J546" s="9"/>
      <c r="K546" s="9"/>
      <c r="L546" s="9"/>
      <c r="M546" s="9"/>
      <c r="N546" s="9"/>
      <c r="O546" s="9"/>
    </row>
    <row r="547">
      <c r="B547" s="9" t="str">
        <f t="shared" si="1"/>
        <v> Violation</v>
      </c>
      <c r="C547" s="9"/>
      <c r="D547" s="9"/>
      <c r="E547" s="9"/>
      <c r="F547" s="9"/>
      <c r="G547" s="9"/>
      <c r="H547" s="9"/>
      <c r="I547" s="9"/>
      <c r="J547" s="9"/>
      <c r="K547" s="9"/>
      <c r="L547" s="9"/>
      <c r="M547" s="9"/>
      <c r="N547" s="9"/>
      <c r="O547" s="9"/>
    </row>
    <row r="548">
      <c r="B548" s="9" t="str">
        <f t="shared" si="1"/>
        <v> Violation</v>
      </c>
      <c r="C548" s="9"/>
      <c r="D548" s="9"/>
      <c r="E548" s="9"/>
      <c r="F548" s="9"/>
      <c r="G548" s="9"/>
      <c r="H548" s="9"/>
      <c r="I548" s="9"/>
      <c r="J548" s="9"/>
      <c r="K548" s="9"/>
      <c r="L548" s="9"/>
      <c r="M548" s="9"/>
      <c r="N548" s="9"/>
      <c r="O548" s="9"/>
    </row>
    <row r="549">
      <c r="B549" s="9" t="str">
        <f t="shared" si="1"/>
        <v> Violation</v>
      </c>
      <c r="C549" s="9"/>
      <c r="D549" s="9"/>
      <c r="E549" s="9"/>
      <c r="F549" s="9"/>
      <c r="G549" s="9"/>
      <c r="H549" s="9"/>
      <c r="I549" s="9"/>
      <c r="J549" s="9"/>
      <c r="K549" s="9"/>
      <c r="L549" s="9"/>
      <c r="M549" s="9"/>
      <c r="N549" s="9"/>
      <c r="O549" s="9"/>
    </row>
    <row r="550">
      <c r="B550" s="9" t="str">
        <f t="shared" si="1"/>
        <v> Violation</v>
      </c>
      <c r="C550" s="9"/>
      <c r="D550" s="9"/>
      <c r="E550" s="9"/>
      <c r="F550" s="9"/>
      <c r="G550" s="9"/>
      <c r="H550" s="9"/>
      <c r="I550" s="9"/>
      <c r="J550" s="9"/>
      <c r="K550" s="9"/>
      <c r="L550" s="9"/>
      <c r="M550" s="9"/>
      <c r="N550" s="9"/>
      <c r="O550" s="9"/>
    </row>
    <row r="551">
      <c r="B551" s="9" t="str">
        <f t="shared" si="1"/>
        <v> Violation</v>
      </c>
      <c r="C551" s="9"/>
      <c r="D551" s="9"/>
      <c r="E551" s="9"/>
      <c r="F551" s="9"/>
      <c r="G551" s="9"/>
      <c r="H551" s="9"/>
      <c r="I551" s="9"/>
      <c r="J551" s="9"/>
      <c r="K551" s="9"/>
      <c r="L551" s="9"/>
      <c r="M551" s="9"/>
      <c r="N551" s="9"/>
      <c r="O551" s="9"/>
    </row>
    <row r="552">
      <c r="B552" s="9" t="str">
        <f t="shared" si="1"/>
        <v> Violation</v>
      </c>
      <c r="C552" s="9"/>
      <c r="D552" s="9"/>
      <c r="E552" s="9"/>
      <c r="F552" s="9"/>
      <c r="G552" s="9"/>
      <c r="H552" s="9"/>
      <c r="I552" s="9"/>
      <c r="J552" s="9"/>
      <c r="K552" s="9"/>
      <c r="L552" s="9"/>
      <c r="M552" s="9"/>
      <c r="N552" s="9"/>
      <c r="O552" s="9"/>
    </row>
    <row r="553">
      <c r="B553" s="9" t="str">
        <f t="shared" si="1"/>
        <v> Violation</v>
      </c>
      <c r="C553" s="9"/>
      <c r="D553" s="9"/>
      <c r="E553" s="9"/>
      <c r="F553" s="9"/>
      <c r="G553" s="9"/>
      <c r="H553" s="9"/>
      <c r="I553" s="9"/>
      <c r="J553" s="9"/>
      <c r="K553" s="9"/>
      <c r="L553" s="9"/>
      <c r="M553" s="9"/>
      <c r="N553" s="9"/>
      <c r="O553" s="9"/>
    </row>
    <row r="554">
      <c r="B554" s="9" t="str">
        <f t="shared" si="1"/>
        <v> Violation</v>
      </c>
      <c r="C554" s="9"/>
      <c r="D554" s="9"/>
      <c r="E554" s="9"/>
      <c r="F554" s="9"/>
      <c r="G554" s="9"/>
      <c r="H554" s="9"/>
      <c r="I554" s="9"/>
      <c r="J554" s="9"/>
      <c r="K554" s="9"/>
      <c r="L554" s="9"/>
      <c r="M554" s="9"/>
      <c r="N554" s="9"/>
      <c r="O554" s="9"/>
    </row>
    <row r="555">
      <c r="B555" s="9" t="str">
        <f t="shared" si="1"/>
        <v> Violation</v>
      </c>
      <c r="C555" s="9"/>
      <c r="D555" s="9"/>
      <c r="E555" s="9"/>
      <c r="F555" s="9"/>
      <c r="G555" s="9"/>
      <c r="H555" s="9"/>
      <c r="I555" s="9"/>
      <c r="J555" s="9"/>
      <c r="K555" s="9"/>
      <c r="L555" s="9"/>
      <c r="M555" s="9"/>
      <c r="N555" s="9"/>
      <c r="O555" s="9"/>
    </row>
    <row r="556">
      <c r="B556" s="9" t="str">
        <f t="shared" si="1"/>
        <v> Violation</v>
      </c>
      <c r="C556" s="9"/>
      <c r="D556" s="9"/>
      <c r="E556" s="9"/>
      <c r="F556" s="9"/>
      <c r="G556" s="9"/>
      <c r="H556" s="9"/>
      <c r="I556" s="9"/>
      <c r="J556" s="9"/>
      <c r="K556" s="9"/>
      <c r="L556" s="9"/>
      <c r="M556" s="9"/>
      <c r="N556" s="9"/>
      <c r="O556" s="9"/>
    </row>
    <row r="557">
      <c r="B557" s="9" t="str">
        <f t="shared" si="1"/>
        <v> Violation</v>
      </c>
      <c r="C557" s="9"/>
      <c r="D557" s="9"/>
      <c r="E557" s="9"/>
      <c r="F557" s="9"/>
      <c r="G557" s="9"/>
      <c r="H557" s="9"/>
      <c r="I557" s="9"/>
      <c r="J557" s="9"/>
      <c r="K557" s="9"/>
      <c r="L557" s="9"/>
      <c r="M557" s="9"/>
      <c r="N557" s="9"/>
      <c r="O557" s="9"/>
    </row>
    <row r="558">
      <c r="B558" s="9" t="str">
        <f t="shared" si="1"/>
        <v> Violation</v>
      </c>
      <c r="C558" s="9"/>
      <c r="D558" s="9"/>
      <c r="E558" s="9"/>
      <c r="F558" s="9"/>
      <c r="G558" s="9"/>
      <c r="H558" s="9"/>
      <c r="I558" s="9"/>
      <c r="J558" s="9"/>
      <c r="K558" s="9"/>
      <c r="L558" s="9"/>
      <c r="M558" s="9"/>
      <c r="N558" s="9"/>
      <c r="O558" s="9"/>
    </row>
    <row r="559">
      <c r="B559" s="9" t="str">
        <f t="shared" si="1"/>
        <v> Violation</v>
      </c>
      <c r="C559" s="9"/>
      <c r="D559" s="9"/>
      <c r="E559" s="9"/>
      <c r="F559" s="9"/>
      <c r="G559" s="9"/>
      <c r="H559" s="9"/>
      <c r="I559" s="9"/>
      <c r="J559" s="9"/>
      <c r="K559" s="9"/>
      <c r="L559" s="9"/>
      <c r="M559" s="9"/>
      <c r="N559" s="9"/>
      <c r="O559" s="9"/>
    </row>
    <row r="560">
      <c r="B560" s="9" t="str">
        <f t="shared" si="1"/>
        <v> Violation</v>
      </c>
      <c r="C560" s="9"/>
      <c r="D560" s="9"/>
      <c r="E560" s="9"/>
      <c r="F560" s="9"/>
      <c r="G560" s="9"/>
      <c r="H560" s="9"/>
      <c r="I560" s="9"/>
      <c r="J560" s="9"/>
      <c r="K560" s="9"/>
      <c r="L560" s="9"/>
      <c r="M560" s="9"/>
      <c r="N560" s="9"/>
      <c r="O560" s="9"/>
    </row>
    <row r="561">
      <c r="B561" s="9" t="str">
        <f t="shared" si="1"/>
        <v> Violation</v>
      </c>
      <c r="C561" s="9"/>
      <c r="D561" s="9"/>
      <c r="E561" s="9"/>
      <c r="F561" s="9"/>
      <c r="G561" s="9"/>
      <c r="H561" s="9"/>
      <c r="I561" s="9"/>
      <c r="J561" s="9"/>
      <c r="K561" s="9"/>
      <c r="L561" s="9"/>
      <c r="M561" s="9"/>
      <c r="N561" s="9"/>
      <c r="O561" s="9"/>
    </row>
    <row r="562">
      <c r="B562" s="9" t="str">
        <f t="shared" si="1"/>
        <v> Violation</v>
      </c>
      <c r="C562" s="9"/>
      <c r="D562" s="9"/>
      <c r="E562" s="9"/>
      <c r="F562" s="9"/>
      <c r="G562" s="9"/>
      <c r="H562" s="9"/>
      <c r="I562" s="9"/>
      <c r="J562" s="9"/>
      <c r="K562" s="9"/>
      <c r="L562" s="9"/>
      <c r="M562" s="9"/>
      <c r="N562" s="9"/>
      <c r="O562" s="9"/>
    </row>
    <row r="563">
      <c r="B563" s="9" t="str">
        <f t="shared" si="1"/>
        <v> Violation</v>
      </c>
      <c r="C563" s="9"/>
      <c r="D563" s="9"/>
      <c r="E563" s="9"/>
      <c r="F563" s="9"/>
      <c r="G563" s="9"/>
      <c r="H563" s="9"/>
      <c r="I563" s="9"/>
      <c r="J563" s="9"/>
      <c r="K563" s="9"/>
      <c r="L563" s="9"/>
      <c r="M563" s="9"/>
      <c r="N563" s="9"/>
      <c r="O563" s="9"/>
    </row>
    <row r="564">
      <c r="B564" s="9" t="str">
        <f t="shared" si="1"/>
        <v> Violation</v>
      </c>
      <c r="C564" s="9"/>
      <c r="D564" s="9"/>
      <c r="E564" s="9"/>
      <c r="F564" s="9"/>
      <c r="G564" s="9"/>
      <c r="H564" s="9"/>
      <c r="I564" s="9"/>
      <c r="J564" s="9"/>
      <c r="K564" s="9"/>
      <c r="L564" s="9"/>
      <c r="M564" s="9"/>
      <c r="N564" s="9"/>
      <c r="O564" s="9"/>
    </row>
    <row r="565">
      <c r="B565" s="9" t="str">
        <f t="shared" si="1"/>
        <v> Violation</v>
      </c>
      <c r="C565" s="9"/>
      <c r="D565" s="9"/>
      <c r="E565" s="9"/>
      <c r="F565" s="9"/>
      <c r="G565" s="9"/>
      <c r="H565" s="9"/>
      <c r="I565" s="9"/>
      <c r="J565" s="9"/>
      <c r="K565" s="9"/>
      <c r="L565" s="9"/>
      <c r="M565" s="9"/>
      <c r="N565" s="9"/>
      <c r="O565" s="9"/>
    </row>
    <row r="566">
      <c r="B566" s="9" t="str">
        <f t="shared" si="1"/>
        <v> Violation</v>
      </c>
      <c r="C566" s="9"/>
      <c r="D566" s="9"/>
      <c r="E566" s="9"/>
      <c r="F566" s="9"/>
      <c r="G566" s="9"/>
      <c r="H566" s="9"/>
      <c r="I566" s="9"/>
      <c r="J566" s="9"/>
      <c r="K566" s="9"/>
      <c r="L566" s="9"/>
      <c r="M566" s="9"/>
      <c r="N566" s="9"/>
      <c r="O566" s="9"/>
    </row>
    <row r="567">
      <c r="B567" s="9" t="str">
        <f t="shared" si="1"/>
        <v> Violation</v>
      </c>
      <c r="C567" s="9"/>
      <c r="D567" s="9"/>
      <c r="E567" s="9"/>
      <c r="F567" s="9"/>
      <c r="G567" s="9"/>
      <c r="H567" s="9"/>
      <c r="I567" s="9"/>
      <c r="J567" s="9"/>
      <c r="K567" s="9"/>
      <c r="L567" s="9"/>
      <c r="M567" s="9"/>
      <c r="N567" s="9"/>
      <c r="O567" s="9"/>
    </row>
    <row r="568">
      <c r="B568" s="9" t="str">
        <f t="shared" si="1"/>
        <v> Violation</v>
      </c>
      <c r="C568" s="9"/>
      <c r="D568" s="9"/>
      <c r="E568" s="9"/>
      <c r="F568" s="9"/>
      <c r="G568" s="9"/>
      <c r="H568" s="9"/>
      <c r="I568" s="9"/>
      <c r="J568" s="9"/>
      <c r="K568" s="9"/>
      <c r="L568" s="9"/>
      <c r="M568" s="9"/>
      <c r="N568" s="9"/>
      <c r="O568" s="9"/>
    </row>
    <row r="569">
      <c r="B569" s="9" t="str">
        <f t="shared" si="1"/>
        <v> Violation</v>
      </c>
      <c r="C569" s="9"/>
      <c r="D569" s="9"/>
      <c r="E569" s="9"/>
      <c r="F569" s="9"/>
      <c r="G569" s="9"/>
      <c r="H569" s="9"/>
      <c r="I569" s="9"/>
      <c r="J569" s="9"/>
      <c r="K569" s="9"/>
      <c r="L569" s="9"/>
      <c r="M569" s="9"/>
      <c r="N569" s="9"/>
      <c r="O569" s="9"/>
    </row>
    <row r="570">
      <c r="B570" s="9" t="str">
        <f t="shared" si="1"/>
        <v> Violation</v>
      </c>
      <c r="C570" s="9"/>
      <c r="D570" s="9"/>
      <c r="E570" s="9"/>
      <c r="F570" s="9"/>
      <c r="G570" s="9"/>
      <c r="H570" s="9"/>
      <c r="I570" s="9"/>
      <c r="J570" s="9"/>
      <c r="K570" s="9"/>
      <c r="L570" s="9"/>
      <c r="M570" s="9"/>
      <c r="N570" s="9"/>
      <c r="O570" s="9"/>
    </row>
    <row r="571">
      <c r="B571" s="9" t="str">
        <f t="shared" si="1"/>
        <v> Violation</v>
      </c>
      <c r="C571" s="9"/>
      <c r="D571" s="9"/>
      <c r="E571" s="9"/>
      <c r="F571" s="9"/>
      <c r="G571" s="9"/>
      <c r="H571" s="9"/>
      <c r="I571" s="9"/>
      <c r="J571" s="9"/>
      <c r="K571" s="9"/>
      <c r="L571" s="9"/>
      <c r="M571" s="9"/>
      <c r="N571" s="9"/>
      <c r="O571" s="9"/>
    </row>
    <row r="572">
      <c r="B572" s="9" t="str">
        <f t="shared" si="1"/>
        <v> Violation</v>
      </c>
      <c r="C572" s="9"/>
      <c r="D572" s="9"/>
      <c r="E572" s="9"/>
      <c r="F572" s="9"/>
      <c r="G572" s="9"/>
      <c r="H572" s="9"/>
      <c r="I572" s="9"/>
      <c r="J572" s="9"/>
      <c r="K572" s="9"/>
      <c r="L572" s="9"/>
      <c r="M572" s="9"/>
      <c r="N572" s="9"/>
      <c r="O572" s="9"/>
    </row>
    <row r="573">
      <c r="B573" s="9" t="str">
        <f t="shared" si="1"/>
        <v> Violation</v>
      </c>
      <c r="C573" s="9"/>
      <c r="D573" s="9"/>
      <c r="E573" s="9"/>
      <c r="F573" s="9"/>
      <c r="G573" s="9"/>
      <c r="H573" s="9"/>
      <c r="I573" s="9"/>
      <c r="J573" s="9"/>
      <c r="K573" s="9"/>
      <c r="L573" s="9"/>
      <c r="M573" s="9"/>
      <c r="N573" s="9"/>
      <c r="O573" s="9"/>
    </row>
    <row r="574">
      <c r="B574" s="9" t="str">
        <f t="shared" si="1"/>
        <v> Violation</v>
      </c>
      <c r="C574" s="9"/>
      <c r="D574" s="9"/>
      <c r="E574" s="9"/>
      <c r="F574" s="9"/>
      <c r="G574" s="9"/>
      <c r="H574" s="9"/>
      <c r="I574" s="9"/>
      <c r="J574" s="9"/>
      <c r="K574" s="9"/>
      <c r="L574" s="9"/>
      <c r="M574" s="9"/>
      <c r="N574" s="9"/>
      <c r="O574" s="9"/>
    </row>
    <row r="575">
      <c r="B575" s="9" t="str">
        <f t="shared" si="1"/>
        <v> Violation</v>
      </c>
      <c r="C575" s="9"/>
      <c r="D575" s="9"/>
      <c r="E575" s="9"/>
      <c r="F575" s="9"/>
      <c r="G575" s="9"/>
      <c r="H575" s="9"/>
      <c r="I575" s="9"/>
      <c r="J575" s="9"/>
      <c r="K575" s="9"/>
      <c r="L575" s="9"/>
      <c r="M575" s="9"/>
      <c r="N575" s="9"/>
      <c r="O575" s="9"/>
    </row>
    <row r="576">
      <c r="B576" s="9" t="str">
        <f t="shared" si="1"/>
        <v> Violation</v>
      </c>
      <c r="C576" s="9"/>
      <c r="D576" s="9"/>
      <c r="E576" s="9"/>
      <c r="F576" s="9"/>
      <c r="G576" s="9"/>
      <c r="H576" s="9"/>
      <c r="I576" s="9"/>
      <c r="J576" s="9"/>
      <c r="K576" s="9"/>
      <c r="L576" s="9"/>
      <c r="M576" s="9"/>
      <c r="N576" s="9"/>
      <c r="O576" s="9"/>
    </row>
    <row r="577">
      <c r="B577" s="9" t="str">
        <f t="shared" si="1"/>
        <v> Violation</v>
      </c>
      <c r="C577" s="9"/>
      <c r="D577" s="9"/>
      <c r="E577" s="9"/>
      <c r="F577" s="9"/>
      <c r="G577" s="9"/>
      <c r="H577" s="9"/>
      <c r="I577" s="9"/>
      <c r="J577" s="9"/>
      <c r="K577" s="9"/>
      <c r="L577" s="9"/>
      <c r="M577" s="9"/>
      <c r="N577" s="9"/>
      <c r="O577" s="9"/>
    </row>
    <row r="578">
      <c r="B578" s="9" t="str">
        <f t="shared" si="1"/>
        <v> Violation</v>
      </c>
      <c r="C578" s="9"/>
      <c r="D578" s="9"/>
      <c r="E578" s="9"/>
      <c r="F578" s="9"/>
      <c r="G578" s="9"/>
      <c r="H578" s="9"/>
      <c r="I578" s="9"/>
      <c r="J578" s="9"/>
      <c r="K578" s="9"/>
      <c r="L578" s="9"/>
      <c r="M578" s="9"/>
      <c r="N578" s="9"/>
      <c r="O578" s="9"/>
    </row>
    <row r="579">
      <c r="B579" s="9" t="str">
        <f t="shared" si="1"/>
        <v> Violation</v>
      </c>
      <c r="C579" s="9"/>
      <c r="D579" s="9"/>
      <c r="E579" s="9"/>
      <c r="F579" s="9"/>
      <c r="G579" s="9"/>
      <c r="H579" s="9"/>
      <c r="I579" s="9"/>
      <c r="J579" s="9"/>
      <c r="K579" s="9"/>
      <c r="L579" s="9"/>
      <c r="M579" s="9"/>
      <c r="N579" s="9"/>
      <c r="O579" s="9"/>
    </row>
    <row r="580">
      <c r="B580" s="9" t="str">
        <f t="shared" si="1"/>
        <v> Violation</v>
      </c>
      <c r="C580" s="9"/>
      <c r="D580" s="9"/>
      <c r="E580" s="9"/>
      <c r="F580" s="9"/>
      <c r="G580" s="9"/>
      <c r="H580" s="9"/>
      <c r="I580" s="9"/>
      <c r="J580" s="9"/>
      <c r="K580" s="9"/>
      <c r="L580" s="9"/>
      <c r="M580" s="9"/>
      <c r="N580" s="9"/>
      <c r="O580" s="9"/>
    </row>
    <row r="581">
      <c r="B581" s="9" t="str">
        <f t="shared" si="1"/>
        <v> Violation</v>
      </c>
      <c r="C581" s="9"/>
      <c r="D581" s="9"/>
      <c r="E581" s="9"/>
      <c r="F581" s="9"/>
      <c r="G581" s="9"/>
      <c r="H581" s="9"/>
      <c r="I581" s="9"/>
      <c r="J581" s="9"/>
      <c r="K581" s="9"/>
      <c r="L581" s="9"/>
      <c r="M581" s="9"/>
      <c r="N581" s="9"/>
      <c r="O581" s="9"/>
    </row>
    <row r="582">
      <c r="B582" s="9" t="str">
        <f t="shared" si="1"/>
        <v> Violation</v>
      </c>
      <c r="C582" s="9"/>
      <c r="D582" s="9"/>
      <c r="E582" s="9"/>
      <c r="F582" s="9"/>
      <c r="G582" s="9"/>
      <c r="H582" s="9"/>
      <c r="I582" s="9"/>
      <c r="J582" s="9"/>
      <c r="K582" s="9"/>
      <c r="L582" s="9"/>
      <c r="M582" s="9"/>
      <c r="N582" s="9"/>
      <c r="O582" s="9"/>
    </row>
    <row r="583">
      <c r="B583" s="9" t="str">
        <f t="shared" si="1"/>
        <v> Violation</v>
      </c>
      <c r="C583" s="9"/>
      <c r="D583" s="9"/>
      <c r="E583" s="9"/>
      <c r="F583" s="9"/>
      <c r="G583" s="9"/>
      <c r="H583" s="9"/>
      <c r="I583" s="9"/>
      <c r="J583" s="9"/>
      <c r="K583" s="9"/>
      <c r="L583" s="9"/>
      <c r="M583" s="9"/>
      <c r="N583" s="9"/>
      <c r="O583" s="9"/>
    </row>
    <row r="584">
      <c r="B584" s="9" t="str">
        <f t="shared" si="1"/>
        <v> Violation</v>
      </c>
      <c r="C584" s="9"/>
      <c r="D584" s="9"/>
      <c r="E584" s="9"/>
      <c r="F584" s="9"/>
      <c r="G584" s="9"/>
      <c r="H584" s="9"/>
      <c r="I584" s="9"/>
      <c r="J584" s="9"/>
      <c r="K584" s="9"/>
      <c r="L584" s="9"/>
      <c r="M584" s="9"/>
      <c r="N584" s="9"/>
      <c r="O584" s="9"/>
    </row>
    <row r="585">
      <c r="B585" s="9" t="str">
        <f t="shared" si="1"/>
        <v> Violation</v>
      </c>
      <c r="C585" s="9"/>
      <c r="D585" s="9"/>
      <c r="E585" s="9"/>
      <c r="F585" s="9"/>
      <c r="G585" s="9"/>
      <c r="H585" s="9"/>
      <c r="I585" s="9"/>
      <c r="J585" s="9"/>
      <c r="K585" s="9"/>
      <c r="L585" s="9"/>
      <c r="M585" s="9"/>
      <c r="N585" s="9"/>
      <c r="O585" s="9"/>
    </row>
    <row r="586">
      <c r="B586" s="9" t="str">
        <f t="shared" si="1"/>
        <v> Violation</v>
      </c>
      <c r="C586" s="9"/>
      <c r="D586" s="9"/>
      <c r="E586" s="9"/>
      <c r="F586" s="9"/>
      <c r="G586" s="9"/>
      <c r="H586" s="9"/>
      <c r="I586" s="9"/>
      <c r="J586" s="9"/>
      <c r="K586" s="9"/>
      <c r="L586" s="9"/>
      <c r="M586" s="9"/>
      <c r="N586" s="9"/>
      <c r="O586" s="9"/>
    </row>
    <row r="587">
      <c r="B587" s="9" t="str">
        <f t="shared" si="1"/>
        <v> Violation</v>
      </c>
      <c r="C587" s="9"/>
      <c r="D587" s="9"/>
      <c r="E587" s="9"/>
      <c r="F587" s="9"/>
      <c r="G587" s="9"/>
      <c r="H587" s="9"/>
      <c r="I587" s="9"/>
      <c r="J587" s="9"/>
      <c r="K587" s="9"/>
      <c r="L587" s="9"/>
      <c r="M587" s="9"/>
      <c r="N587" s="9"/>
      <c r="O587" s="9"/>
    </row>
    <row r="588">
      <c r="B588" s="9" t="str">
        <f t="shared" si="1"/>
        <v> Violation</v>
      </c>
      <c r="C588" s="9"/>
      <c r="D588" s="9"/>
      <c r="E588" s="9"/>
      <c r="F588" s="9"/>
      <c r="G588" s="9"/>
      <c r="H588" s="9"/>
      <c r="I588" s="9"/>
      <c r="J588" s="9"/>
      <c r="K588" s="9"/>
      <c r="L588" s="9"/>
      <c r="M588" s="9"/>
      <c r="N588" s="9"/>
      <c r="O588" s="9"/>
    </row>
    <row r="589">
      <c r="B589" s="9" t="str">
        <f t="shared" si="1"/>
        <v> Violation</v>
      </c>
      <c r="C589" s="9"/>
      <c r="D589" s="9"/>
      <c r="E589" s="9"/>
      <c r="F589" s="9"/>
      <c r="G589" s="9"/>
      <c r="H589" s="9"/>
      <c r="I589" s="9"/>
      <c r="J589" s="9"/>
      <c r="K589" s="9"/>
      <c r="L589" s="9"/>
      <c r="M589" s="9"/>
      <c r="N589" s="9"/>
      <c r="O589" s="9"/>
    </row>
    <row r="590">
      <c r="B590" s="9" t="str">
        <f t="shared" si="1"/>
        <v> Violation</v>
      </c>
      <c r="C590" s="9"/>
      <c r="D590" s="9"/>
      <c r="E590" s="9"/>
      <c r="F590" s="9"/>
      <c r="G590" s="9"/>
      <c r="H590" s="9"/>
      <c r="I590" s="9"/>
      <c r="J590" s="9"/>
      <c r="K590" s="9"/>
      <c r="L590" s="9"/>
      <c r="M590" s="9"/>
      <c r="N590" s="9"/>
      <c r="O590" s="9"/>
    </row>
    <row r="591">
      <c r="B591" s="9" t="str">
        <f t="shared" si="1"/>
        <v> Violation</v>
      </c>
      <c r="C591" s="9"/>
      <c r="D591" s="9"/>
      <c r="E591" s="9"/>
      <c r="F591" s="9"/>
      <c r="G591" s="9"/>
      <c r="H591" s="9"/>
      <c r="I591" s="9"/>
      <c r="J591" s="9"/>
      <c r="K591" s="9"/>
      <c r="L591" s="9"/>
      <c r="M591" s="9"/>
      <c r="N591" s="9"/>
      <c r="O591" s="9"/>
    </row>
    <row r="592">
      <c r="B592" s="9" t="str">
        <f t="shared" si="1"/>
        <v> Violation</v>
      </c>
      <c r="C592" s="9"/>
      <c r="D592" s="9"/>
      <c r="E592" s="9"/>
      <c r="F592" s="9"/>
      <c r="G592" s="9"/>
      <c r="H592" s="9"/>
      <c r="I592" s="9"/>
      <c r="J592" s="9"/>
      <c r="K592" s="9"/>
      <c r="L592" s="9"/>
      <c r="M592" s="9"/>
      <c r="N592" s="9"/>
      <c r="O592" s="9"/>
    </row>
    <row r="593">
      <c r="B593" s="9" t="str">
        <f t="shared" si="1"/>
        <v> Violation</v>
      </c>
      <c r="C593" s="9"/>
      <c r="D593" s="9"/>
      <c r="E593" s="9"/>
      <c r="F593" s="9"/>
      <c r="G593" s="9"/>
      <c r="H593" s="9"/>
      <c r="I593" s="9"/>
      <c r="J593" s="9"/>
      <c r="K593" s="9"/>
      <c r="L593" s="9"/>
      <c r="M593" s="9"/>
      <c r="N593" s="9"/>
      <c r="O593" s="9"/>
    </row>
    <row r="594">
      <c r="B594" s="9" t="str">
        <f t="shared" si="1"/>
        <v> Violation</v>
      </c>
      <c r="C594" s="9"/>
      <c r="D594" s="9"/>
      <c r="E594" s="9"/>
      <c r="F594" s="9"/>
      <c r="G594" s="9"/>
      <c r="H594" s="9"/>
      <c r="I594" s="9"/>
      <c r="J594" s="9"/>
      <c r="K594" s="9"/>
      <c r="L594" s="9"/>
      <c r="M594" s="9"/>
      <c r="N594" s="9"/>
      <c r="O594" s="9"/>
    </row>
    <row r="595">
      <c r="B595" s="9" t="str">
        <f t="shared" si="1"/>
        <v> Violation</v>
      </c>
      <c r="C595" s="9"/>
      <c r="D595" s="9"/>
      <c r="E595" s="9"/>
      <c r="F595" s="9"/>
      <c r="G595" s="9"/>
      <c r="H595" s="9"/>
      <c r="I595" s="9"/>
      <c r="J595" s="9"/>
      <c r="K595" s="9"/>
      <c r="L595" s="9"/>
      <c r="M595" s="9"/>
      <c r="N595" s="9"/>
      <c r="O595" s="9"/>
    </row>
    <row r="596">
      <c r="B596" s="9" t="str">
        <f t="shared" si="1"/>
        <v> Violation</v>
      </c>
      <c r="C596" s="9"/>
      <c r="D596" s="9"/>
      <c r="E596" s="9"/>
      <c r="F596" s="9"/>
      <c r="G596" s="9"/>
      <c r="H596" s="9"/>
      <c r="I596" s="9"/>
      <c r="J596" s="9"/>
      <c r="K596" s="9"/>
      <c r="L596" s="9"/>
      <c r="M596" s="9"/>
      <c r="N596" s="9"/>
      <c r="O596" s="9"/>
    </row>
    <row r="597">
      <c r="B597" s="9" t="str">
        <f t="shared" si="1"/>
        <v> Violation</v>
      </c>
      <c r="C597" s="9"/>
      <c r="D597" s="9"/>
      <c r="E597" s="9"/>
      <c r="F597" s="9"/>
      <c r="G597" s="9"/>
      <c r="H597" s="9"/>
      <c r="I597" s="9"/>
      <c r="J597" s="9"/>
      <c r="K597" s="9"/>
      <c r="L597" s="9"/>
      <c r="M597" s="9"/>
      <c r="N597" s="9"/>
      <c r="O597" s="9"/>
    </row>
    <row r="598">
      <c r="B598" s="9" t="str">
        <f t="shared" si="1"/>
        <v> Violation</v>
      </c>
      <c r="C598" s="9"/>
      <c r="D598" s="9"/>
      <c r="E598" s="9"/>
      <c r="F598" s="9"/>
      <c r="G598" s="9"/>
      <c r="H598" s="9"/>
      <c r="I598" s="9"/>
      <c r="J598" s="9"/>
      <c r="K598" s="9"/>
      <c r="L598" s="9"/>
      <c r="M598" s="9"/>
      <c r="N598" s="9"/>
      <c r="O598" s="9"/>
    </row>
    <row r="599">
      <c r="B599" s="9" t="str">
        <f t="shared" si="1"/>
        <v> Violation</v>
      </c>
      <c r="C599" s="9"/>
      <c r="D599" s="9"/>
      <c r="E599" s="9"/>
      <c r="F599" s="9"/>
      <c r="G599" s="9"/>
      <c r="H599" s="9"/>
      <c r="I599" s="9"/>
      <c r="J599" s="9"/>
      <c r="K599" s="9"/>
      <c r="L599" s="9"/>
      <c r="M599" s="9"/>
      <c r="N599" s="9"/>
      <c r="O599" s="9"/>
    </row>
    <row r="600">
      <c r="B600" s="9" t="str">
        <f t="shared" si="1"/>
        <v> Violation</v>
      </c>
      <c r="C600" s="9"/>
      <c r="D600" s="9"/>
      <c r="E600" s="9"/>
      <c r="F600" s="9"/>
      <c r="G600" s="9"/>
      <c r="H600" s="9"/>
      <c r="I600" s="9"/>
      <c r="J600" s="9"/>
      <c r="K600" s="9"/>
      <c r="L600" s="9"/>
      <c r="M600" s="9"/>
      <c r="N600" s="9"/>
      <c r="O600" s="9"/>
    </row>
    <row r="601">
      <c r="B601" s="9" t="str">
        <f t="shared" si="1"/>
        <v> Violation</v>
      </c>
      <c r="C601" s="9"/>
      <c r="D601" s="9"/>
      <c r="E601" s="9"/>
      <c r="F601" s="9"/>
      <c r="G601" s="9"/>
      <c r="H601" s="9"/>
      <c r="I601" s="9"/>
      <c r="J601" s="9"/>
      <c r="K601" s="9"/>
      <c r="L601" s="9"/>
      <c r="M601" s="9"/>
      <c r="N601" s="9"/>
      <c r="O601" s="9"/>
    </row>
    <row r="602">
      <c r="B602" s="9" t="str">
        <f t="shared" si="1"/>
        <v> Violation</v>
      </c>
      <c r="C602" s="9"/>
      <c r="D602" s="9"/>
      <c r="E602" s="9"/>
      <c r="F602" s="9"/>
      <c r="G602" s="9"/>
      <c r="H602" s="9"/>
      <c r="I602" s="9"/>
      <c r="J602" s="9"/>
      <c r="K602" s="9"/>
      <c r="L602" s="9"/>
      <c r="M602" s="9"/>
      <c r="N602" s="9"/>
      <c r="O602" s="9"/>
    </row>
    <row r="603">
      <c r="B603" s="9" t="str">
        <f t="shared" si="1"/>
        <v> Violation</v>
      </c>
      <c r="C603" s="9"/>
      <c r="D603" s="9"/>
      <c r="E603" s="9"/>
      <c r="F603" s="9"/>
      <c r="G603" s="9"/>
      <c r="H603" s="9"/>
      <c r="I603" s="9"/>
      <c r="J603" s="9"/>
      <c r="K603" s="9"/>
      <c r="L603" s="9"/>
      <c r="M603" s="9"/>
      <c r="N603" s="9"/>
      <c r="O603" s="9"/>
    </row>
    <row r="604">
      <c r="B604" s="9" t="str">
        <f t="shared" si="1"/>
        <v> Violation</v>
      </c>
      <c r="C604" s="9"/>
      <c r="D604" s="9"/>
      <c r="E604" s="9"/>
      <c r="F604" s="9"/>
      <c r="G604" s="9"/>
      <c r="H604" s="9"/>
      <c r="I604" s="9"/>
      <c r="J604" s="9"/>
      <c r="K604" s="9"/>
      <c r="L604" s="9"/>
      <c r="M604" s="9"/>
      <c r="N604" s="9"/>
      <c r="O604" s="9"/>
    </row>
    <row r="605">
      <c r="B605" s="9" t="str">
        <f t="shared" si="1"/>
        <v> Violation</v>
      </c>
      <c r="C605" s="9"/>
      <c r="D605" s="9"/>
      <c r="E605" s="9"/>
      <c r="F605" s="9"/>
      <c r="G605" s="9"/>
      <c r="H605" s="9"/>
      <c r="I605" s="9"/>
      <c r="J605" s="9"/>
      <c r="K605" s="9"/>
      <c r="L605" s="9"/>
      <c r="M605" s="9"/>
      <c r="N605" s="9"/>
      <c r="O605" s="9"/>
    </row>
    <row r="606">
      <c r="B606" s="9" t="str">
        <f t="shared" si="1"/>
        <v> Violation</v>
      </c>
      <c r="C606" s="9"/>
      <c r="D606" s="9"/>
      <c r="E606" s="9"/>
      <c r="F606" s="9"/>
      <c r="G606" s="9"/>
      <c r="H606" s="9"/>
      <c r="I606" s="9"/>
      <c r="J606" s="9"/>
      <c r="K606" s="9"/>
      <c r="L606" s="9"/>
      <c r="M606" s="9"/>
      <c r="N606" s="9"/>
      <c r="O606" s="9"/>
    </row>
    <row r="607">
      <c r="B607" s="9" t="str">
        <f t="shared" si="1"/>
        <v> Violation</v>
      </c>
      <c r="C607" s="9"/>
      <c r="D607" s="9"/>
      <c r="E607" s="9"/>
      <c r="F607" s="9"/>
      <c r="G607" s="9"/>
      <c r="H607" s="9"/>
      <c r="I607" s="9"/>
      <c r="J607" s="9"/>
      <c r="K607" s="9"/>
      <c r="L607" s="9"/>
      <c r="M607" s="9"/>
      <c r="N607" s="9"/>
      <c r="O607" s="9"/>
    </row>
    <row r="608">
      <c r="B608" s="9" t="str">
        <f t="shared" si="1"/>
        <v> Violation</v>
      </c>
      <c r="C608" s="9"/>
      <c r="D608" s="9"/>
      <c r="E608" s="9"/>
      <c r="F608" s="9"/>
      <c r="G608" s="9"/>
      <c r="H608" s="9"/>
      <c r="I608" s="9"/>
      <c r="J608" s="9"/>
      <c r="K608" s="9"/>
      <c r="L608" s="9"/>
      <c r="M608" s="9"/>
      <c r="N608" s="9"/>
      <c r="O608" s="9"/>
    </row>
    <row r="609">
      <c r="B609" s="9" t="str">
        <f t="shared" si="1"/>
        <v> Violation</v>
      </c>
      <c r="C609" s="9"/>
      <c r="D609" s="9"/>
      <c r="E609" s="9"/>
      <c r="F609" s="9"/>
      <c r="G609" s="9"/>
      <c r="H609" s="9"/>
      <c r="I609" s="9"/>
      <c r="J609" s="9"/>
      <c r="K609" s="9"/>
      <c r="L609" s="9"/>
      <c r="M609" s="9"/>
      <c r="N609" s="9"/>
      <c r="O609" s="9"/>
    </row>
    <row r="610">
      <c r="B610" s="9" t="str">
        <f t="shared" si="1"/>
        <v> Violation</v>
      </c>
      <c r="C610" s="9"/>
      <c r="D610" s="9"/>
      <c r="E610" s="9"/>
      <c r="F610" s="9"/>
      <c r="G610" s="9"/>
      <c r="H610" s="9"/>
      <c r="I610" s="9"/>
      <c r="J610" s="9"/>
      <c r="K610" s="9"/>
      <c r="L610" s="9"/>
      <c r="M610" s="9"/>
      <c r="N610" s="9"/>
      <c r="O610" s="9"/>
    </row>
    <row r="611">
      <c r="B611" s="9" t="str">
        <f t="shared" si="1"/>
        <v> Violation</v>
      </c>
      <c r="C611" s="9"/>
      <c r="D611" s="9"/>
      <c r="E611" s="9"/>
      <c r="F611" s="9"/>
      <c r="G611" s="9"/>
      <c r="H611" s="9"/>
      <c r="I611" s="9"/>
      <c r="J611" s="9"/>
      <c r="K611" s="9"/>
      <c r="L611" s="9"/>
      <c r="M611" s="9"/>
      <c r="N611" s="9"/>
      <c r="O611" s="9"/>
    </row>
    <row r="612">
      <c r="B612" s="9" t="str">
        <f t="shared" si="1"/>
        <v> Violation</v>
      </c>
      <c r="C612" s="9"/>
      <c r="D612" s="9"/>
      <c r="E612" s="9"/>
      <c r="F612" s="9"/>
      <c r="G612" s="9"/>
      <c r="H612" s="9"/>
      <c r="I612" s="9"/>
      <c r="J612" s="9"/>
      <c r="K612" s="9"/>
      <c r="L612" s="9"/>
      <c r="M612" s="9"/>
      <c r="N612" s="9"/>
      <c r="O612" s="9"/>
    </row>
    <row r="613">
      <c r="B613" s="9" t="str">
        <f t="shared" si="1"/>
        <v> Violation</v>
      </c>
      <c r="C613" s="9"/>
      <c r="D613" s="9"/>
      <c r="E613" s="9"/>
      <c r="F613" s="9"/>
      <c r="G613" s="9"/>
      <c r="H613" s="9"/>
      <c r="I613" s="9"/>
      <c r="J613" s="9"/>
      <c r="K613" s="9"/>
      <c r="L613" s="9"/>
      <c r="M613" s="9"/>
      <c r="N613" s="9"/>
      <c r="O613" s="9"/>
    </row>
    <row r="614">
      <c r="B614" s="9" t="str">
        <f t="shared" si="1"/>
        <v> Violation</v>
      </c>
      <c r="C614" s="9"/>
      <c r="D614" s="9"/>
      <c r="E614" s="9"/>
      <c r="F614" s="9"/>
      <c r="G614" s="9"/>
      <c r="H614" s="9"/>
      <c r="I614" s="9"/>
      <c r="J614" s="9"/>
      <c r="K614" s="9"/>
      <c r="L614" s="9"/>
      <c r="M614" s="9"/>
      <c r="N614" s="9"/>
      <c r="O614" s="9"/>
    </row>
    <row r="615">
      <c r="B615" s="9" t="str">
        <f t="shared" si="1"/>
        <v> Violation</v>
      </c>
      <c r="C615" s="9"/>
      <c r="D615" s="9"/>
      <c r="E615" s="9"/>
      <c r="F615" s="9"/>
      <c r="G615" s="9"/>
      <c r="H615" s="9"/>
      <c r="I615" s="9"/>
      <c r="J615" s="9"/>
      <c r="K615" s="9"/>
      <c r="L615" s="9"/>
      <c r="M615" s="9"/>
      <c r="N615" s="9"/>
      <c r="O615" s="9"/>
    </row>
    <row r="616">
      <c r="B616" s="9" t="str">
        <f t="shared" si="1"/>
        <v> Violation</v>
      </c>
      <c r="C616" s="9"/>
      <c r="D616" s="9"/>
      <c r="E616" s="9"/>
      <c r="F616" s="9"/>
      <c r="G616" s="9"/>
      <c r="H616" s="9"/>
      <c r="I616" s="9"/>
      <c r="J616" s="9"/>
      <c r="K616" s="9"/>
      <c r="L616" s="9"/>
      <c r="M616" s="9"/>
      <c r="N616" s="9"/>
      <c r="O616" s="9"/>
    </row>
    <row r="617">
      <c r="B617" s="9" t="str">
        <f t="shared" si="1"/>
        <v> Violation</v>
      </c>
      <c r="C617" s="9"/>
      <c r="D617" s="9"/>
      <c r="E617" s="9"/>
      <c r="F617" s="9"/>
      <c r="G617" s="9"/>
      <c r="H617" s="9"/>
      <c r="I617" s="9"/>
      <c r="J617" s="9"/>
      <c r="K617" s="9"/>
      <c r="L617" s="9"/>
      <c r="M617" s="9"/>
      <c r="N617" s="9"/>
      <c r="O617" s="9"/>
    </row>
    <row r="618">
      <c r="B618" s="9" t="str">
        <f t="shared" si="1"/>
        <v> Violation</v>
      </c>
      <c r="C618" s="9"/>
      <c r="D618" s="9"/>
      <c r="E618" s="9"/>
      <c r="F618" s="9"/>
      <c r="G618" s="9"/>
      <c r="H618" s="9"/>
      <c r="I618" s="9"/>
      <c r="J618" s="9"/>
      <c r="K618" s="9"/>
      <c r="L618" s="9"/>
      <c r="M618" s="9"/>
      <c r="N618" s="9"/>
      <c r="O618" s="9"/>
    </row>
    <row r="619">
      <c r="B619" s="9" t="str">
        <f t="shared" si="1"/>
        <v> Violation</v>
      </c>
      <c r="C619" s="9"/>
      <c r="D619" s="9"/>
      <c r="E619" s="9"/>
      <c r="F619" s="9"/>
      <c r="G619" s="9"/>
      <c r="H619" s="9"/>
      <c r="I619" s="9"/>
      <c r="J619" s="9"/>
      <c r="K619" s="9"/>
      <c r="L619" s="9"/>
      <c r="M619" s="9"/>
      <c r="N619" s="9"/>
      <c r="O619" s="9"/>
    </row>
    <row r="620">
      <c r="B620" s="9" t="str">
        <f t="shared" si="1"/>
        <v> Violation</v>
      </c>
      <c r="C620" s="9"/>
      <c r="D620" s="9"/>
      <c r="E620" s="9"/>
      <c r="F620" s="9"/>
      <c r="G620" s="9"/>
      <c r="H620" s="9"/>
      <c r="I620" s="9"/>
      <c r="J620" s="9"/>
      <c r="K620" s="9"/>
      <c r="L620" s="9"/>
      <c r="M620" s="9"/>
      <c r="N620" s="9"/>
      <c r="O620" s="9"/>
    </row>
    <row r="621">
      <c r="B621" s="9" t="str">
        <f t="shared" si="1"/>
        <v> Violation</v>
      </c>
      <c r="C621" s="9"/>
      <c r="D621" s="9"/>
      <c r="E621" s="9"/>
      <c r="F621" s="9"/>
      <c r="G621" s="9"/>
      <c r="H621" s="9"/>
      <c r="I621" s="9"/>
      <c r="J621" s="9"/>
      <c r="K621" s="9"/>
      <c r="L621" s="9"/>
      <c r="M621" s="9"/>
      <c r="N621" s="9"/>
      <c r="O621" s="9"/>
    </row>
    <row r="622">
      <c r="B622" s="9" t="str">
        <f t="shared" si="1"/>
        <v> Violation</v>
      </c>
      <c r="C622" s="9"/>
      <c r="D622" s="9"/>
      <c r="E622" s="9"/>
      <c r="F622" s="9"/>
      <c r="G622" s="9"/>
      <c r="H622" s="9"/>
      <c r="I622" s="9"/>
      <c r="J622" s="9"/>
      <c r="K622" s="9"/>
      <c r="L622" s="9"/>
      <c r="M622" s="9"/>
      <c r="N622" s="9"/>
      <c r="O622" s="9"/>
    </row>
    <row r="623">
      <c r="B623" s="9" t="str">
        <f t="shared" si="1"/>
        <v> Violation</v>
      </c>
      <c r="C623" s="9"/>
      <c r="D623" s="9"/>
      <c r="E623" s="9"/>
      <c r="F623" s="9"/>
      <c r="G623" s="9"/>
      <c r="H623" s="9"/>
      <c r="I623" s="9"/>
      <c r="J623" s="9"/>
      <c r="K623" s="9"/>
      <c r="L623" s="9"/>
      <c r="M623" s="9"/>
      <c r="N623" s="9"/>
      <c r="O623" s="9"/>
    </row>
    <row r="624">
      <c r="B624" s="9" t="str">
        <f t="shared" si="1"/>
        <v> Violation</v>
      </c>
      <c r="C624" s="9"/>
      <c r="D624" s="9"/>
      <c r="E624" s="9"/>
      <c r="F624" s="9"/>
      <c r="G624" s="9"/>
      <c r="H624" s="9"/>
      <c r="I624" s="9"/>
      <c r="J624" s="9"/>
      <c r="K624" s="9"/>
      <c r="L624" s="9"/>
      <c r="M624" s="9"/>
      <c r="N624" s="9"/>
      <c r="O624" s="9"/>
    </row>
    <row r="625">
      <c r="B625" s="9" t="str">
        <f t="shared" si="1"/>
        <v> Violation</v>
      </c>
      <c r="C625" s="9"/>
      <c r="D625" s="9"/>
      <c r="E625" s="9"/>
      <c r="F625" s="9"/>
      <c r="G625" s="9"/>
      <c r="H625" s="9"/>
      <c r="I625" s="9"/>
      <c r="J625" s="9"/>
      <c r="K625" s="9"/>
      <c r="L625" s="9"/>
      <c r="M625" s="9"/>
      <c r="N625" s="9"/>
      <c r="O625" s="9"/>
    </row>
    <row r="626">
      <c r="B626" s="9" t="str">
        <f t="shared" si="1"/>
        <v> Violation</v>
      </c>
      <c r="C626" s="9"/>
      <c r="D626" s="9"/>
      <c r="E626" s="9"/>
      <c r="F626" s="9"/>
      <c r="G626" s="9"/>
      <c r="H626" s="9"/>
      <c r="I626" s="9"/>
      <c r="J626" s="9"/>
      <c r="K626" s="9"/>
      <c r="L626" s="9"/>
      <c r="M626" s="9"/>
      <c r="N626" s="9"/>
      <c r="O626" s="9"/>
    </row>
    <row r="627">
      <c r="B627" s="9" t="str">
        <f t="shared" si="1"/>
        <v> Violation</v>
      </c>
      <c r="C627" s="9"/>
      <c r="D627" s="9"/>
      <c r="E627" s="9"/>
      <c r="F627" s="9"/>
      <c r="G627" s="9"/>
      <c r="H627" s="9"/>
      <c r="I627" s="9"/>
      <c r="J627" s="9"/>
      <c r="K627" s="9"/>
      <c r="L627" s="9"/>
      <c r="M627" s="9"/>
      <c r="N627" s="9"/>
      <c r="O627" s="9"/>
    </row>
    <row r="628">
      <c r="B628" s="9" t="str">
        <f t="shared" si="1"/>
        <v> Violation</v>
      </c>
      <c r="C628" s="9"/>
      <c r="D628" s="9"/>
      <c r="E628" s="9"/>
      <c r="F628" s="9"/>
      <c r="G628" s="9"/>
      <c r="H628" s="9"/>
      <c r="I628" s="9"/>
      <c r="J628" s="9"/>
      <c r="K628" s="9"/>
      <c r="L628" s="9"/>
      <c r="M628" s="9"/>
      <c r="N628" s="9"/>
      <c r="O628" s="9"/>
    </row>
    <row r="629">
      <c r="B629" s="9" t="str">
        <f t="shared" si="1"/>
        <v> Violation</v>
      </c>
      <c r="C629" s="9"/>
      <c r="D629" s="9"/>
      <c r="E629" s="9"/>
      <c r="F629" s="9"/>
      <c r="G629" s="9"/>
      <c r="H629" s="9"/>
      <c r="I629" s="9"/>
      <c r="J629" s="9"/>
      <c r="K629" s="9"/>
      <c r="L629" s="9"/>
      <c r="M629" s="9"/>
      <c r="N629" s="9"/>
      <c r="O629" s="9"/>
    </row>
    <row r="630">
      <c r="B630" s="9" t="str">
        <f t="shared" si="1"/>
        <v> Violation</v>
      </c>
      <c r="C630" s="9"/>
      <c r="D630" s="9"/>
      <c r="E630" s="9"/>
      <c r="F630" s="9"/>
      <c r="G630" s="9"/>
      <c r="H630" s="9"/>
      <c r="I630" s="9"/>
      <c r="J630" s="9"/>
      <c r="K630" s="9"/>
      <c r="L630" s="9"/>
      <c r="M630" s="9"/>
      <c r="N630" s="9"/>
      <c r="O630" s="9"/>
    </row>
    <row r="631">
      <c r="B631" s="9" t="str">
        <f t="shared" si="1"/>
        <v> Violation</v>
      </c>
      <c r="C631" s="9"/>
      <c r="D631" s="9"/>
      <c r="E631" s="9"/>
      <c r="F631" s="9"/>
      <c r="G631" s="9"/>
      <c r="H631" s="9"/>
      <c r="I631" s="9"/>
      <c r="J631" s="9"/>
      <c r="K631" s="9"/>
      <c r="L631" s="9"/>
      <c r="M631" s="9"/>
      <c r="N631" s="9"/>
      <c r="O631" s="9"/>
    </row>
    <row r="632">
      <c r="B632" s="9" t="str">
        <f t="shared" si="1"/>
        <v> Violation</v>
      </c>
      <c r="C632" s="9"/>
      <c r="D632" s="9"/>
      <c r="E632" s="9"/>
      <c r="F632" s="9"/>
      <c r="G632" s="9"/>
      <c r="H632" s="9"/>
      <c r="I632" s="9"/>
      <c r="J632" s="9"/>
      <c r="K632" s="9"/>
      <c r="L632" s="9"/>
      <c r="M632" s="9"/>
      <c r="N632" s="9"/>
      <c r="O632" s="9"/>
    </row>
    <row r="633">
      <c r="B633" s="9" t="str">
        <f t="shared" si="1"/>
        <v> Violation</v>
      </c>
      <c r="C633" s="9"/>
      <c r="D633" s="9"/>
      <c r="E633" s="9"/>
      <c r="F633" s="9"/>
      <c r="G633" s="9"/>
      <c r="H633" s="9"/>
      <c r="I633" s="9"/>
      <c r="J633" s="9"/>
      <c r="K633" s="9"/>
      <c r="L633" s="9"/>
      <c r="M633" s="9"/>
      <c r="N633" s="9"/>
      <c r="O633" s="9"/>
    </row>
    <row r="634">
      <c r="B634" s="9" t="str">
        <f t="shared" si="1"/>
        <v> Violation</v>
      </c>
      <c r="C634" s="9"/>
      <c r="D634" s="9"/>
      <c r="E634" s="9"/>
      <c r="F634" s="9"/>
      <c r="G634" s="9"/>
      <c r="H634" s="9"/>
      <c r="I634" s="9"/>
      <c r="J634" s="9"/>
      <c r="K634" s="9"/>
      <c r="L634" s="9"/>
      <c r="M634" s="9"/>
      <c r="N634" s="9"/>
      <c r="O634" s="9"/>
    </row>
    <row r="635">
      <c r="B635" s="9" t="str">
        <f t="shared" si="1"/>
        <v> Violation</v>
      </c>
      <c r="C635" s="9"/>
      <c r="D635" s="9"/>
      <c r="E635" s="9"/>
      <c r="F635" s="9"/>
      <c r="G635" s="9"/>
      <c r="H635" s="9"/>
      <c r="I635" s="9"/>
      <c r="J635" s="9"/>
      <c r="K635" s="9"/>
      <c r="L635" s="9"/>
      <c r="M635" s="9"/>
      <c r="N635" s="9"/>
      <c r="O635" s="9"/>
    </row>
    <row r="636">
      <c r="B636" s="9" t="str">
        <f t="shared" si="1"/>
        <v> Violation</v>
      </c>
      <c r="C636" s="9"/>
      <c r="D636" s="9"/>
      <c r="E636" s="9"/>
      <c r="F636" s="9"/>
      <c r="G636" s="9"/>
      <c r="H636" s="9"/>
      <c r="I636" s="9"/>
      <c r="J636" s="9"/>
      <c r="K636" s="9"/>
      <c r="L636" s="9"/>
      <c r="M636" s="9"/>
      <c r="N636" s="9"/>
      <c r="O636" s="9"/>
    </row>
    <row r="637">
      <c r="B637" s="9" t="str">
        <f t="shared" si="1"/>
        <v> Violation</v>
      </c>
      <c r="C637" s="9"/>
      <c r="D637" s="9"/>
      <c r="E637" s="9"/>
      <c r="F637" s="9"/>
      <c r="G637" s="9"/>
      <c r="H637" s="9"/>
      <c r="I637" s="9"/>
      <c r="J637" s="9"/>
      <c r="K637" s="9"/>
      <c r="L637" s="9"/>
      <c r="M637" s="9"/>
      <c r="N637" s="9"/>
      <c r="O637" s="9"/>
    </row>
    <row r="638">
      <c r="B638" s="9" t="str">
        <f t="shared" si="1"/>
        <v> Violation</v>
      </c>
      <c r="C638" s="9"/>
      <c r="D638" s="9"/>
      <c r="E638" s="9"/>
      <c r="F638" s="9"/>
      <c r="G638" s="9"/>
      <c r="H638" s="9"/>
      <c r="I638" s="9"/>
      <c r="J638" s="9"/>
      <c r="K638" s="9"/>
      <c r="L638" s="9"/>
      <c r="M638" s="9"/>
      <c r="N638" s="9"/>
      <c r="O638" s="9"/>
    </row>
    <row r="639">
      <c r="B639" s="9" t="str">
        <f t="shared" si="1"/>
        <v> Violation</v>
      </c>
      <c r="C639" s="9"/>
      <c r="D639" s="9"/>
      <c r="E639" s="9"/>
      <c r="F639" s="9"/>
      <c r="G639" s="9"/>
      <c r="H639" s="9"/>
      <c r="I639" s="9"/>
      <c r="J639" s="9"/>
      <c r="K639" s="9"/>
      <c r="L639" s="9"/>
      <c r="M639" s="9"/>
      <c r="N639" s="9"/>
      <c r="O639" s="9"/>
    </row>
    <row r="640">
      <c r="B640" s="9" t="str">
        <f t="shared" si="1"/>
        <v> Violation</v>
      </c>
      <c r="C640" s="9"/>
      <c r="D640" s="9"/>
      <c r="E640" s="9"/>
      <c r="F640" s="9"/>
      <c r="G640" s="9"/>
      <c r="H640" s="9"/>
      <c r="I640" s="9"/>
      <c r="J640" s="9"/>
      <c r="K640" s="9"/>
      <c r="L640" s="9"/>
      <c r="M640" s="9"/>
      <c r="N640" s="9"/>
      <c r="O640" s="9"/>
    </row>
    <row r="641">
      <c r="B641" s="9" t="str">
        <f t="shared" si="1"/>
        <v> Violation</v>
      </c>
      <c r="C641" s="9"/>
      <c r="D641" s="9"/>
      <c r="E641" s="9"/>
      <c r="F641" s="9"/>
      <c r="G641" s="9"/>
      <c r="H641" s="9"/>
      <c r="I641" s="9"/>
      <c r="J641" s="9"/>
      <c r="K641" s="9"/>
      <c r="L641" s="9"/>
      <c r="M641" s="9"/>
      <c r="N641" s="9"/>
      <c r="O641" s="9"/>
    </row>
    <row r="642">
      <c r="B642" s="9" t="str">
        <f t="shared" si="1"/>
        <v> Violation</v>
      </c>
      <c r="C642" s="9"/>
      <c r="D642" s="9"/>
      <c r="E642" s="9"/>
      <c r="F642" s="9"/>
      <c r="G642" s="9"/>
      <c r="H642" s="9"/>
      <c r="I642" s="9"/>
      <c r="J642" s="9"/>
      <c r="K642" s="9"/>
      <c r="L642" s="9"/>
      <c r="M642" s="9"/>
      <c r="N642" s="9"/>
      <c r="O642" s="9"/>
    </row>
    <row r="643">
      <c r="B643" s="9" t="str">
        <f t="shared" si="1"/>
        <v> Violation</v>
      </c>
      <c r="C643" s="9"/>
      <c r="D643" s="9"/>
      <c r="E643" s="9"/>
      <c r="F643" s="9"/>
      <c r="G643" s="9"/>
      <c r="H643" s="9"/>
      <c r="I643" s="9"/>
      <c r="J643" s="9"/>
      <c r="K643" s="9"/>
      <c r="L643" s="9"/>
      <c r="M643" s="9"/>
      <c r="N643" s="9"/>
      <c r="O643" s="9"/>
    </row>
    <row r="644">
      <c r="B644" s="9" t="str">
        <f t="shared" si="1"/>
        <v> Violation</v>
      </c>
      <c r="C644" s="9"/>
      <c r="D644" s="9"/>
      <c r="E644" s="9"/>
      <c r="F644" s="9"/>
      <c r="G644" s="9"/>
      <c r="H644" s="9"/>
      <c r="I644" s="9"/>
      <c r="J644" s="9"/>
      <c r="K644" s="9"/>
      <c r="L644" s="9"/>
      <c r="M644" s="9"/>
      <c r="N644" s="9"/>
      <c r="O644" s="9"/>
    </row>
    <row r="645">
      <c r="B645" s="9" t="str">
        <f t="shared" si="1"/>
        <v> Violation</v>
      </c>
      <c r="C645" s="9"/>
      <c r="D645" s="9"/>
      <c r="E645" s="9"/>
      <c r="F645" s="9"/>
      <c r="G645" s="9"/>
      <c r="H645" s="9"/>
      <c r="I645" s="9"/>
      <c r="J645" s="9"/>
      <c r="K645" s="9"/>
      <c r="L645" s="9"/>
      <c r="M645" s="9"/>
      <c r="N645" s="9"/>
      <c r="O645" s="9"/>
    </row>
    <row r="646">
      <c r="B646" s="9" t="str">
        <f t="shared" si="1"/>
        <v> Violation</v>
      </c>
      <c r="C646" s="9"/>
      <c r="D646" s="9"/>
      <c r="E646" s="9"/>
      <c r="F646" s="9"/>
      <c r="G646" s="9"/>
      <c r="H646" s="9"/>
      <c r="I646" s="9"/>
      <c r="J646" s="9"/>
      <c r="K646" s="9"/>
      <c r="L646" s="9"/>
      <c r="M646" s="9"/>
      <c r="N646" s="9"/>
      <c r="O646" s="9"/>
    </row>
    <row r="647">
      <c r="B647" s="9" t="str">
        <f t="shared" si="1"/>
        <v> Violation</v>
      </c>
      <c r="C647" s="9"/>
      <c r="D647" s="9"/>
      <c r="E647" s="9"/>
      <c r="F647" s="9"/>
      <c r="G647" s="9"/>
      <c r="H647" s="9"/>
      <c r="I647" s="9"/>
      <c r="J647" s="9"/>
      <c r="K647" s="9"/>
      <c r="L647" s="9"/>
      <c r="M647" s="9"/>
      <c r="N647" s="9"/>
      <c r="O647" s="9"/>
    </row>
    <row r="648">
      <c r="B648" s="9" t="str">
        <f t="shared" si="1"/>
        <v> Violation</v>
      </c>
      <c r="C648" s="9"/>
      <c r="D648" s="9"/>
      <c r="E648" s="9"/>
      <c r="F648" s="9"/>
      <c r="G648" s="9"/>
      <c r="H648" s="9"/>
      <c r="I648" s="9"/>
      <c r="J648" s="9"/>
      <c r="K648" s="9"/>
      <c r="L648" s="9"/>
      <c r="M648" s="9"/>
      <c r="N648" s="9"/>
      <c r="O648" s="9"/>
    </row>
    <row r="649">
      <c r="B649" s="9" t="str">
        <f t="shared" si="1"/>
        <v> Violation</v>
      </c>
      <c r="C649" s="9"/>
      <c r="D649" s="9"/>
      <c r="E649" s="9"/>
      <c r="F649" s="9"/>
      <c r="G649" s="9"/>
      <c r="H649" s="9"/>
      <c r="I649" s="9"/>
      <c r="J649" s="9"/>
      <c r="K649" s="9"/>
      <c r="L649" s="9"/>
      <c r="M649" s="9"/>
      <c r="N649" s="9"/>
      <c r="O649" s="9"/>
    </row>
    <row r="650">
      <c r="B650" s="9" t="str">
        <f t="shared" si="1"/>
        <v> Violation</v>
      </c>
      <c r="C650" s="9"/>
      <c r="D650" s="9"/>
      <c r="E650" s="9"/>
      <c r="F650" s="9"/>
      <c r="G650" s="9"/>
      <c r="H650" s="9"/>
      <c r="I650" s="9"/>
      <c r="J650" s="9"/>
      <c r="K650" s="9"/>
      <c r="L650" s="9"/>
      <c r="M650" s="9"/>
      <c r="N650" s="9"/>
      <c r="O650" s="9"/>
    </row>
    <row r="651">
      <c r="B651" s="9" t="str">
        <f t="shared" si="1"/>
        <v> Violation</v>
      </c>
      <c r="C651" s="9"/>
      <c r="D651" s="9"/>
      <c r="E651" s="9"/>
      <c r="F651" s="9"/>
      <c r="G651" s="9"/>
      <c r="H651" s="9"/>
      <c r="I651" s="9"/>
      <c r="J651" s="9"/>
      <c r="K651" s="9"/>
      <c r="L651" s="9"/>
      <c r="M651" s="9"/>
      <c r="N651" s="9"/>
      <c r="O651" s="9"/>
    </row>
    <row r="652">
      <c r="B652" s="9" t="str">
        <f t="shared" si="1"/>
        <v> Violation</v>
      </c>
      <c r="C652" s="9"/>
      <c r="D652" s="9"/>
      <c r="E652" s="9"/>
      <c r="F652" s="9"/>
      <c r="G652" s="9"/>
      <c r="H652" s="9"/>
      <c r="I652" s="9"/>
      <c r="J652" s="9"/>
      <c r="K652" s="9"/>
      <c r="L652" s="9"/>
      <c r="M652" s="9"/>
      <c r="N652" s="9"/>
      <c r="O652" s="9"/>
    </row>
    <row r="653">
      <c r="B653" s="9" t="str">
        <f t="shared" si="1"/>
        <v> Violation</v>
      </c>
      <c r="C653" s="9"/>
      <c r="D653" s="9"/>
      <c r="E653" s="9"/>
      <c r="F653" s="9"/>
      <c r="G653" s="9"/>
      <c r="H653" s="9"/>
      <c r="I653" s="9"/>
      <c r="J653" s="9"/>
      <c r="K653" s="9"/>
      <c r="L653" s="9"/>
      <c r="M653" s="9"/>
      <c r="N653" s="9"/>
      <c r="O653" s="9"/>
    </row>
    <row r="654">
      <c r="B654" s="9" t="str">
        <f t="shared" si="1"/>
        <v> Violation</v>
      </c>
      <c r="C654" s="9"/>
      <c r="D654" s="9"/>
      <c r="E654" s="9"/>
      <c r="F654" s="9"/>
      <c r="G654" s="9"/>
      <c r="H654" s="9"/>
      <c r="I654" s="9"/>
      <c r="J654" s="9"/>
      <c r="K654" s="9"/>
      <c r="L654" s="9"/>
      <c r="M654" s="9"/>
      <c r="N654" s="9"/>
      <c r="O654" s="9"/>
    </row>
    <row r="655">
      <c r="B655" s="9" t="str">
        <f t="shared" si="1"/>
        <v> Violation</v>
      </c>
      <c r="C655" s="9"/>
      <c r="D655" s="9"/>
      <c r="E655" s="9"/>
      <c r="F655" s="9"/>
      <c r="G655" s="9"/>
      <c r="H655" s="9"/>
      <c r="I655" s="9"/>
      <c r="J655" s="9"/>
      <c r="K655" s="9"/>
      <c r="L655" s="9"/>
      <c r="M655" s="9"/>
      <c r="N655" s="9"/>
      <c r="O655" s="9"/>
    </row>
    <row r="656">
      <c r="B656" s="9" t="str">
        <f t="shared" si="1"/>
        <v> Violation</v>
      </c>
      <c r="C656" s="9"/>
      <c r="D656" s="9"/>
      <c r="E656" s="9"/>
      <c r="F656" s="9"/>
      <c r="G656" s="9"/>
      <c r="H656" s="9"/>
      <c r="I656" s="9"/>
      <c r="J656" s="9"/>
      <c r="K656" s="9"/>
      <c r="L656" s="9"/>
      <c r="M656" s="9"/>
      <c r="N656" s="9"/>
      <c r="O656" s="9"/>
    </row>
    <row r="657">
      <c r="B657" s="9" t="str">
        <f t="shared" si="1"/>
        <v> Violation</v>
      </c>
      <c r="C657" s="9"/>
      <c r="D657" s="9"/>
      <c r="E657" s="9"/>
      <c r="F657" s="9"/>
      <c r="G657" s="9"/>
      <c r="H657" s="9"/>
      <c r="I657" s="9"/>
      <c r="J657" s="9"/>
      <c r="K657" s="9"/>
      <c r="L657" s="9"/>
      <c r="M657" s="9"/>
      <c r="N657" s="9"/>
      <c r="O657" s="9"/>
    </row>
    <row r="658">
      <c r="B658" s="9" t="str">
        <f t="shared" si="1"/>
        <v> Violation</v>
      </c>
      <c r="C658" s="9"/>
      <c r="D658" s="9"/>
      <c r="E658" s="9"/>
      <c r="F658" s="9"/>
      <c r="G658" s="9"/>
      <c r="H658" s="9"/>
      <c r="I658" s="9"/>
      <c r="J658" s="9"/>
      <c r="K658" s="9"/>
      <c r="L658" s="9"/>
      <c r="M658" s="9"/>
      <c r="N658" s="9"/>
      <c r="O658" s="9"/>
    </row>
    <row r="659">
      <c r="B659" s="9" t="str">
        <f t="shared" si="1"/>
        <v> Violation</v>
      </c>
      <c r="C659" s="9"/>
      <c r="D659" s="9"/>
      <c r="E659" s="9"/>
      <c r="F659" s="9"/>
      <c r="G659" s="9"/>
      <c r="H659" s="9"/>
      <c r="I659" s="9"/>
      <c r="J659" s="9"/>
      <c r="K659" s="9"/>
      <c r="L659" s="9"/>
      <c r="M659" s="9"/>
      <c r="N659" s="9"/>
      <c r="O659" s="9"/>
    </row>
    <row r="660">
      <c r="B660" s="9" t="str">
        <f t="shared" si="1"/>
        <v> Violation</v>
      </c>
      <c r="C660" s="9"/>
      <c r="D660" s="9"/>
      <c r="E660" s="9"/>
      <c r="F660" s="9"/>
      <c r="G660" s="9"/>
      <c r="H660" s="9"/>
      <c r="I660" s="9"/>
      <c r="J660" s="9"/>
      <c r="K660" s="9"/>
      <c r="L660" s="9"/>
      <c r="M660" s="9"/>
      <c r="N660" s="9"/>
      <c r="O660" s="9"/>
    </row>
    <row r="661">
      <c r="B661" s="9" t="str">
        <f t="shared" si="1"/>
        <v> Violation</v>
      </c>
      <c r="C661" s="9"/>
      <c r="D661" s="9"/>
      <c r="E661" s="9"/>
      <c r="F661" s="9"/>
      <c r="G661" s="9"/>
      <c r="H661" s="9"/>
      <c r="I661" s="9"/>
      <c r="J661" s="9"/>
      <c r="K661" s="9"/>
      <c r="L661" s="9"/>
      <c r="M661" s="9"/>
      <c r="N661" s="9"/>
      <c r="O661" s="9"/>
    </row>
    <row r="662">
      <c r="B662" s="9" t="str">
        <f t="shared" si="1"/>
        <v> Violation</v>
      </c>
      <c r="C662" s="9"/>
      <c r="D662" s="9"/>
      <c r="E662" s="9"/>
      <c r="F662" s="9"/>
      <c r="G662" s="9"/>
      <c r="H662" s="9"/>
      <c r="I662" s="9"/>
      <c r="J662" s="9"/>
      <c r="K662" s="9"/>
      <c r="L662" s="9"/>
      <c r="M662" s="9"/>
      <c r="N662" s="9"/>
      <c r="O662" s="9"/>
    </row>
    <row r="663">
      <c r="B663" s="9" t="str">
        <f t="shared" si="1"/>
        <v> Violation</v>
      </c>
      <c r="C663" s="9"/>
      <c r="D663" s="9"/>
      <c r="E663" s="9"/>
      <c r="F663" s="9"/>
      <c r="G663" s="9"/>
      <c r="H663" s="9"/>
      <c r="I663" s="9"/>
      <c r="J663" s="9"/>
      <c r="K663" s="9"/>
      <c r="L663" s="9"/>
      <c r="M663" s="9"/>
      <c r="N663" s="9"/>
      <c r="O663" s="9"/>
    </row>
    <row r="664">
      <c r="B664" s="9" t="str">
        <f t="shared" si="1"/>
        <v> Violation</v>
      </c>
      <c r="C664" s="9"/>
      <c r="D664" s="9"/>
      <c r="E664" s="9"/>
      <c r="F664" s="9"/>
      <c r="G664" s="9"/>
      <c r="H664" s="9"/>
      <c r="I664" s="9"/>
      <c r="J664" s="9"/>
      <c r="K664" s="9"/>
      <c r="L664" s="9"/>
      <c r="M664" s="9"/>
      <c r="N664" s="9"/>
      <c r="O664" s="9"/>
    </row>
    <row r="665">
      <c r="B665" s="9" t="str">
        <f t="shared" si="1"/>
        <v> Violation</v>
      </c>
      <c r="C665" s="9"/>
      <c r="D665" s="9"/>
      <c r="E665" s="9"/>
      <c r="F665" s="9"/>
      <c r="G665" s="9"/>
      <c r="H665" s="9"/>
      <c r="I665" s="9"/>
      <c r="J665" s="9"/>
      <c r="K665" s="9"/>
      <c r="L665" s="9"/>
      <c r="M665" s="9"/>
      <c r="N665" s="9"/>
      <c r="O665" s="9"/>
    </row>
    <row r="666">
      <c r="B666" s="9" t="str">
        <f t="shared" si="1"/>
        <v> Violation</v>
      </c>
      <c r="C666" s="9"/>
      <c r="D666" s="9"/>
      <c r="E666" s="9"/>
      <c r="F666" s="9"/>
      <c r="G666" s="9"/>
      <c r="H666" s="9"/>
      <c r="I666" s="9"/>
      <c r="J666" s="9"/>
      <c r="K666" s="9"/>
      <c r="L666" s="9"/>
      <c r="M666" s="9"/>
      <c r="N666" s="9"/>
      <c r="O666" s="9"/>
    </row>
    <row r="667">
      <c r="B667" s="9" t="str">
        <f t="shared" si="1"/>
        <v> Violation</v>
      </c>
      <c r="C667" s="9"/>
      <c r="D667" s="9"/>
      <c r="E667" s="9"/>
      <c r="F667" s="9"/>
      <c r="G667" s="9"/>
      <c r="H667" s="9"/>
      <c r="I667" s="9"/>
      <c r="J667" s="9"/>
      <c r="K667" s="9"/>
      <c r="L667" s="9"/>
      <c r="M667" s="9"/>
      <c r="N667" s="9"/>
      <c r="O667" s="9"/>
    </row>
    <row r="668">
      <c r="B668" s="9" t="str">
        <f t="shared" si="1"/>
        <v> Violation</v>
      </c>
      <c r="C668" s="9"/>
      <c r="D668" s="9"/>
      <c r="E668" s="9"/>
      <c r="F668" s="9"/>
      <c r="G668" s="9"/>
      <c r="H668" s="9"/>
      <c r="I668" s="9"/>
      <c r="J668" s="9"/>
      <c r="K668" s="9"/>
      <c r="L668" s="9"/>
      <c r="M668" s="9"/>
      <c r="N668" s="9"/>
      <c r="O668" s="9"/>
    </row>
    <row r="669">
      <c r="B669" s="9" t="str">
        <f t="shared" si="1"/>
        <v> Violation</v>
      </c>
      <c r="C669" s="9"/>
      <c r="D669" s="9"/>
      <c r="E669" s="9"/>
      <c r="F669" s="9"/>
      <c r="G669" s="9"/>
      <c r="H669" s="9"/>
      <c r="I669" s="9"/>
      <c r="J669" s="9"/>
      <c r="K669" s="9"/>
      <c r="L669" s="9"/>
      <c r="M669" s="9"/>
      <c r="N669" s="9"/>
      <c r="O669" s="9"/>
    </row>
    <row r="670">
      <c r="B670" s="9" t="str">
        <f t="shared" si="1"/>
        <v> Violation</v>
      </c>
      <c r="C670" s="9"/>
      <c r="D670" s="9"/>
      <c r="E670" s="9"/>
      <c r="F670" s="9"/>
      <c r="G670" s="9"/>
      <c r="H670" s="9"/>
      <c r="I670" s="9"/>
      <c r="J670" s="9"/>
      <c r="K670" s="9"/>
      <c r="L670" s="9"/>
      <c r="M670" s="9"/>
      <c r="N670" s="9"/>
      <c r="O670" s="9"/>
    </row>
    <row r="671">
      <c r="B671" s="9" t="str">
        <f t="shared" si="1"/>
        <v> Violation</v>
      </c>
      <c r="C671" s="9"/>
      <c r="D671" s="9"/>
      <c r="E671" s="9"/>
      <c r="F671" s="9"/>
      <c r="G671" s="9"/>
      <c r="H671" s="9"/>
      <c r="I671" s="9"/>
      <c r="J671" s="9"/>
      <c r="K671" s="9"/>
      <c r="L671" s="9"/>
      <c r="M671" s="9"/>
      <c r="N671" s="9"/>
      <c r="O671" s="9"/>
    </row>
    <row r="672">
      <c r="B672" s="9" t="str">
        <f t="shared" si="1"/>
        <v> Violation</v>
      </c>
      <c r="C672" s="9"/>
      <c r="D672" s="9"/>
      <c r="E672" s="9"/>
      <c r="F672" s="9"/>
      <c r="G672" s="9"/>
      <c r="H672" s="9"/>
      <c r="I672" s="9"/>
      <c r="J672" s="9"/>
      <c r="K672" s="9"/>
      <c r="L672" s="9"/>
      <c r="M672" s="9"/>
      <c r="N672" s="9"/>
      <c r="O672" s="9"/>
    </row>
    <row r="673">
      <c r="B673" s="9" t="str">
        <f t="shared" si="1"/>
        <v> Violation</v>
      </c>
      <c r="C673" s="9"/>
      <c r="D673" s="9"/>
      <c r="E673" s="9"/>
      <c r="F673" s="9"/>
      <c r="G673" s="9"/>
      <c r="H673" s="9"/>
      <c r="I673" s="9"/>
      <c r="J673" s="9"/>
      <c r="K673" s="9"/>
      <c r="L673" s="9"/>
      <c r="M673" s="9"/>
      <c r="N673" s="9"/>
      <c r="O673" s="9"/>
    </row>
    <row r="674">
      <c r="B674" s="9" t="str">
        <f t="shared" si="1"/>
        <v> Violation</v>
      </c>
      <c r="C674" s="9"/>
      <c r="D674" s="9"/>
      <c r="E674" s="9"/>
      <c r="F674" s="9"/>
      <c r="G674" s="9"/>
      <c r="H674" s="9"/>
      <c r="I674" s="9"/>
      <c r="J674" s="9"/>
      <c r="K674" s="9"/>
      <c r="L674" s="9"/>
      <c r="M674" s="9"/>
      <c r="N674" s="9"/>
      <c r="O674" s="9"/>
    </row>
    <row r="675">
      <c r="B675" s="9" t="str">
        <f t="shared" si="1"/>
        <v> Violation</v>
      </c>
      <c r="C675" s="9"/>
      <c r="D675" s="9"/>
      <c r="E675" s="9"/>
      <c r="F675" s="9"/>
      <c r="G675" s="9"/>
      <c r="H675" s="9"/>
      <c r="I675" s="9"/>
      <c r="J675" s="9"/>
      <c r="K675" s="9"/>
      <c r="L675" s="9"/>
      <c r="M675" s="9"/>
      <c r="N675" s="9"/>
      <c r="O675" s="9"/>
    </row>
    <row r="676">
      <c r="B676" s="9" t="str">
        <f t="shared" si="1"/>
        <v> Violation</v>
      </c>
      <c r="C676" s="9"/>
      <c r="D676" s="9"/>
      <c r="E676" s="9"/>
      <c r="F676" s="9"/>
      <c r="G676" s="9"/>
      <c r="H676" s="9"/>
      <c r="I676" s="9"/>
      <c r="J676" s="9"/>
      <c r="K676" s="9"/>
      <c r="L676" s="9"/>
      <c r="M676" s="9"/>
      <c r="N676" s="9"/>
      <c r="O676" s="9"/>
    </row>
    <row r="677">
      <c r="B677" s="9" t="str">
        <f t="shared" si="1"/>
        <v> Violation</v>
      </c>
      <c r="C677" s="9"/>
      <c r="D677" s="9"/>
      <c r="E677" s="9"/>
      <c r="F677" s="9"/>
      <c r="G677" s="9"/>
      <c r="H677" s="9"/>
      <c r="I677" s="9"/>
      <c r="J677" s="9"/>
      <c r="K677" s="9"/>
      <c r="L677" s="9"/>
      <c r="M677" s="9"/>
      <c r="N677" s="9"/>
      <c r="O677" s="9"/>
    </row>
    <row r="678">
      <c r="B678" s="9" t="str">
        <f t="shared" si="1"/>
        <v> Violation</v>
      </c>
      <c r="C678" s="9"/>
      <c r="D678" s="9"/>
      <c r="E678" s="9"/>
      <c r="F678" s="9"/>
      <c r="G678" s="9"/>
      <c r="H678" s="9"/>
      <c r="I678" s="9"/>
      <c r="J678" s="9"/>
      <c r="K678" s="9"/>
      <c r="L678" s="9"/>
      <c r="M678" s="9"/>
      <c r="N678" s="9"/>
      <c r="O678" s="9"/>
    </row>
    <row r="679">
      <c r="B679" s="9" t="str">
        <f t="shared" si="1"/>
        <v> Violation</v>
      </c>
      <c r="C679" s="9"/>
      <c r="D679" s="9"/>
      <c r="E679" s="9"/>
      <c r="F679" s="9"/>
      <c r="G679" s="9"/>
      <c r="H679" s="9"/>
      <c r="I679" s="9"/>
      <c r="J679" s="9"/>
      <c r="K679" s="9"/>
      <c r="L679" s="9"/>
      <c r="M679" s="9"/>
      <c r="N679" s="9"/>
      <c r="O679" s="9"/>
    </row>
    <row r="680">
      <c r="B680" s="9" t="str">
        <f t="shared" si="1"/>
        <v> Violation</v>
      </c>
      <c r="C680" s="9"/>
      <c r="D680" s="9"/>
      <c r="E680" s="9"/>
      <c r="F680" s="9"/>
      <c r="G680" s="9"/>
      <c r="H680" s="9"/>
      <c r="I680" s="9"/>
      <c r="J680" s="9"/>
      <c r="K680" s="9"/>
      <c r="L680" s="9"/>
      <c r="M680" s="9"/>
      <c r="N680" s="9"/>
      <c r="O680" s="9"/>
    </row>
    <row r="681">
      <c r="B681" s="9" t="str">
        <f t="shared" si="1"/>
        <v> Violation</v>
      </c>
      <c r="C681" s="9"/>
      <c r="D681" s="9"/>
      <c r="E681" s="9"/>
      <c r="F681" s="9"/>
      <c r="G681" s="9"/>
      <c r="H681" s="9"/>
      <c r="I681" s="9"/>
      <c r="J681" s="9"/>
      <c r="K681" s="9"/>
      <c r="L681" s="9"/>
      <c r="M681" s="9"/>
      <c r="N681" s="9"/>
      <c r="O681" s="9"/>
    </row>
    <row r="682">
      <c r="B682" s="9" t="str">
        <f t="shared" si="1"/>
        <v> Violation</v>
      </c>
      <c r="C682" s="9"/>
      <c r="D682" s="9"/>
      <c r="E682" s="9"/>
      <c r="F682" s="9"/>
      <c r="G682" s="9"/>
      <c r="H682" s="9"/>
      <c r="I682" s="9"/>
      <c r="J682" s="9"/>
      <c r="K682" s="9"/>
      <c r="L682" s="9"/>
      <c r="M682" s="9"/>
      <c r="N682" s="9"/>
      <c r="O682" s="9"/>
    </row>
    <row r="683">
      <c r="B683" s="9" t="str">
        <f t="shared" si="1"/>
        <v> Violation</v>
      </c>
      <c r="C683" s="9"/>
      <c r="D683" s="9"/>
      <c r="E683" s="9"/>
      <c r="F683" s="9"/>
      <c r="G683" s="9"/>
      <c r="H683" s="9"/>
      <c r="I683" s="9"/>
      <c r="J683" s="9"/>
      <c r="K683" s="9"/>
      <c r="L683" s="9"/>
      <c r="M683" s="9"/>
      <c r="N683" s="9"/>
      <c r="O683" s="9"/>
    </row>
    <row r="684">
      <c r="B684" s="9" t="str">
        <f t="shared" si="1"/>
        <v> Violation</v>
      </c>
      <c r="C684" s="9"/>
      <c r="D684" s="9"/>
      <c r="E684" s="9"/>
      <c r="F684" s="9"/>
      <c r="G684" s="9"/>
      <c r="H684" s="9"/>
      <c r="I684" s="9"/>
      <c r="J684" s="9"/>
      <c r="K684" s="9"/>
      <c r="L684" s="9"/>
      <c r="M684" s="9"/>
      <c r="N684" s="9"/>
      <c r="O684" s="9"/>
    </row>
    <row r="685">
      <c r="B685" s="9" t="str">
        <f t="shared" si="1"/>
        <v> Violation</v>
      </c>
      <c r="C685" s="9"/>
      <c r="D685" s="9"/>
      <c r="E685" s="9"/>
      <c r="F685" s="9"/>
      <c r="G685" s="9"/>
      <c r="H685" s="9"/>
      <c r="I685" s="9"/>
      <c r="J685" s="9"/>
      <c r="K685" s="9"/>
      <c r="L685" s="9"/>
      <c r="M685" s="9"/>
      <c r="N685" s="9"/>
      <c r="O685" s="9"/>
    </row>
    <row r="686">
      <c r="B686" s="9" t="str">
        <f t="shared" si="1"/>
        <v> Violation</v>
      </c>
      <c r="C686" s="9"/>
      <c r="D686" s="9"/>
      <c r="E686" s="9"/>
      <c r="F686" s="9"/>
      <c r="G686" s="9"/>
      <c r="H686" s="9"/>
      <c r="I686" s="9"/>
      <c r="J686" s="9"/>
      <c r="K686" s="9"/>
      <c r="L686" s="9"/>
      <c r="M686" s="9"/>
      <c r="N686" s="9"/>
      <c r="O686" s="9"/>
    </row>
    <row r="687">
      <c r="B687" s="9" t="str">
        <f t="shared" si="1"/>
        <v> Violation</v>
      </c>
      <c r="C687" s="9"/>
      <c r="D687" s="9"/>
      <c r="E687" s="9"/>
      <c r="F687" s="9"/>
      <c r="G687" s="9"/>
      <c r="H687" s="9"/>
      <c r="I687" s="9"/>
      <c r="J687" s="9"/>
      <c r="K687" s="9"/>
      <c r="L687" s="9"/>
      <c r="M687" s="9"/>
      <c r="N687" s="9"/>
      <c r="O687" s="9"/>
    </row>
    <row r="688">
      <c r="B688" s="9" t="str">
        <f t="shared" si="1"/>
        <v> Violation</v>
      </c>
      <c r="C688" s="9"/>
      <c r="D688" s="9"/>
      <c r="E688" s="9"/>
      <c r="F688" s="9"/>
      <c r="G688" s="9"/>
      <c r="H688" s="9"/>
      <c r="I688" s="9"/>
      <c r="J688" s="9"/>
      <c r="K688" s="9"/>
      <c r="L688" s="9"/>
      <c r="M688" s="9"/>
      <c r="N688" s="9"/>
      <c r="O688" s="9"/>
    </row>
    <row r="689">
      <c r="B689" s="9" t="str">
        <f t="shared" si="1"/>
        <v> Violation</v>
      </c>
      <c r="C689" s="9"/>
      <c r="D689" s="9"/>
      <c r="E689" s="9"/>
      <c r="F689" s="9"/>
      <c r="G689" s="9"/>
      <c r="H689" s="9"/>
      <c r="I689" s="9"/>
      <c r="J689" s="9"/>
      <c r="K689" s="9"/>
      <c r="L689" s="9"/>
      <c r="M689" s="9"/>
      <c r="N689" s="9"/>
      <c r="O689" s="9"/>
    </row>
    <row r="690">
      <c r="B690" s="9" t="str">
        <f t="shared" si="1"/>
        <v> Violation</v>
      </c>
      <c r="C690" s="9"/>
      <c r="D690" s="9"/>
      <c r="E690" s="9"/>
      <c r="F690" s="9"/>
      <c r="G690" s="9"/>
      <c r="H690" s="9"/>
      <c r="I690" s="9"/>
      <c r="J690" s="9"/>
      <c r="K690" s="9"/>
      <c r="L690" s="9"/>
      <c r="M690" s="9"/>
      <c r="N690" s="9"/>
      <c r="O690" s="9"/>
    </row>
    <row r="691">
      <c r="B691" s="9" t="str">
        <f t="shared" si="1"/>
        <v> Violation</v>
      </c>
      <c r="C691" s="9"/>
      <c r="D691" s="9"/>
      <c r="E691" s="9"/>
      <c r="F691" s="9"/>
      <c r="G691" s="9"/>
      <c r="H691" s="9"/>
      <c r="I691" s="9"/>
      <c r="J691" s="9"/>
      <c r="K691" s="9"/>
      <c r="L691" s="9"/>
      <c r="M691" s="9"/>
      <c r="N691" s="9"/>
      <c r="O691" s="9"/>
    </row>
    <row r="692">
      <c r="B692" s="9" t="str">
        <f t="shared" si="1"/>
        <v> Violation</v>
      </c>
      <c r="C692" s="9"/>
      <c r="D692" s="9"/>
      <c r="E692" s="9"/>
      <c r="F692" s="9"/>
      <c r="G692" s="9"/>
      <c r="H692" s="9"/>
      <c r="I692" s="9"/>
      <c r="J692" s="9"/>
      <c r="K692" s="9"/>
      <c r="L692" s="9"/>
      <c r="M692" s="9"/>
      <c r="N692" s="9"/>
      <c r="O692" s="9"/>
    </row>
    <row r="693">
      <c r="B693" s="9" t="str">
        <f t="shared" si="1"/>
        <v> Violation</v>
      </c>
      <c r="C693" s="9"/>
      <c r="D693" s="9"/>
      <c r="E693" s="9"/>
      <c r="F693" s="9"/>
      <c r="G693" s="9"/>
      <c r="H693" s="9"/>
      <c r="I693" s="9"/>
      <c r="J693" s="9"/>
      <c r="K693" s="9"/>
      <c r="L693" s="9"/>
      <c r="M693" s="9"/>
      <c r="N693" s="9"/>
      <c r="O693" s="9"/>
    </row>
    <row r="694">
      <c r="B694" s="9" t="str">
        <f t="shared" si="1"/>
        <v> Violation</v>
      </c>
      <c r="C694" s="9"/>
      <c r="D694" s="9"/>
      <c r="E694" s="9"/>
      <c r="F694" s="9"/>
      <c r="G694" s="9"/>
      <c r="H694" s="9"/>
      <c r="I694" s="9"/>
      <c r="J694" s="9"/>
      <c r="K694" s="9"/>
      <c r="L694" s="9"/>
      <c r="M694" s="9"/>
      <c r="N694" s="9"/>
      <c r="O694" s="9"/>
    </row>
    <row r="695">
      <c r="B695" s="9" t="str">
        <f t="shared" si="1"/>
        <v> Violation</v>
      </c>
      <c r="C695" s="9"/>
      <c r="D695" s="9"/>
      <c r="E695" s="9"/>
      <c r="F695" s="9"/>
      <c r="G695" s="9"/>
      <c r="H695" s="9"/>
      <c r="I695" s="9"/>
      <c r="J695" s="9"/>
      <c r="K695" s="9"/>
      <c r="L695" s="9"/>
      <c r="M695" s="9"/>
      <c r="N695" s="9"/>
      <c r="O695" s="9"/>
    </row>
    <row r="696">
      <c r="B696" s="9" t="str">
        <f t="shared" si="1"/>
        <v> Violation</v>
      </c>
      <c r="C696" s="9"/>
      <c r="D696" s="9"/>
      <c r="E696" s="9"/>
      <c r="F696" s="9"/>
      <c r="G696" s="9"/>
      <c r="H696" s="9"/>
      <c r="I696" s="9"/>
      <c r="J696" s="9"/>
      <c r="K696" s="9"/>
      <c r="L696" s="9"/>
      <c r="M696" s="9"/>
      <c r="N696" s="9"/>
      <c r="O696" s="9"/>
    </row>
    <row r="697">
      <c r="B697" s="9" t="str">
        <f t="shared" si="1"/>
        <v> Violation</v>
      </c>
      <c r="C697" s="9"/>
      <c r="D697" s="9"/>
      <c r="E697" s="9"/>
      <c r="F697" s="9"/>
      <c r="G697" s="9"/>
      <c r="H697" s="9"/>
      <c r="I697" s="9"/>
      <c r="J697" s="9"/>
      <c r="K697" s="9"/>
      <c r="L697" s="9"/>
      <c r="M697" s="9"/>
      <c r="N697" s="9"/>
      <c r="O697" s="9"/>
    </row>
    <row r="698">
      <c r="B698" s="9" t="str">
        <f t="shared" si="1"/>
        <v> Violation</v>
      </c>
      <c r="C698" s="9"/>
      <c r="D698" s="9"/>
      <c r="E698" s="9"/>
      <c r="F698" s="9"/>
      <c r="G698" s="9"/>
      <c r="H698" s="9"/>
      <c r="I698" s="9"/>
      <c r="J698" s="9"/>
      <c r="K698" s="9"/>
      <c r="L698" s="9"/>
      <c r="M698" s="9"/>
      <c r="N698" s="9"/>
      <c r="O698" s="9"/>
    </row>
    <row r="699">
      <c r="B699" s="9" t="str">
        <f t="shared" si="1"/>
        <v> Violation</v>
      </c>
      <c r="C699" s="9"/>
      <c r="D699" s="9"/>
      <c r="E699" s="9"/>
      <c r="F699" s="9"/>
      <c r="G699" s="9"/>
      <c r="H699" s="9"/>
      <c r="I699" s="9"/>
      <c r="J699" s="9"/>
      <c r="K699" s="9"/>
      <c r="L699" s="9"/>
      <c r="M699" s="9"/>
      <c r="N699" s="9"/>
      <c r="O699" s="9"/>
    </row>
    <row r="700">
      <c r="B700" s="9" t="str">
        <f t="shared" si="1"/>
        <v> Violation</v>
      </c>
      <c r="C700" s="9"/>
      <c r="D700" s="9"/>
      <c r="E700" s="9"/>
      <c r="F700" s="9"/>
      <c r="G700" s="9"/>
      <c r="H700" s="9"/>
      <c r="I700" s="9"/>
      <c r="J700" s="9"/>
      <c r="K700" s="9"/>
      <c r="L700" s="9"/>
      <c r="M700" s="9"/>
      <c r="N700" s="9"/>
      <c r="O700" s="9"/>
    </row>
    <row r="701">
      <c r="B701" s="9" t="str">
        <f t="shared" si="1"/>
        <v> Violation</v>
      </c>
      <c r="C701" s="9"/>
      <c r="D701" s="9"/>
      <c r="E701" s="9"/>
      <c r="F701" s="9"/>
      <c r="G701" s="9"/>
      <c r="H701" s="9"/>
      <c r="I701" s="9"/>
      <c r="J701" s="9"/>
      <c r="K701" s="9"/>
      <c r="L701" s="9"/>
      <c r="M701" s="9"/>
      <c r="N701" s="9"/>
      <c r="O701" s="9"/>
    </row>
    <row r="702">
      <c r="B702" s="9" t="str">
        <f t="shared" si="1"/>
        <v> Violation</v>
      </c>
      <c r="C702" s="9"/>
      <c r="D702" s="9"/>
      <c r="E702" s="9"/>
      <c r="F702" s="9"/>
      <c r="G702" s="9"/>
      <c r="H702" s="9"/>
      <c r="I702" s="9"/>
      <c r="J702" s="9"/>
      <c r="K702" s="9"/>
      <c r="L702" s="9"/>
      <c r="M702" s="9"/>
      <c r="N702" s="9"/>
      <c r="O702" s="9"/>
    </row>
    <row r="703">
      <c r="B703" s="9" t="str">
        <f t="shared" si="1"/>
        <v> Violation</v>
      </c>
      <c r="C703" s="9"/>
      <c r="D703" s="9"/>
      <c r="E703" s="9"/>
      <c r="F703" s="9"/>
      <c r="G703" s="9"/>
      <c r="H703" s="9"/>
      <c r="I703" s="9"/>
      <c r="J703" s="9"/>
      <c r="K703" s="9"/>
      <c r="L703" s="9"/>
      <c r="M703" s="9"/>
      <c r="N703" s="9"/>
      <c r="O703" s="9"/>
    </row>
    <row r="704">
      <c r="B704" s="9" t="str">
        <f t="shared" si="1"/>
        <v> Violation</v>
      </c>
      <c r="C704" s="9"/>
      <c r="D704" s="9"/>
      <c r="E704" s="9"/>
      <c r="F704" s="9"/>
      <c r="G704" s="9"/>
      <c r="H704" s="9"/>
      <c r="I704" s="9"/>
      <c r="J704" s="9"/>
      <c r="K704" s="9"/>
      <c r="L704" s="9"/>
      <c r="M704" s="9"/>
      <c r="N704" s="9"/>
      <c r="O704" s="9"/>
    </row>
    <row r="705">
      <c r="B705" s="9" t="str">
        <f t="shared" si="1"/>
        <v> Violation</v>
      </c>
      <c r="C705" s="9"/>
      <c r="D705" s="9"/>
      <c r="E705" s="9"/>
      <c r="F705" s="9"/>
      <c r="G705" s="9"/>
      <c r="H705" s="9"/>
      <c r="I705" s="9"/>
      <c r="J705" s="9"/>
      <c r="K705" s="9"/>
      <c r="L705" s="9"/>
      <c r="M705" s="9"/>
      <c r="N705" s="9"/>
      <c r="O705" s="9"/>
    </row>
    <row r="706">
      <c r="B706" s="9" t="str">
        <f t="shared" si="1"/>
        <v> Violation</v>
      </c>
      <c r="C706" s="9"/>
      <c r="D706" s="9"/>
      <c r="E706" s="9"/>
      <c r="F706" s="9"/>
      <c r="G706" s="9"/>
      <c r="H706" s="9"/>
      <c r="I706" s="9"/>
      <c r="J706" s="9"/>
      <c r="K706" s="9"/>
      <c r="L706" s="9"/>
      <c r="M706" s="9"/>
      <c r="N706" s="9"/>
      <c r="O706" s="9"/>
    </row>
    <row r="707">
      <c r="B707" s="9" t="str">
        <f t="shared" si="1"/>
        <v> Violation</v>
      </c>
      <c r="C707" s="9"/>
      <c r="D707" s="9"/>
      <c r="E707" s="9"/>
      <c r="F707" s="9"/>
      <c r="G707" s="9"/>
      <c r="H707" s="9"/>
      <c r="I707" s="9"/>
      <c r="J707" s="9"/>
      <c r="K707" s="9"/>
      <c r="L707" s="9"/>
      <c r="M707" s="9"/>
      <c r="N707" s="9"/>
      <c r="O707" s="9"/>
    </row>
    <row r="708">
      <c r="B708" s="9" t="str">
        <f t="shared" si="1"/>
        <v> Violation</v>
      </c>
      <c r="C708" s="9"/>
      <c r="D708" s="9"/>
      <c r="E708" s="9"/>
      <c r="F708" s="9"/>
      <c r="G708" s="9"/>
      <c r="H708" s="9"/>
      <c r="I708" s="9"/>
      <c r="J708" s="9"/>
      <c r="K708" s="9"/>
      <c r="L708" s="9"/>
      <c r="M708" s="9"/>
      <c r="N708" s="9"/>
      <c r="O708" s="9"/>
    </row>
    <row r="709">
      <c r="B709" s="9" t="str">
        <f t="shared" si="1"/>
        <v> Violation</v>
      </c>
      <c r="C709" s="9"/>
      <c r="D709" s="9"/>
      <c r="E709" s="9"/>
      <c r="F709" s="9"/>
      <c r="G709" s="9"/>
      <c r="H709" s="9"/>
      <c r="I709" s="9"/>
      <c r="J709" s="9"/>
      <c r="K709" s="9"/>
      <c r="L709" s="9"/>
      <c r="M709" s="9"/>
      <c r="N709" s="9"/>
      <c r="O709" s="9"/>
    </row>
    <row r="710">
      <c r="B710" s="9" t="str">
        <f t="shared" si="1"/>
        <v> Violation</v>
      </c>
      <c r="C710" s="9"/>
      <c r="D710" s="9"/>
      <c r="E710" s="9"/>
      <c r="F710" s="9"/>
      <c r="G710" s="9"/>
      <c r="H710" s="9"/>
      <c r="I710" s="9"/>
      <c r="J710" s="9"/>
      <c r="K710" s="9"/>
      <c r="L710" s="9"/>
      <c r="M710" s="9"/>
      <c r="N710" s="9"/>
      <c r="O710" s="9"/>
    </row>
    <row r="711">
      <c r="B711" s="9" t="str">
        <f t="shared" si="1"/>
        <v> Violation</v>
      </c>
      <c r="C711" s="9"/>
      <c r="D711" s="9"/>
      <c r="E711" s="9"/>
      <c r="F711" s="9"/>
      <c r="G711" s="9"/>
      <c r="H711" s="9"/>
      <c r="I711" s="9"/>
      <c r="J711" s="9"/>
      <c r="K711" s="9"/>
      <c r="L711" s="9"/>
      <c r="M711" s="9"/>
      <c r="N711" s="9"/>
      <c r="O711" s="9"/>
    </row>
    <row r="712">
      <c r="B712" s="9" t="str">
        <f t="shared" si="1"/>
        <v> Violation</v>
      </c>
      <c r="C712" s="9"/>
      <c r="D712" s="9"/>
      <c r="E712" s="9"/>
      <c r="F712" s="9"/>
      <c r="G712" s="9"/>
      <c r="H712" s="9"/>
      <c r="I712" s="9"/>
      <c r="J712" s="9"/>
      <c r="K712" s="9"/>
      <c r="L712" s="9"/>
      <c r="M712" s="9"/>
      <c r="N712" s="9"/>
      <c r="O712" s="9"/>
    </row>
    <row r="713">
      <c r="B713" s="9" t="str">
        <f t="shared" si="1"/>
        <v> Violation</v>
      </c>
      <c r="C713" s="9"/>
      <c r="D713" s="9"/>
      <c r="E713" s="9"/>
      <c r="F713" s="9"/>
      <c r="G713" s="9"/>
      <c r="H713" s="9"/>
      <c r="I713" s="9"/>
      <c r="J713" s="9"/>
      <c r="K713" s="9"/>
      <c r="L713" s="9"/>
      <c r="M713" s="9"/>
      <c r="N713" s="9"/>
      <c r="O713" s="9"/>
    </row>
    <row r="714">
      <c r="B714" s="9" t="str">
        <f t="shared" si="1"/>
        <v> Violation</v>
      </c>
      <c r="C714" s="9"/>
      <c r="D714" s="9"/>
      <c r="E714" s="9"/>
      <c r="F714" s="9"/>
      <c r="G714" s="9"/>
      <c r="H714" s="9"/>
      <c r="I714" s="9"/>
      <c r="J714" s="9"/>
      <c r="K714" s="9"/>
      <c r="L714" s="9"/>
      <c r="M714" s="9"/>
      <c r="N714" s="9"/>
      <c r="O714" s="9"/>
    </row>
    <row r="715">
      <c r="B715" s="9" t="str">
        <f t="shared" si="1"/>
        <v> Violation</v>
      </c>
      <c r="C715" s="9"/>
      <c r="D715" s="9"/>
      <c r="E715" s="9"/>
      <c r="F715" s="9"/>
      <c r="G715" s="9"/>
      <c r="H715" s="9"/>
      <c r="I715" s="9"/>
      <c r="J715" s="9"/>
      <c r="K715" s="9"/>
      <c r="L715" s="9"/>
      <c r="M715" s="9"/>
      <c r="N715" s="9"/>
      <c r="O715" s="9"/>
    </row>
    <row r="716">
      <c r="B716" s="9" t="str">
        <f t="shared" si="1"/>
        <v> Violation</v>
      </c>
      <c r="C716" s="9"/>
      <c r="D716" s="9"/>
      <c r="E716" s="9"/>
      <c r="F716" s="9"/>
      <c r="G716" s="9"/>
      <c r="H716" s="9"/>
      <c r="I716" s="9"/>
      <c r="J716" s="9"/>
      <c r="K716" s="9"/>
      <c r="L716" s="9"/>
      <c r="M716" s="9"/>
      <c r="N716" s="9"/>
      <c r="O716" s="9"/>
    </row>
    <row r="717">
      <c r="B717" s="9" t="str">
        <f t="shared" si="1"/>
        <v> Violation</v>
      </c>
      <c r="C717" s="9"/>
      <c r="D717" s="9"/>
      <c r="E717" s="9"/>
      <c r="F717" s="9"/>
      <c r="G717" s="9"/>
      <c r="H717" s="9"/>
      <c r="I717" s="9"/>
      <c r="J717" s="9"/>
      <c r="K717" s="9"/>
      <c r="L717" s="9"/>
      <c r="M717" s="9"/>
      <c r="N717" s="9"/>
      <c r="O717" s="9"/>
    </row>
    <row r="718">
      <c r="B718" s="9" t="str">
        <f t="shared" si="1"/>
        <v> Violation</v>
      </c>
      <c r="C718" s="9"/>
      <c r="D718" s="9"/>
      <c r="E718" s="9"/>
      <c r="F718" s="9"/>
      <c r="G718" s="9"/>
      <c r="H718" s="9"/>
      <c r="I718" s="9"/>
      <c r="J718" s="9"/>
      <c r="K718" s="9"/>
      <c r="L718" s="9"/>
      <c r="M718" s="9"/>
      <c r="N718" s="9"/>
      <c r="O718" s="9"/>
    </row>
    <row r="719">
      <c r="B719" s="9" t="str">
        <f t="shared" si="1"/>
        <v> Violation</v>
      </c>
      <c r="C719" s="9"/>
      <c r="D719" s="9"/>
      <c r="E719" s="9"/>
      <c r="F719" s="9"/>
      <c r="G719" s="9"/>
      <c r="H719" s="9"/>
      <c r="I719" s="9"/>
      <c r="J719" s="9"/>
      <c r="K719" s="9"/>
      <c r="L719" s="9"/>
      <c r="M719" s="9"/>
      <c r="N719" s="9"/>
      <c r="O719" s="9"/>
    </row>
    <row r="720">
      <c r="B720" s="9" t="str">
        <f t="shared" si="1"/>
        <v> Violation</v>
      </c>
      <c r="C720" s="9"/>
      <c r="D720" s="9"/>
      <c r="E720" s="9"/>
      <c r="F720" s="9"/>
      <c r="G720" s="9"/>
      <c r="H720" s="9"/>
      <c r="I720" s="9"/>
      <c r="J720" s="9"/>
      <c r="K720" s="9"/>
      <c r="L720" s="9"/>
      <c r="M720" s="9"/>
      <c r="N720" s="9"/>
      <c r="O720" s="9"/>
    </row>
    <row r="721">
      <c r="B721" s="9" t="str">
        <f t="shared" si="1"/>
        <v> Violation</v>
      </c>
      <c r="C721" s="9"/>
      <c r="D721" s="9"/>
      <c r="E721" s="9"/>
      <c r="F721" s="9"/>
      <c r="G721" s="9"/>
      <c r="H721" s="9"/>
      <c r="I721" s="9"/>
      <c r="J721" s="9"/>
      <c r="K721" s="9"/>
      <c r="L721" s="9"/>
      <c r="M721" s="9"/>
      <c r="N721" s="9"/>
      <c r="O721" s="9"/>
    </row>
    <row r="722">
      <c r="B722" s="9" t="str">
        <f t="shared" si="1"/>
        <v> Violation</v>
      </c>
      <c r="C722" s="9"/>
      <c r="D722" s="9"/>
      <c r="E722" s="9"/>
      <c r="F722" s="9"/>
      <c r="G722" s="9"/>
      <c r="H722" s="9"/>
      <c r="I722" s="9"/>
      <c r="J722" s="9"/>
      <c r="K722" s="9"/>
      <c r="L722" s="9"/>
      <c r="M722" s="9"/>
      <c r="N722" s="9"/>
      <c r="O722" s="9"/>
    </row>
    <row r="723">
      <c r="B723" s="9" t="str">
        <f t="shared" si="1"/>
        <v> Violation</v>
      </c>
      <c r="C723" s="9"/>
      <c r="D723" s="9"/>
      <c r="E723" s="9"/>
      <c r="F723" s="9"/>
      <c r="G723" s="9"/>
      <c r="H723" s="9"/>
      <c r="I723" s="9"/>
      <c r="J723" s="9"/>
      <c r="K723" s="9"/>
      <c r="L723" s="9"/>
      <c r="M723" s="9"/>
      <c r="N723" s="9"/>
      <c r="O723" s="9"/>
    </row>
    <row r="724">
      <c r="B724" s="9" t="str">
        <f t="shared" si="1"/>
        <v> Violation</v>
      </c>
      <c r="C724" s="9"/>
      <c r="D724" s="9"/>
      <c r="E724" s="9"/>
      <c r="F724" s="9"/>
      <c r="G724" s="9"/>
      <c r="H724" s="9"/>
      <c r="I724" s="9"/>
      <c r="J724" s="9"/>
      <c r="K724" s="9"/>
      <c r="L724" s="9"/>
      <c r="M724" s="9"/>
      <c r="N724" s="9"/>
      <c r="O724" s="9"/>
    </row>
    <row r="725">
      <c r="B725" s="9" t="str">
        <f t="shared" si="1"/>
        <v> Violation</v>
      </c>
      <c r="C725" s="9"/>
      <c r="D725" s="9"/>
      <c r="E725" s="9"/>
      <c r="F725" s="9"/>
      <c r="G725" s="9"/>
      <c r="H725" s="9"/>
      <c r="I725" s="9"/>
      <c r="J725" s="9"/>
      <c r="K725" s="9"/>
      <c r="L725" s="9"/>
      <c r="M725" s="9"/>
      <c r="N725" s="9"/>
      <c r="O725" s="9"/>
    </row>
    <row r="726">
      <c r="B726" s="9" t="str">
        <f t="shared" si="1"/>
        <v> Violation</v>
      </c>
      <c r="C726" s="9"/>
      <c r="D726" s="9"/>
      <c r="E726" s="9"/>
      <c r="F726" s="9"/>
      <c r="G726" s="9"/>
      <c r="H726" s="9"/>
      <c r="I726" s="9"/>
      <c r="J726" s="9"/>
      <c r="K726" s="9"/>
      <c r="L726" s="9"/>
      <c r="M726" s="9"/>
      <c r="N726" s="9"/>
      <c r="O726" s="9"/>
    </row>
    <row r="727">
      <c r="B727" s="9" t="str">
        <f t="shared" si="1"/>
        <v> Violation</v>
      </c>
      <c r="C727" s="9"/>
      <c r="D727" s="9"/>
      <c r="E727" s="9"/>
      <c r="F727" s="9"/>
      <c r="G727" s="9"/>
      <c r="H727" s="9"/>
      <c r="I727" s="9"/>
      <c r="J727" s="9"/>
      <c r="K727" s="9"/>
      <c r="L727" s="9"/>
      <c r="M727" s="9"/>
      <c r="N727" s="9"/>
      <c r="O727" s="9"/>
    </row>
    <row r="728">
      <c r="B728" s="9" t="str">
        <f t="shared" si="1"/>
        <v> Violation</v>
      </c>
      <c r="C728" s="9"/>
      <c r="D728" s="9"/>
      <c r="E728" s="9"/>
      <c r="F728" s="9"/>
      <c r="G728" s="9"/>
      <c r="H728" s="9"/>
      <c r="I728" s="9"/>
      <c r="J728" s="9"/>
      <c r="K728" s="9"/>
      <c r="L728" s="9"/>
      <c r="M728" s="9"/>
      <c r="N728" s="9"/>
      <c r="O728" s="9"/>
    </row>
    <row r="729">
      <c r="B729" s="9" t="str">
        <f t="shared" si="1"/>
        <v> Violation</v>
      </c>
      <c r="C729" s="9"/>
      <c r="D729" s="9"/>
      <c r="E729" s="9"/>
      <c r="F729" s="9"/>
      <c r="G729" s="9"/>
      <c r="H729" s="9"/>
      <c r="I729" s="9"/>
      <c r="J729" s="9"/>
      <c r="K729" s="9"/>
      <c r="L729" s="9"/>
      <c r="M729" s="9"/>
      <c r="N729" s="9"/>
      <c r="O729" s="9"/>
    </row>
    <row r="730">
      <c r="B730" s="9" t="str">
        <f t="shared" si="1"/>
        <v> Violation</v>
      </c>
      <c r="C730" s="9"/>
      <c r="D730" s="9"/>
      <c r="E730" s="9"/>
      <c r="F730" s="9"/>
      <c r="G730" s="9"/>
      <c r="H730" s="9"/>
      <c r="I730" s="9"/>
      <c r="J730" s="9"/>
      <c r="K730" s="9"/>
      <c r="L730" s="9"/>
      <c r="M730" s="9"/>
      <c r="N730" s="9"/>
      <c r="O730" s="9"/>
    </row>
    <row r="731">
      <c r="B731" s="9" t="str">
        <f t="shared" si="1"/>
        <v> Violation</v>
      </c>
      <c r="C731" s="9"/>
      <c r="D731" s="9"/>
      <c r="E731" s="9"/>
      <c r="F731" s="9"/>
      <c r="G731" s="9"/>
      <c r="H731" s="9"/>
      <c r="I731" s="9"/>
      <c r="J731" s="9"/>
      <c r="K731" s="9"/>
      <c r="L731" s="9"/>
      <c r="M731" s="9"/>
      <c r="N731" s="9"/>
      <c r="O731" s="9"/>
    </row>
    <row r="732">
      <c r="B732" s="9" t="str">
        <f t="shared" si="1"/>
        <v> Violation</v>
      </c>
      <c r="C732" s="9"/>
      <c r="D732" s="9"/>
      <c r="E732" s="9"/>
      <c r="F732" s="9"/>
      <c r="G732" s="9"/>
      <c r="H732" s="9"/>
      <c r="I732" s="9"/>
      <c r="J732" s="9"/>
      <c r="K732" s="9"/>
      <c r="L732" s="9"/>
      <c r="M732" s="9"/>
      <c r="N732" s="9"/>
      <c r="O732" s="9"/>
    </row>
    <row r="733">
      <c r="B733" s="9" t="str">
        <f t="shared" si="1"/>
        <v> Violation</v>
      </c>
      <c r="C733" s="9"/>
      <c r="D733" s="9"/>
      <c r="E733" s="9"/>
      <c r="F733" s="9"/>
      <c r="G733" s="9"/>
      <c r="H733" s="9"/>
      <c r="I733" s="9"/>
      <c r="J733" s="9"/>
      <c r="K733" s="9"/>
      <c r="L733" s="9"/>
      <c r="M733" s="9"/>
      <c r="N733" s="9"/>
      <c r="O733" s="9"/>
    </row>
    <row r="734">
      <c r="B734" s="9" t="str">
        <f t="shared" si="1"/>
        <v> Violation</v>
      </c>
      <c r="C734" s="9"/>
      <c r="D734" s="9"/>
      <c r="E734" s="9"/>
      <c r="F734" s="9"/>
      <c r="G734" s="9"/>
      <c r="H734" s="9"/>
      <c r="I734" s="9"/>
      <c r="J734" s="9"/>
      <c r="K734" s="9"/>
      <c r="L734" s="9"/>
      <c r="M734" s="9"/>
      <c r="N734" s="9"/>
      <c r="O734" s="9"/>
    </row>
    <row r="735">
      <c r="B735" s="9" t="str">
        <f t="shared" si="1"/>
        <v> Violation</v>
      </c>
      <c r="C735" s="9"/>
      <c r="D735" s="9"/>
      <c r="E735" s="9"/>
      <c r="F735" s="9"/>
      <c r="G735" s="9"/>
      <c r="H735" s="9"/>
      <c r="I735" s="9"/>
      <c r="J735" s="9"/>
      <c r="K735" s="9"/>
      <c r="L735" s="9"/>
      <c r="M735" s="9"/>
      <c r="N735" s="9"/>
      <c r="O735" s="9"/>
    </row>
    <row r="736">
      <c r="B736" s="9" t="str">
        <f t="shared" si="1"/>
        <v> Violation</v>
      </c>
      <c r="C736" s="9"/>
      <c r="D736" s="9"/>
      <c r="E736" s="9"/>
      <c r="F736" s="9"/>
      <c r="G736" s="9"/>
      <c r="H736" s="9"/>
      <c r="I736" s="9"/>
      <c r="J736" s="9"/>
      <c r="K736" s="9"/>
      <c r="L736" s="9"/>
      <c r="M736" s="9"/>
      <c r="N736" s="9"/>
      <c r="O736" s="9"/>
    </row>
    <row r="737">
      <c r="B737" s="9" t="str">
        <f t="shared" si="1"/>
        <v> Violation</v>
      </c>
      <c r="C737" s="9"/>
      <c r="D737" s="9"/>
      <c r="E737" s="9"/>
      <c r="F737" s="9"/>
      <c r="G737" s="9"/>
      <c r="H737" s="9"/>
      <c r="I737" s="9"/>
      <c r="J737" s="9"/>
      <c r="K737" s="9"/>
      <c r="L737" s="9"/>
      <c r="M737" s="9"/>
      <c r="N737" s="9"/>
      <c r="O737" s="9"/>
    </row>
    <row r="738">
      <c r="B738" s="9" t="str">
        <f t="shared" si="1"/>
        <v> Violation</v>
      </c>
      <c r="C738" s="9"/>
      <c r="D738" s="9"/>
      <c r="E738" s="9"/>
      <c r="F738" s="9"/>
      <c r="G738" s="9"/>
      <c r="H738" s="9"/>
      <c r="I738" s="9"/>
      <c r="J738" s="9"/>
      <c r="K738" s="9"/>
      <c r="L738" s="9"/>
      <c r="M738" s="9"/>
      <c r="N738" s="9"/>
      <c r="O738" s="9"/>
    </row>
    <row r="739">
      <c r="B739" s="9" t="str">
        <f t="shared" si="1"/>
        <v> Violation</v>
      </c>
      <c r="C739" s="9"/>
      <c r="D739" s="9"/>
      <c r="E739" s="9"/>
      <c r="F739" s="9"/>
      <c r="G739" s="9"/>
      <c r="H739" s="9"/>
      <c r="I739" s="9"/>
      <c r="J739" s="9"/>
      <c r="K739" s="9"/>
      <c r="L739" s="9"/>
      <c r="M739" s="9"/>
      <c r="N739" s="9"/>
      <c r="O739" s="9"/>
    </row>
    <row r="740">
      <c r="B740" s="9" t="str">
        <f t="shared" si="1"/>
        <v> Violation</v>
      </c>
      <c r="C740" s="9"/>
      <c r="D740" s="9"/>
      <c r="E740" s="9"/>
      <c r="F740" s="9"/>
      <c r="G740" s="9"/>
      <c r="H740" s="9"/>
      <c r="I740" s="9"/>
      <c r="J740" s="9"/>
      <c r="K740" s="9"/>
      <c r="L740" s="9"/>
      <c r="M740" s="9"/>
      <c r="N740" s="9"/>
      <c r="O740" s="9"/>
    </row>
    <row r="741">
      <c r="B741" s="9" t="str">
        <f t="shared" si="1"/>
        <v> Violation</v>
      </c>
      <c r="C741" s="9"/>
      <c r="D741" s="9"/>
      <c r="E741" s="9"/>
      <c r="F741" s="9"/>
      <c r="G741" s="9"/>
      <c r="H741" s="9"/>
      <c r="I741" s="9"/>
      <c r="J741" s="9"/>
      <c r="K741" s="9"/>
      <c r="L741" s="9"/>
      <c r="M741" s="9"/>
      <c r="N741" s="9"/>
      <c r="O741" s="9"/>
    </row>
    <row r="742">
      <c r="B742" s="9" t="str">
        <f t="shared" si="1"/>
        <v> Violation</v>
      </c>
      <c r="C742" s="9"/>
      <c r="D742" s="9"/>
      <c r="E742" s="9"/>
      <c r="F742" s="9"/>
      <c r="G742" s="9"/>
      <c r="H742" s="9"/>
      <c r="I742" s="9"/>
      <c r="J742" s="9"/>
      <c r="K742" s="9"/>
      <c r="L742" s="9"/>
      <c r="M742" s="9"/>
      <c r="N742" s="9"/>
      <c r="O742" s="9"/>
    </row>
    <row r="743">
      <c r="B743" s="9" t="str">
        <f t="shared" si="1"/>
        <v> Violation</v>
      </c>
      <c r="C743" s="9"/>
      <c r="D743" s="9"/>
      <c r="E743" s="9"/>
      <c r="F743" s="9"/>
      <c r="G743" s="9"/>
      <c r="H743" s="9"/>
      <c r="I743" s="9"/>
      <c r="J743" s="9"/>
      <c r="K743" s="9"/>
      <c r="L743" s="9"/>
      <c r="M743" s="9"/>
      <c r="N743" s="9"/>
      <c r="O743" s="9"/>
    </row>
    <row r="744">
      <c r="B744" s="9" t="str">
        <f t="shared" si="1"/>
        <v> Violation</v>
      </c>
      <c r="C744" s="9"/>
      <c r="D744" s="9"/>
      <c r="E744" s="9"/>
      <c r="F744" s="9"/>
      <c r="G744" s="9"/>
      <c r="H744" s="9"/>
      <c r="I744" s="9"/>
      <c r="J744" s="9"/>
      <c r="K744" s="9"/>
      <c r="L744" s="9"/>
      <c r="M744" s="9"/>
      <c r="N744" s="9"/>
      <c r="O744" s="9"/>
    </row>
    <row r="745">
      <c r="B745" s="9" t="str">
        <f t="shared" si="1"/>
        <v> Violation</v>
      </c>
      <c r="C745" s="9"/>
      <c r="D745" s="9"/>
      <c r="E745" s="9"/>
      <c r="F745" s="9"/>
      <c r="G745" s="9"/>
      <c r="H745" s="9"/>
      <c r="I745" s="9"/>
      <c r="J745" s="9"/>
      <c r="K745" s="9"/>
      <c r="L745" s="9"/>
      <c r="M745" s="9"/>
      <c r="N745" s="9"/>
      <c r="O745" s="9"/>
    </row>
    <row r="746">
      <c r="B746" s="9" t="str">
        <f t="shared" si="1"/>
        <v> Violation</v>
      </c>
      <c r="C746" s="9"/>
      <c r="D746" s="9"/>
      <c r="E746" s="9"/>
      <c r="F746" s="9"/>
      <c r="G746" s="9"/>
      <c r="H746" s="9"/>
      <c r="I746" s="9"/>
      <c r="J746" s="9"/>
      <c r="K746" s="9"/>
      <c r="L746" s="9"/>
      <c r="M746" s="9"/>
      <c r="N746" s="9"/>
      <c r="O746" s="9"/>
    </row>
    <row r="747">
      <c r="B747" s="9" t="str">
        <f t="shared" si="1"/>
        <v> Violation</v>
      </c>
      <c r="C747" s="9"/>
      <c r="D747" s="9"/>
      <c r="E747" s="9"/>
      <c r="F747" s="9"/>
      <c r="G747" s="9"/>
      <c r="H747" s="9"/>
      <c r="I747" s="9"/>
      <c r="J747" s="9"/>
      <c r="K747" s="9"/>
      <c r="L747" s="9"/>
      <c r="M747" s="9"/>
      <c r="N747" s="9"/>
      <c r="O747" s="9"/>
    </row>
    <row r="748">
      <c r="B748" s="9" t="str">
        <f t="shared" si="1"/>
        <v> Violation</v>
      </c>
      <c r="C748" s="9"/>
      <c r="D748" s="9"/>
      <c r="E748" s="9"/>
      <c r="F748" s="9"/>
      <c r="G748" s="9"/>
      <c r="H748" s="9"/>
      <c r="I748" s="9"/>
      <c r="J748" s="9"/>
      <c r="K748" s="9"/>
      <c r="L748" s="9"/>
      <c r="M748" s="9"/>
      <c r="N748" s="9"/>
      <c r="O748" s="9"/>
    </row>
    <row r="749">
      <c r="B749" s="9" t="str">
        <f t="shared" si="1"/>
        <v> Violation</v>
      </c>
      <c r="C749" s="9"/>
      <c r="D749" s="9"/>
      <c r="E749" s="9"/>
      <c r="F749" s="9"/>
      <c r="G749" s="9"/>
      <c r="H749" s="9"/>
      <c r="I749" s="9"/>
      <c r="J749" s="9"/>
      <c r="K749" s="9"/>
      <c r="L749" s="9"/>
      <c r="M749" s="9"/>
      <c r="N749" s="9"/>
      <c r="O749" s="9"/>
    </row>
    <row r="750">
      <c r="B750" s="9" t="str">
        <f t="shared" si="1"/>
        <v> Violation</v>
      </c>
      <c r="C750" s="9"/>
      <c r="D750" s="9"/>
      <c r="E750" s="9"/>
      <c r="F750" s="9"/>
      <c r="G750" s="9"/>
      <c r="H750" s="9"/>
      <c r="I750" s="9"/>
      <c r="J750" s="9"/>
      <c r="K750" s="9"/>
      <c r="L750" s="9"/>
      <c r="M750" s="9"/>
      <c r="N750" s="9"/>
      <c r="O750" s="9"/>
    </row>
    <row r="751">
      <c r="B751" s="9" t="str">
        <f t="shared" si="1"/>
        <v> Violation</v>
      </c>
      <c r="C751" s="9"/>
      <c r="D751" s="9"/>
      <c r="E751" s="9"/>
      <c r="F751" s="9"/>
      <c r="G751" s="9"/>
      <c r="H751" s="9"/>
      <c r="I751" s="9"/>
      <c r="J751" s="9"/>
      <c r="K751" s="9"/>
      <c r="L751" s="9"/>
      <c r="M751" s="9"/>
      <c r="N751" s="9"/>
      <c r="O751" s="9"/>
    </row>
    <row r="752">
      <c r="B752" s="9" t="str">
        <f t="shared" si="1"/>
        <v> Violation</v>
      </c>
      <c r="C752" s="9"/>
      <c r="D752" s="9"/>
      <c r="E752" s="9"/>
      <c r="F752" s="9"/>
      <c r="G752" s="9"/>
      <c r="H752" s="9"/>
      <c r="I752" s="9"/>
      <c r="J752" s="9"/>
      <c r="K752" s="9"/>
      <c r="L752" s="9"/>
      <c r="M752" s="9"/>
      <c r="N752" s="9"/>
      <c r="O752" s="9"/>
    </row>
    <row r="753">
      <c r="B753" s="9" t="str">
        <f t="shared" si="1"/>
        <v> Violation</v>
      </c>
      <c r="C753" s="9"/>
      <c r="D753" s="9"/>
      <c r="E753" s="9"/>
      <c r="F753" s="9"/>
      <c r="G753" s="9"/>
      <c r="H753" s="9"/>
      <c r="I753" s="9"/>
      <c r="J753" s="9"/>
      <c r="K753" s="9"/>
      <c r="L753" s="9"/>
      <c r="M753" s="9"/>
      <c r="N753" s="9"/>
      <c r="O753" s="9"/>
    </row>
    <row r="754">
      <c r="B754" s="9" t="str">
        <f t="shared" si="1"/>
        <v> Violation</v>
      </c>
      <c r="C754" s="9"/>
      <c r="D754" s="9"/>
      <c r="E754" s="9"/>
      <c r="F754" s="9"/>
      <c r="G754" s="9"/>
      <c r="H754" s="9"/>
      <c r="I754" s="9"/>
      <c r="J754" s="9"/>
      <c r="K754" s="9"/>
      <c r="L754" s="9"/>
      <c r="M754" s="9"/>
      <c r="N754" s="9"/>
      <c r="O754" s="9"/>
    </row>
    <row r="755">
      <c r="B755" s="9" t="str">
        <f t="shared" si="1"/>
        <v> Violation</v>
      </c>
      <c r="C755" s="9"/>
      <c r="D755" s="9"/>
      <c r="E755" s="9"/>
      <c r="F755" s="9"/>
      <c r="G755" s="9"/>
      <c r="H755" s="9"/>
      <c r="I755" s="9"/>
      <c r="J755" s="9"/>
      <c r="K755" s="9"/>
      <c r="L755" s="9"/>
      <c r="M755" s="9"/>
      <c r="N755" s="9"/>
      <c r="O755" s="9"/>
    </row>
    <row r="756">
      <c r="B756" s="9" t="str">
        <f t="shared" si="1"/>
        <v> Violation</v>
      </c>
      <c r="C756" s="9"/>
      <c r="D756" s="9"/>
      <c r="E756" s="9"/>
      <c r="F756" s="9"/>
      <c r="G756" s="9"/>
      <c r="H756" s="9"/>
      <c r="I756" s="9"/>
      <c r="J756" s="9"/>
      <c r="K756" s="9"/>
      <c r="L756" s="9"/>
      <c r="M756" s="9"/>
      <c r="N756" s="9"/>
      <c r="O756" s="9"/>
    </row>
    <row r="757">
      <c r="B757" s="9" t="str">
        <f t="shared" si="1"/>
        <v> Violation</v>
      </c>
      <c r="C757" s="9"/>
      <c r="D757" s="9"/>
      <c r="E757" s="9"/>
      <c r="F757" s="9"/>
      <c r="G757" s="9"/>
      <c r="H757" s="9"/>
      <c r="I757" s="9"/>
      <c r="J757" s="9"/>
      <c r="K757" s="9"/>
      <c r="L757" s="9"/>
      <c r="M757" s="9"/>
      <c r="N757" s="9"/>
      <c r="O757" s="9"/>
    </row>
    <row r="758">
      <c r="B758" s="9" t="str">
        <f t="shared" si="1"/>
        <v> Violation</v>
      </c>
      <c r="C758" s="9"/>
      <c r="D758" s="9"/>
      <c r="E758" s="9"/>
      <c r="F758" s="9"/>
      <c r="G758" s="9"/>
      <c r="H758" s="9"/>
      <c r="I758" s="9"/>
      <c r="J758" s="9"/>
      <c r="K758" s="9"/>
      <c r="L758" s="9"/>
      <c r="M758" s="9"/>
      <c r="N758" s="9"/>
      <c r="O758" s="9"/>
    </row>
    <row r="759">
      <c r="B759" s="9" t="str">
        <f t="shared" si="1"/>
        <v> Violation</v>
      </c>
      <c r="C759" s="9"/>
      <c r="D759" s="9"/>
      <c r="E759" s="9"/>
      <c r="F759" s="9"/>
      <c r="G759" s="9"/>
      <c r="H759" s="9"/>
      <c r="I759" s="9"/>
      <c r="J759" s="9"/>
      <c r="K759" s="9"/>
      <c r="L759" s="9"/>
      <c r="M759" s="9"/>
      <c r="N759" s="9"/>
      <c r="O759" s="9"/>
    </row>
    <row r="760">
      <c r="B760" s="9" t="str">
        <f t="shared" si="1"/>
        <v> Violation</v>
      </c>
      <c r="C760" s="9"/>
      <c r="D760" s="9"/>
      <c r="E760" s="9"/>
      <c r="F760" s="9"/>
      <c r="G760" s="9"/>
      <c r="H760" s="9"/>
      <c r="I760" s="9"/>
      <c r="J760" s="9"/>
      <c r="K760" s="9"/>
      <c r="L760" s="9"/>
      <c r="M760" s="9"/>
      <c r="N760" s="9"/>
      <c r="O760" s="9"/>
    </row>
    <row r="761">
      <c r="B761" s="9" t="str">
        <f t="shared" si="1"/>
        <v> Violation</v>
      </c>
      <c r="C761" s="9"/>
      <c r="D761" s="9"/>
      <c r="E761" s="9"/>
      <c r="F761" s="9"/>
      <c r="G761" s="9"/>
      <c r="H761" s="9"/>
      <c r="I761" s="9"/>
      <c r="J761" s="9"/>
      <c r="K761" s="9"/>
      <c r="L761" s="9"/>
      <c r="M761" s="9"/>
      <c r="N761" s="9"/>
      <c r="O761" s="9"/>
    </row>
    <row r="762">
      <c r="B762" s="9" t="str">
        <f t="shared" si="1"/>
        <v> Violation</v>
      </c>
      <c r="C762" s="9"/>
      <c r="D762" s="9"/>
      <c r="E762" s="9"/>
      <c r="F762" s="9"/>
      <c r="G762" s="9"/>
      <c r="H762" s="9"/>
      <c r="I762" s="9"/>
      <c r="J762" s="9"/>
      <c r="K762" s="9"/>
      <c r="L762" s="9"/>
      <c r="M762" s="9"/>
      <c r="N762" s="9"/>
      <c r="O762" s="9"/>
    </row>
    <row r="763">
      <c r="B763" s="9" t="str">
        <f t="shared" si="1"/>
        <v> Violation</v>
      </c>
      <c r="C763" s="9"/>
      <c r="D763" s="9"/>
      <c r="E763" s="9"/>
      <c r="F763" s="9"/>
      <c r="G763" s="9"/>
      <c r="H763" s="9"/>
      <c r="I763" s="9"/>
      <c r="J763" s="9"/>
      <c r="K763" s="9"/>
      <c r="L763" s="9"/>
      <c r="M763" s="9"/>
      <c r="N763" s="9"/>
      <c r="O763" s="9"/>
    </row>
    <row r="764">
      <c r="B764" s="9" t="str">
        <f t="shared" si="1"/>
        <v> Violation</v>
      </c>
      <c r="C764" s="9"/>
      <c r="D764" s="9"/>
      <c r="E764" s="9"/>
      <c r="F764" s="9"/>
      <c r="G764" s="9"/>
      <c r="H764" s="9"/>
      <c r="I764" s="9"/>
      <c r="J764" s="9"/>
      <c r="K764" s="9"/>
      <c r="L764" s="9"/>
      <c r="M764" s="9"/>
      <c r="N764" s="9"/>
      <c r="O764" s="9"/>
    </row>
    <row r="765">
      <c r="B765" s="9" t="str">
        <f t="shared" si="1"/>
        <v> Violation</v>
      </c>
      <c r="C765" s="9"/>
      <c r="D765" s="9"/>
      <c r="E765" s="9"/>
      <c r="F765" s="9"/>
      <c r="G765" s="9"/>
      <c r="H765" s="9"/>
      <c r="I765" s="9"/>
      <c r="J765" s="9"/>
      <c r="K765" s="9"/>
      <c r="L765" s="9"/>
      <c r="M765" s="9"/>
      <c r="N765" s="9"/>
      <c r="O765" s="9"/>
    </row>
    <row r="766">
      <c r="B766" s="9" t="str">
        <f t="shared" si="1"/>
        <v> Violation</v>
      </c>
      <c r="C766" s="9"/>
      <c r="D766" s="9"/>
      <c r="E766" s="9"/>
      <c r="F766" s="9"/>
      <c r="G766" s="9"/>
      <c r="H766" s="9"/>
      <c r="I766" s="9"/>
      <c r="J766" s="9"/>
      <c r="K766" s="9"/>
      <c r="L766" s="9"/>
      <c r="M766" s="9"/>
      <c r="N766" s="9"/>
      <c r="O766" s="9"/>
    </row>
    <row r="767">
      <c r="B767" s="9" t="str">
        <f t="shared" si="1"/>
        <v> Violation</v>
      </c>
      <c r="C767" s="9"/>
      <c r="D767" s="9"/>
      <c r="E767" s="9"/>
      <c r="F767" s="9"/>
      <c r="G767" s="9"/>
      <c r="H767" s="9"/>
      <c r="I767" s="9"/>
      <c r="J767" s="9"/>
      <c r="K767" s="9"/>
      <c r="L767" s="9"/>
      <c r="M767" s="9"/>
      <c r="N767" s="9"/>
      <c r="O767" s="9"/>
    </row>
    <row r="768">
      <c r="B768" s="9" t="str">
        <f t="shared" si="1"/>
        <v> Violation</v>
      </c>
      <c r="C768" s="9"/>
      <c r="D768" s="9"/>
      <c r="E768" s="9"/>
      <c r="F768" s="9"/>
      <c r="G768" s="9"/>
      <c r="H768" s="9"/>
      <c r="I768" s="9"/>
      <c r="J768" s="9"/>
      <c r="K768" s="9"/>
      <c r="L768" s="9"/>
      <c r="M768" s="9"/>
      <c r="N768" s="9"/>
      <c r="O768" s="9"/>
    </row>
    <row r="769">
      <c r="B769" s="9" t="str">
        <f t="shared" si="1"/>
        <v> Violation</v>
      </c>
      <c r="C769" s="9"/>
      <c r="D769" s="9"/>
      <c r="E769" s="9"/>
      <c r="F769" s="9"/>
      <c r="G769" s="9"/>
      <c r="H769" s="9"/>
      <c r="I769" s="9"/>
      <c r="J769" s="9"/>
      <c r="K769" s="9"/>
      <c r="L769" s="9"/>
      <c r="M769" s="9"/>
      <c r="N769" s="9"/>
      <c r="O769" s="9"/>
    </row>
    <row r="770">
      <c r="B770" s="9" t="str">
        <f t="shared" si="1"/>
        <v> Violation</v>
      </c>
      <c r="C770" s="9"/>
      <c r="D770" s="9"/>
      <c r="E770" s="9"/>
      <c r="F770" s="9"/>
      <c r="G770" s="9"/>
      <c r="H770" s="9"/>
      <c r="I770" s="9"/>
      <c r="J770" s="9"/>
      <c r="K770" s="9"/>
      <c r="L770" s="9"/>
      <c r="M770" s="9"/>
      <c r="N770" s="9"/>
      <c r="O770" s="9"/>
    </row>
    <row r="771">
      <c r="B771" s="9" t="str">
        <f t="shared" si="1"/>
        <v> Violation</v>
      </c>
      <c r="C771" s="9"/>
      <c r="D771" s="9"/>
      <c r="E771" s="9"/>
      <c r="F771" s="9"/>
      <c r="G771" s="9"/>
      <c r="H771" s="9"/>
      <c r="I771" s="9"/>
      <c r="J771" s="9"/>
      <c r="K771" s="9"/>
      <c r="L771" s="9"/>
      <c r="M771" s="9"/>
      <c r="N771" s="9"/>
      <c r="O771" s="9"/>
    </row>
    <row r="772">
      <c r="B772" s="9" t="str">
        <f t="shared" si="1"/>
        <v> Violation</v>
      </c>
      <c r="C772" s="9"/>
      <c r="D772" s="9"/>
      <c r="E772" s="9"/>
      <c r="F772" s="9"/>
      <c r="G772" s="9"/>
      <c r="H772" s="9"/>
      <c r="I772" s="9"/>
      <c r="J772" s="9"/>
      <c r="K772" s="9"/>
      <c r="L772" s="9"/>
      <c r="M772" s="9"/>
      <c r="N772" s="9"/>
      <c r="O772" s="9"/>
    </row>
    <row r="773">
      <c r="B773" s="9" t="str">
        <f t="shared" si="1"/>
        <v> Violation</v>
      </c>
      <c r="C773" s="9"/>
      <c r="D773" s="9"/>
      <c r="E773" s="9"/>
      <c r="F773" s="9"/>
      <c r="G773" s="9"/>
      <c r="H773" s="9"/>
      <c r="I773" s="9"/>
      <c r="J773" s="9"/>
      <c r="K773" s="9"/>
      <c r="L773" s="9"/>
      <c r="M773" s="9"/>
      <c r="N773" s="9"/>
      <c r="O773" s="9"/>
    </row>
    <row r="774">
      <c r="B774" s="9" t="str">
        <f t="shared" si="1"/>
        <v> Violation</v>
      </c>
      <c r="C774" s="9"/>
      <c r="D774" s="9"/>
      <c r="E774" s="9"/>
      <c r="F774" s="9"/>
      <c r="G774" s="9"/>
      <c r="H774" s="9"/>
      <c r="I774" s="9"/>
      <c r="J774" s="9"/>
      <c r="K774" s="9"/>
      <c r="L774" s="9"/>
      <c r="M774" s="9"/>
      <c r="N774" s="9"/>
      <c r="O774" s="9"/>
    </row>
    <row r="775">
      <c r="B775" s="9" t="str">
        <f t="shared" si="1"/>
        <v> Violation</v>
      </c>
      <c r="C775" s="9"/>
      <c r="D775" s="9"/>
      <c r="E775" s="9"/>
      <c r="F775" s="9"/>
      <c r="G775" s="9"/>
      <c r="H775" s="9"/>
      <c r="I775" s="9"/>
      <c r="J775" s="9"/>
      <c r="K775" s="9"/>
      <c r="L775" s="9"/>
      <c r="M775" s="9"/>
      <c r="N775" s="9"/>
      <c r="O775" s="9"/>
    </row>
    <row r="776">
      <c r="B776" s="9" t="str">
        <f t="shared" si="1"/>
        <v> Violation</v>
      </c>
      <c r="C776" s="9"/>
      <c r="D776" s="9"/>
      <c r="E776" s="9"/>
      <c r="F776" s="9"/>
      <c r="G776" s="9"/>
      <c r="H776" s="9"/>
      <c r="I776" s="9"/>
      <c r="J776" s="9"/>
      <c r="K776" s="9"/>
      <c r="L776" s="9"/>
      <c r="M776" s="9"/>
      <c r="N776" s="9"/>
      <c r="O776" s="9"/>
    </row>
    <row r="777">
      <c r="B777" s="9" t="str">
        <f t="shared" si="1"/>
        <v> Violation</v>
      </c>
      <c r="C777" s="9"/>
      <c r="D777" s="9"/>
      <c r="E777" s="9"/>
      <c r="F777" s="9"/>
      <c r="G777" s="9"/>
      <c r="H777" s="9"/>
      <c r="I777" s="9"/>
      <c r="J777" s="9"/>
      <c r="K777" s="9"/>
      <c r="L777" s="9"/>
      <c r="M777" s="9"/>
      <c r="N777" s="9"/>
      <c r="O777" s="9"/>
    </row>
    <row r="778">
      <c r="B778" s="9" t="str">
        <f t="shared" si="1"/>
        <v> Violation</v>
      </c>
      <c r="C778" s="9"/>
      <c r="D778" s="9"/>
      <c r="E778" s="9"/>
      <c r="F778" s="9"/>
      <c r="G778" s="9"/>
      <c r="H778" s="9"/>
      <c r="I778" s="9"/>
      <c r="J778" s="9"/>
      <c r="K778" s="9"/>
      <c r="L778" s="9"/>
      <c r="M778" s="9"/>
      <c r="N778" s="9"/>
      <c r="O778" s="9"/>
    </row>
    <row r="779">
      <c r="B779" s="9" t="str">
        <f t="shared" si="1"/>
        <v> Violation</v>
      </c>
      <c r="C779" s="9"/>
      <c r="D779" s="9"/>
      <c r="E779" s="9"/>
      <c r="F779" s="9"/>
      <c r="G779" s="9"/>
      <c r="H779" s="9"/>
      <c r="I779" s="9"/>
      <c r="J779" s="9"/>
      <c r="K779" s="9"/>
      <c r="L779" s="9"/>
      <c r="M779" s="9"/>
      <c r="N779" s="9"/>
      <c r="O779" s="9"/>
    </row>
    <row r="780">
      <c r="B780" s="9" t="str">
        <f t="shared" si="1"/>
        <v> Violation</v>
      </c>
      <c r="C780" s="9"/>
      <c r="D780" s="9"/>
      <c r="E780" s="9"/>
      <c r="F780" s="9"/>
      <c r="G780" s="9"/>
      <c r="H780" s="9"/>
      <c r="I780" s="9"/>
      <c r="J780" s="9"/>
      <c r="K780" s="9"/>
      <c r="L780" s="9"/>
      <c r="M780" s="9"/>
      <c r="N780" s="9"/>
      <c r="O780" s="9"/>
    </row>
    <row r="781">
      <c r="B781" s="9" t="str">
        <f t="shared" si="1"/>
        <v> Violation</v>
      </c>
      <c r="C781" s="9"/>
      <c r="D781" s="9"/>
      <c r="E781" s="9"/>
      <c r="F781" s="9"/>
      <c r="G781" s="9"/>
      <c r="H781" s="9"/>
      <c r="I781" s="9"/>
      <c r="J781" s="9"/>
      <c r="K781" s="9"/>
      <c r="L781" s="9"/>
      <c r="M781" s="9"/>
      <c r="N781" s="9"/>
      <c r="O781" s="9"/>
    </row>
    <row r="782">
      <c r="B782" s="9" t="str">
        <f t="shared" si="1"/>
        <v> Violation</v>
      </c>
      <c r="C782" s="9"/>
      <c r="D782" s="9"/>
      <c r="E782" s="9"/>
      <c r="F782" s="9"/>
      <c r="G782" s="9"/>
      <c r="H782" s="9"/>
      <c r="I782" s="9"/>
      <c r="J782" s="9"/>
      <c r="K782" s="9"/>
      <c r="L782" s="9"/>
      <c r="M782" s="9"/>
      <c r="N782" s="9"/>
      <c r="O782" s="9"/>
    </row>
    <row r="783">
      <c r="B783" s="9" t="str">
        <f t="shared" si="1"/>
        <v> Violation</v>
      </c>
      <c r="C783" s="9"/>
      <c r="D783" s="9"/>
      <c r="E783" s="9"/>
      <c r="F783" s="9"/>
      <c r="G783" s="9"/>
      <c r="H783" s="9"/>
      <c r="I783" s="9"/>
      <c r="J783" s="9"/>
      <c r="K783" s="9"/>
      <c r="L783" s="9"/>
      <c r="M783" s="9"/>
      <c r="N783" s="9"/>
      <c r="O783" s="9"/>
    </row>
    <row r="784">
      <c r="B784" s="9" t="str">
        <f t="shared" si="1"/>
        <v> Violation</v>
      </c>
      <c r="C784" s="9"/>
      <c r="D784" s="9"/>
      <c r="E784" s="9"/>
      <c r="F784" s="9"/>
      <c r="G784" s="9"/>
      <c r="H784" s="9"/>
      <c r="I784" s="9"/>
      <c r="J784" s="9"/>
      <c r="K784" s="9"/>
      <c r="L784" s="9"/>
      <c r="M784" s="9"/>
      <c r="N784" s="9"/>
      <c r="O784" s="9"/>
    </row>
    <row r="785">
      <c r="B785" s="9" t="str">
        <f t="shared" si="1"/>
        <v> Violation</v>
      </c>
      <c r="C785" s="9"/>
      <c r="D785" s="9"/>
      <c r="E785" s="9"/>
      <c r="F785" s="9"/>
      <c r="G785" s="9"/>
      <c r="H785" s="9"/>
      <c r="I785" s="9"/>
      <c r="J785" s="9"/>
      <c r="K785" s="9"/>
      <c r="L785" s="9"/>
      <c r="M785" s="9"/>
      <c r="N785" s="9"/>
      <c r="O785" s="9"/>
    </row>
    <row r="786">
      <c r="B786" s="9" t="str">
        <f t="shared" si="1"/>
        <v> Violation</v>
      </c>
      <c r="C786" s="9"/>
      <c r="D786" s="9"/>
      <c r="E786" s="9"/>
      <c r="F786" s="9"/>
      <c r="G786" s="9"/>
      <c r="H786" s="9"/>
      <c r="I786" s="9"/>
      <c r="J786" s="9"/>
      <c r="K786" s="9"/>
      <c r="L786" s="9"/>
      <c r="M786" s="9"/>
      <c r="N786" s="9"/>
      <c r="O786" s="9"/>
    </row>
    <row r="787">
      <c r="B787" s="9" t="str">
        <f t="shared" si="1"/>
        <v> Violation</v>
      </c>
      <c r="C787" s="9"/>
      <c r="D787" s="9"/>
      <c r="E787" s="9"/>
      <c r="F787" s="9"/>
      <c r="G787" s="9"/>
      <c r="H787" s="9"/>
      <c r="I787" s="9"/>
      <c r="J787" s="9"/>
      <c r="K787" s="9"/>
      <c r="L787" s="9"/>
      <c r="M787" s="9"/>
      <c r="N787" s="9"/>
      <c r="O787" s="9"/>
    </row>
    <row r="788">
      <c r="B788" s="9" t="str">
        <f t="shared" si="1"/>
        <v> Violation</v>
      </c>
      <c r="C788" s="9"/>
      <c r="D788" s="9"/>
      <c r="E788" s="9"/>
      <c r="F788" s="9"/>
      <c r="G788" s="9"/>
      <c r="H788" s="9"/>
      <c r="I788" s="9"/>
      <c r="J788" s="9"/>
      <c r="K788" s="9"/>
      <c r="L788" s="9"/>
      <c r="M788" s="9"/>
      <c r="N788" s="9"/>
      <c r="O788" s="9"/>
    </row>
    <row r="789">
      <c r="B789" s="9" t="str">
        <f t="shared" si="1"/>
        <v> Violation</v>
      </c>
      <c r="C789" s="9"/>
      <c r="D789" s="9"/>
      <c r="E789" s="9"/>
      <c r="F789" s="9"/>
      <c r="G789" s="9"/>
      <c r="H789" s="9"/>
      <c r="I789" s="9"/>
      <c r="J789" s="9"/>
      <c r="K789" s="9"/>
      <c r="L789" s="9"/>
      <c r="M789" s="9"/>
      <c r="N789" s="9"/>
      <c r="O789" s="9"/>
    </row>
    <row r="790">
      <c r="B790" s="9" t="str">
        <f t="shared" si="1"/>
        <v> Violation</v>
      </c>
      <c r="C790" s="9"/>
      <c r="D790" s="9"/>
      <c r="E790" s="9"/>
      <c r="F790" s="9"/>
      <c r="G790" s="9"/>
      <c r="H790" s="9"/>
      <c r="I790" s="9"/>
      <c r="J790" s="9"/>
      <c r="K790" s="9"/>
      <c r="L790" s="9"/>
      <c r="M790" s="9"/>
      <c r="N790" s="9"/>
      <c r="O790" s="9"/>
    </row>
    <row r="791">
      <c r="B791" s="9" t="str">
        <f t="shared" si="1"/>
        <v> Violation</v>
      </c>
      <c r="C791" s="9"/>
      <c r="D791" s="9"/>
      <c r="E791" s="9"/>
      <c r="F791" s="9"/>
      <c r="G791" s="9"/>
      <c r="H791" s="9"/>
      <c r="I791" s="9"/>
      <c r="J791" s="9"/>
      <c r="K791" s="9"/>
      <c r="L791" s="9"/>
      <c r="M791" s="9"/>
      <c r="N791" s="9"/>
      <c r="O791" s="9"/>
    </row>
    <row r="792">
      <c r="B792" s="9" t="str">
        <f t="shared" si="1"/>
        <v> Violation</v>
      </c>
      <c r="C792" s="9"/>
      <c r="D792" s="9"/>
      <c r="E792" s="9"/>
      <c r="F792" s="9"/>
      <c r="G792" s="9"/>
      <c r="H792" s="9"/>
      <c r="I792" s="9"/>
      <c r="J792" s="9"/>
      <c r="K792" s="9"/>
      <c r="L792" s="9"/>
      <c r="M792" s="9"/>
      <c r="N792" s="9"/>
      <c r="O792" s="9"/>
    </row>
    <row r="793">
      <c r="B793" s="9" t="str">
        <f t="shared" si="1"/>
        <v> Violation</v>
      </c>
      <c r="C793" s="9"/>
      <c r="D793" s="9"/>
      <c r="E793" s="9"/>
      <c r="F793" s="9"/>
      <c r="G793" s="9"/>
      <c r="H793" s="9"/>
      <c r="I793" s="9"/>
      <c r="J793" s="9"/>
      <c r="K793" s="9"/>
      <c r="L793" s="9"/>
      <c r="M793" s="9"/>
      <c r="N793" s="9"/>
      <c r="O793" s="9"/>
    </row>
    <row r="794">
      <c r="B794" s="9" t="str">
        <f t="shared" si="1"/>
        <v> Violation</v>
      </c>
      <c r="C794" s="9"/>
      <c r="D794" s="9"/>
      <c r="E794" s="9"/>
      <c r="F794" s="9"/>
      <c r="G794" s="9"/>
      <c r="H794" s="9"/>
      <c r="I794" s="9"/>
      <c r="J794" s="9"/>
      <c r="K794" s="9"/>
      <c r="L794" s="9"/>
      <c r="M794" s="9"/>
      <c r="N794" s="9"/>
      <c r="O794" s="9"/>
    </row>
    <row r="795">
      <c r="B795" s="9" t="str">
        <f t="shared" si="1"/>
        <v> Violation</v>
      </c>
      <c r="C795" s="9"/>
      <c r="D795" s="9"/>
      <c r="E795" s="9"/>
      <c r="F795" s="9"/>
      <c r="G795" s="9"/>
      <c r="H795" s="9"/>
      <c r="I795" s="9"/>
      <c r="J795" s="9"/>
      <c r="K795" s="9"/>
      <c r="L795" s="9"/>
      <c r="M795" s="9"/>
      <c r="N795" s="9"/>
      <c r="O795" s="9"/>
    </row>
    <row r="796">
      <c r="B796" s="9" t="str">
        <f t="shared" si="1"/>
        <v> Violation</v>
      </c>
      <c r="C796" s="9"/>
      <c r="D796" s="9"/>
      <c r="E796" s="9"/>
      <c r="F796" s="9"/>
      <c r="G796" s="9"/>
      <c r="H796" s="9"/>
      <c r="I796" s="9"/>
      <c r="J796" s="9"/>
      <c r="K796" s="9"/>
      <c r="L796" s="9"/>
      <c r="M796" s="9"/>
      <c r="N796" s="9"/>
      <c r="O796" s="9"/>
    </row>
    <row r="797">
      <c r="B797" s="9" t="str">
        <f t="shared" si="1"/>
        <v> Violation</v>
      </c>
      <c r="C797" s="9"/>
      <c r="D797" s="9"/>
      <c r="E797" s="9"/>
      <c r="F797" s="9"/>
      <c r="G797" s="9"/>
      <c r="H797" s="9"/>
      <c r="I797" s="9"/>
      <c r="J797" s="9"/>
      <c r="K797" s="9"/>
      <c r="L797" s="9"/>
      <c r="M797" s="9"/>
      <c r="N797" s="9"/>
      <c r="O797" s="9"/>
    </row>
    <row r="798">
      <c r="B798" s="9" t="str">
        <f t="shared" si="1"/>
        <v> Violation</v>
      </c>
      <c r="C798" s="9"/>
      <c r="D798" s="9"/>
      <c r="E798" s="9"/>
      <c r="F798" s="9"/>
      <c r="G798" s="9"/>
      <c r="H798" s="9"/>
      <c r="I798" s="9"/>
      <c r="J798" s="9"/>
      <c r="K798" s="9"/>
      <c r="L798" s="9"/>
      <c r="M798" s="9"/>
      <c r="N798" s="9"/>
      <c r="O798" s="9"/>
    </row>
    <row r="799">
      <c r="B799" s="9" t="str">
        <f t="shared" si="1"/>
        <v> Violation</v>
      </c>
      <c r="C799" s="9"/>
      <c r="D799" s="9"/>
      <c r="E799" s="9"/>
      <c r="F799" s="9"/>
      <c r="G799" s="9"/>
      <c r="H799" s="9"/>
      <c r="I799" s="9"/>
      <c r="J799" s="9"/>
      <c r="K799" s="9"/>
      <c r="L799" s="9"/>
      <c r="M799" s="9"/>
      <c r="N799" s="9"/>
      <c r="O799" s="9"/>
    </row>
    <row r="800">
      <c r="B800" s="9" t="str">
        <f t="shared" si="1"/>
        <v> Violation</v>
      </c>
      <c r="C800" s="9"/>
      <c r="D800" s="9"/>
      <c r="E800" s="9"/>
      <c r="F800" s="9"/>
      <c r="G800" s="9"/>
      <c r="H800" s="9"/>
      <c r="I800" s="9"/>
      <c r="J800" s="9"/>
      <c r="K800" s="9"/>
      <c r="L800" s="9"/>
      <c r="M800" s="9"/>
      <c r="N800" s="9"/>
      <c r="O800" s="9"/>
    </row>
    <row r="801">
      <c r="B801" s="9" t="str">
        <f t="shared" si="1"/>
        <v> Violation</v>
      </c>
      <c r="C801" s="9"/>
      <c r="D801" s="9"/>
      <c r="E801" s="9"/>
      <c r="F801" s="9"/>
      <c r="G801" s="9"/>
      <c r="H801" s="9"/>
      <c r="I801" s="9"/>
      <c r="J801" s="9"/>
      <c r="K801" s="9"/>
      <c r="L801" s="9"/>
      <c r="M801" s="9"/>
      <c r="N801" s="9"/>
      <c r="O801" s="9"/>
    </row>
    <row r="802">
      <c r="B802" s="9" t="str">
        <f t="shared" si="1"/>
        <v> Violation</v>
      </c>
      <c r="C802" s="9"/>
      <c r="D802" s="9"/>
      <c r="E802" s="9"/>
      <c r="F802" s="9"/>
      <c r="G802" s="9"/>
      <c r="H802" s="9"/>
      <c r="I802" s="9"/>
      <c r="J802" s="9"/>
      <c r="K802" s="9"/>
      <c r="L802" s="9"/>
      <c r="M802" s="9"/>
      <c r="N802" s="9"/>
      <c r="O802" s="9"/>
    </row>
    <row r="803">
      <c r="B803" s="9" t="str">
        <f t="shared" si="1"/>
        <v> Violation</v>
      </c>
      <c r="C803" s="9"/>
      <c r="D803" s="9"/>
      <c r="E803" s="9"/>
      <c r="F803" s="9"/>
      <c r="G803" s="9"/>
      <c r="H803" s="9"/>
      <c r="I803" s="9"/>
      <c r="J803" s="9"/>
      <c r="K803" s="9"/>
      <c r="L803" s="9"/>
      <c r="M803" s="9"/>
      <c r="N803" s="9"/>
      <c r="O803" s="9"/>
    </row>
    <row r="804">
      <c r="B804" s="9" t="str">
        <f t="shared" si="1"/>
        <v> Violation</v>
      </c>
      <c r="C804" s="9"/>
      <c r="D804" s="9"/>
      <c r="E804" s="9"/>
      <c r="F804" s="9"/>
      <c r="G804" s="9"/>
      <c r="H804" s="9"/>
      <c r="I804" s="9"/>
      <c r="J804" s="9"/>
      <c r="K804" s="9"/>
      <c r="L804" s="9"/>
      <c r="M804" s="9"/>
      <c r="N804" s="9"/>
      <c r="O804" s="9"/>
    </row>
    <row r="805">
      <c r="B805" s="9" t="str">
        <f t="shared" si="1"/>
        <v> Violation</v>
      </c>
      <c r="C805" s="9"/>
      <c r="D805" s="9"/>
      <c r="E805" s="9"/>
      <c r="F805" s="9"/>
      <c r="G805" s="9"/>
      <c r="H805" s="9"/>
      <c r="I805" s="9"/>
      <c r="J805" s="9"/>
      <c r="K805" s="9"/>
      <c r="L805" s="9"/>
      <c r="M805" s="9"/>
      <c r="N805" s="9"/>
      <c r="O805" s="9"/>
    </row>
    <row r="806">
      <c r="B806" s="9" t="str">
        <f t="shared" si="1"/>
        <v> Violation</v>
      </c>
      <c r="C806" s="9"/>
      <c r="D806" s="9"/>
      <c r="E806" s="9"/>
      <c r="F806" s="9"/>
      <c r="G806" s="9"/>
      <c r="H806" s="9"/>
      <c r="I806" s="9"/>
      <c r="J806" s="9"/>
      <c r="K806" s="9"/>
      <c r="L806" s="9"/>
      <c r="M806" s="9"/>
      <c r="N806" s="9"/>
      <c r="O806" s="9"/>
    </row>
    <row r="807">
      <c r="B807" s="9" t="str">
        <f t="shared" si="1"/>
        <v> Violation</v>
      </c>
      <c r="C807" s="9"/>
      <c r="D807" s="9"/>
      <c r="E807" s="9"/>
      <c r="F807" s="9"/>
      <c r="G807" s="9"/>
      <c r="H807" s="9"/>
      <c r="I807" s="9"/>
      <c r="J807" s="9"/>
      <c r="K807" s="9"/>
      <c r="L807" s="9"/>
      <c r="M807" s="9"/>
      <c r="N807" s="9"/>
      <c r="O807" s="9"/>
    </row>
    <row r="808">
      <c r="B808" s="9" t="str">
        <f t="shared" si="1"/>
        <v> Violation</v>
      </c>
      <c r="C808" s="9"/>
      <c r="D808" s="9"/>
      <c r="E808" s="9"/>
      <c r="F808" s="9"/>
      <c r="G808" s="9"/>
      <c r="H808" s="9"/>
      <c r="I808" s="9"/>
      <c r="J808" s="9"/>
      <c r="K808" s="9"/>
      <c r="L808" s="9"/>
      <c r="M808" s="9"/>
      <c r="N808" s="9"/>
      <c r="O808" s="9"/>
    </row>
    <row r="809">
      <c r="B809" s="9" t="str">
        <f t="shared" si="1"/>
        <v> Violation</v>
      </c>
      <c r="C809" s="9"/>
      <c r="D809" s="9"/>
      <c r="E809" s="9"/>
      <c r="F809" s="9"/>
      <c r="G809" s="9"/>
      <c r="H809" s="9"/>
      <c r="I809" s="9"/>
      <c r="J809" s="9"/>
      <c r="K809" s="9"/>
      <c r="L809" s="9"/>
      <c r="M809" s="9"/>
      <c r="N809" s="9"/>
      <c r="O809" s="9"/>
    </row>
    <row r="810">
      <c r="B810" s="9" t="str">
        <f t="shared" si="1"/>
        <v> Violation</v>
      </c>
      <c r="C810" s="9"/>
      <c r="D810" s="9"/>
      <c r="E810" s="9"/>
      <c r="F810" s="9"/>
      <c r="G810" s="9"/>
      <c r="H810" s="9"/>
      <c r="I810" s="9"/>
      <c r="J810" s="9"/>
      <c r="K810" s="9"/>
      <c r="L810" s="9"/>
      <c r="M810" s="9"/>
      <c r="N810" s="9"/>
      <c r="O810" s="9"/>
    </row>
    <row r="811">
      <c r="B811" s="9" t="str">
        <f t="shared" si="1"/>
        <v> Violation</v>
      </c>
      <c r="C811" s="9"/>
      <c r="D811" s="9"/>
      <c r="E811" s="9"/>
      <c r="F811" s="9"/>
      <c r="G811" s="9"/>
      <c r="H811" s="9"/>
      <c r="I811" s="9"/>
      <c r="J811" s="9"/>
      <c r="K811" s="9"/>
      <c r="L811" s="9"/>
      <c r="M811" s="9"/>
      <c r="N811" s="9"/>
      <c r="O811" s="9"/>
    </row>
    <row r="812">
      <c r="B812" s="9" t="str">
        <f t="shared" si="1"/>
        <v> Violation</v>
      </c>
      <c r="C812" s="9"/>
      <c r="D812" s="9"/>
      <c r="E812" s="9"/>
      <c r="F812" s="9"/>
      <c r="G812" s="9"/>
      <c r="H812" s="9"/>
      <c r="I812" s="9"/>
      <c r="J812" s="9"/>
      <c r="K812" s="9"/>
      <c r="L812" s="9"/>
      <c r="M812" s="9"/>
      <c r="N812" s="9"/>
      <c r="O812" s="9"/>
    </row>
    <row r="813">
      <c r="B813" s="9" t="str">
        <f t="shared" si="1"/>
        <v> Violation</v>
      </c>
      <c r="C813" s="9"/>
      <c r="D813" s="9"/>
      <c r="E813" s="9"/>
      <c r="F813" s="9"/>
      <c r="G813" s="9"/>
      <c r="H813" s="9"/>
      <c r="I813" s="9"/>
      <c r="J813" s="9"/>
      <c r="K813" s="9"/>
      <c r="L813" s="9"/>
      <c r="M813" s="9"/>
      <c r="N813" s="9"/>
      <c r="O813" s="9"/>
    </row>
    <row r="814">
      <c r="B814" s="9" t="str">
        <f t="shared" si="1"/>
        <v> Violation</v>
      </c>
      <c r="C814" s="9"/>
      <c r="D814" s="9"/>
      <c r="E814" s="9"/>
      <c r="F814" s="9"/>
      <c r="G814" s="9"/>
      <c r="H814" s="9"/>
      <c r="I814" s="9"/>
      <c r="J814" s="9"/>
      <c r="K814" s="9"/>
      <c r="L814" s="9"/>
      <c r="M814" s="9"/>
      <c r="N814" s="9"/>
      <c r="O814" s="9"/>
    </row>
    <row r="815">
      <c r="B815" s="9" t="str">
        <f t="shared" si="1"/>
        <v> Violation</v>
      </c>
      <c r="C815" s="9"/>
      <c r="D815" s="9"/>
      <c r="E815" s="9"/>
      <c r="F815" s="9"/>
      <c r="G815" s="9"/>
      <c r="H815" s="9"/>
      <c r="I815" s="9"/>
      <c r="J815" s="9"/>
      <c r="K815" s="9"/>
      <c r="L815" s="9"/>
      <c r="M815" s="9"/>
      <c r="N815" s="9"/>
      <c r="O815" s="9"/>
    </row>
    <row r="816">
      <c r="B816" s="9" t="str">
        <f t="shared" si="1"/>
        <v> Violation</v>
      </c>
      <c r="C816" s="9"/>
      <c r="D816" s="9"/>
      <c r="E816" s="9"/>
      <c r="F816" s="9"/>
      <c r="G816" s="9"/>
      <c r="H816" s="9"/>
      <c r="I816" s="9"/>
      <c r="J816" s="9"/>
      <c r="K816" s="9"/>
      <c r="L816" s="9"/>
      <c r="M816" s="9"/>
      <c r="N816" s="9"/>
      <c r="O816" s="9"/>
    </row>
    <row r="817">
      <c r="B817" s="9" t="str">
        <f t="shared" si="1"/>
        <v> Violation</v>
      </c>
      <c r="C817" s="9"/>
      <c r="D817" s="9"/>
      <c r="E817" s="9"/>
      <c r="F817" s="9"/>
      <c r="G817" s="9"/>
      <c r="H817" s="9"/>
      <c r="I817" s="9"/>
      <c r="J817" s="9"/>
      <c r="K817" s="9"/>
      <c r="L817" s="9"/>
      <c r="M817" s="9"/>
      <c r="N817" s="9"/>
      <c r="O817" s="9"/>
    </row>
    <row r="818">
      <c r="B818" s="9" t="str">
        <f t="shared" si="1"/>
        <v> Violation</v>
      </c>
      <c r="C818" s="9"/>
      <c r="D818" s="9"/>
      <c r="E818" s="9"/>
      <c r="F818" s="9"/>
      <c r="G818" s="9"/>
      <c r="H818" s="9"/>
      <c r="I818" s="9"/>
      <c r="J818" s="9"/>
      <c r="K818" s="9"/>
      <c r="L818" s="9"/>
      <c r="M818" s="9"/>
      <c r="N818" s="9"/>
      <c r="O818" s="9"/>
    </row>
    <row r="819">
      <c r="B819" s="9" t="str">
        <f t="shared" si="1"/>
        <v> Violation</v>
      </c>
      <c r="C819" s="9"/>
      <c r="D819" s="9"/>
      <c r="E819" s="9"/>
      <c r="F819" s="9"/>
      <c r="G819" s="9"/>
      <c r="H819" s="9"/>
      <c r="I819" s="9"/>
      <c r="J819" s="9"/>
      <c r="K819" s="9"/>
      <c r="L819" s="9"/>
      <c r="M819" s="9"/>
      <c r="N819" s="9"/>
      <c r="O819" s="9"/>
    </row>
    <row r="820">
      <c r="B820" s="9" t="str">
        <f t="shared" si="1"/>
        <v> Violation</v>
      </c>
      <c r="C820" s="9"/>
      <c r="D820" s="9"/>
      <c r="E820" s="9"/>
      <c r="F820" s="9"/>
      <c r="G820" s="9"/>
      <c r="H820" s="9"/>
      <c r="I820" s="9"/>
      <c r="J820" s="9"/>
      <c r="K820" s="9"/>
      <c r="L820" s="9"/>
      <c r="M820" s="9"/>
      <c r="N820" s="9"/>
      <c r="O820" s="9"/>
    </row>
    <row r="821">
      <c r="B821" s="9" t="str">
        <f t="shared" si="1"/>
        <v> Violation</v>
      </c>
      <c r="C821" s="9"/>
      <c r="D821" s="9"/>
      <c r="E821" s="9"/>
      <c r="F821" s="9"/>
      <c r="G821" s="9"/>
      <c r="H821" s="9"/>
      <c r="I821" s="9"/>
      <c r="J821" s="9"/>
      <c r="K821" s="9"/>
      <c r="L821" s="9"/>
      <c r="M821" s="9"/>
      <c r="N821" s="9"/>
      <c r="O821" s="9"/>
    </row>
    <row r="822">
      <c r="B822" s="9" t="str">
        <f t="shared" si="1"/>
        <v> Violation</v>
      </c>
      <c r="C822" s="9"/>
      <c r="D822" s="9"/>
      <c r="E822" s="9"/>
      <c r="F822" s="9"/>
      <c r="G822" s="9"/>
      <c r="H822" s="9"/>
      <c r="I822" s="9"/>
      <c r="J822" s="9"/>
      <c r="K822" s="9"/>
      <c r="L822" s="9"/>
      <c r="M822" s="9"/>
      <c r="N822" s="9"/>
      <c r="O822" s="9"/>
    </row>
    <row r="823">
      <c r="B823" s="9" t="str">
        <f t="shared" si="1"/>
        <v> Violation</v>
      </c>
      <c r="C823" s="9"/>
      <c r="D823" s="9"/>
      <c r="E823" s="9"/>
      <c r="F823" s="9"/>
      <c r="G823" s="9"/>
      <c r="H823" s="9"/>
      <c r="I823" s="9"/>
      <c r="J823" s="9"/>
      <c r="K823" s="9"/>
      <c r="L823" s="9"/>
      <c r="M823" s="9"/>
      <c r="N823" s="9"/>
      <c r="O823" s="9"/>
    </row>
    <row r="824">
      <c r="B824" s="9" t="str">
        <f t="shared" si="1"/>
        <v> Violation</v>
      </c>
      <c r="C824" s="9"/>
      <c r="D824" s="9"/>
      <c r="E824" s="9"/>
      <c r="F824" s="9"/>
      <c r="G824" s="9"/>
      <c r="H824" s="9"/>
      <c r="I824" s="9"/>
      <c r="J824" s="9"/>
      <c r="K824" s="9"/>
      <c r="L824" s="9"/>
      <c r="M824" s="9"/>
      <c r="N824" s="9"/>
      <c r="O824" s="9"/>
    </row>
    <row r="825">
      <c r="B825" s="9" t="str">
        <f t="shared" si="1"/>
        <v> Violation</v>
      </c>
      <c r="C825" s="9"/>
      <c r="D825" s="9"/>
      <c r="E825" s="9"/>
      <c r="F825" s="9"/>
      <c r="G825" s="9"/>
      <c r="H825" s="9"/>
      <c r="I825" s="9"/>
      <c r="J825" s="9"/>
      <c r="K825" s="9"/>
      <c r="L825" s="9"/>
      <c r="M825" s="9"/>
      <c r="N825" s="9"/>
      <c r="O825" s="9"/>
    </row>
    <row r="826">
      <c r="B826" s="9" t="str">
        <f t="shared" si="1"/>
        <v> Violation</v>
      </c>
      <c r="C826" s="9"/>
      <c r="D826" s="9"/>
      <c r="E826" s="9"/>
      <c r="F826" s="9"/>
      <c r="G826" s="9"/>
      <c r="H826" s="9"/>
      <c r="I826" s="9"/>
      <c r="J826" s="9"/>
      <c r="K826" s="9"/>
      <c r="L826" s="9"/>
      <c r="M826" s="9"/>
      <c r="N826" s="9"/>
      <c r="O826" s="9"/>
    </row>
    <row r="827">
      <c r="B827" s="9" t="str">
        <f t="shared" si="1"/>
        <v> Violation</v>
      </c>
      <c r="C827" s="9"/>
      <c r="D827" s="9"/>
      <c r="E827" s="9"/>
      <c r="F827" s="9"/>
      <c r="G827" s="9"/>
      <c r="H827" s="9"/>
      <c r="I827" s="9"/>
      <c r="J827" s="9"/>
      <c r="K827" s="9"/>
      <c r="L827" s="9"/>
      <c r="M827" s="9"/>
      <c r="N827" s="9"/>
      <c r="O827" s="9"/>
    </row>
    <row r="828">
      <c r="B828" s="9" t="str">
        <f t="shared" si="1"/>
        <v> Violation</v>
      </c>
      <c r="C828" s="9"/>
      <c r="D828" s="9"/>
      <c r="E828" s="9"/>
      <c r="F828" s="9"/>
      <c r="G828" s="9"/>
      <c r="H828" s="9"/>
      <c r="I828" s="9"/>
      <c r="J828" s="9"/>
      <c r="K828" s="9"/>
      <c r="L828" s="9"/>
      <c r="M828" s="9"/>
      <c r="N828" s="9"/>
      <c r="O828" s="9"/>
    </row>
    <row r="829">
      <c r="B829" s="9" t="str">
        <f t="shared" si="1"/>
        <v> Violation</v>
      </c>
      <c r="C829" s="9"/>
      <c r="D829" s="9"/>
      <c r="E829" s="9"/>
      <c r="F829" s="9"/>
      <c r="G829" s="9"/>
      <c r="H829" s="9"/>
      <c r="I829" s="9"/>
      <c r="J829" s="9"/>
      <c r="K829" s="9"/>
      <c r="L829" s="9"/>
      <c r="M829" s="9"/>
      <c r="N829" s="9"/>
      <c r="O829" s="9"/>
    </row>
    <row r="830">
      <c r="B830" s="9" t="str">
        <f t="shared" si="1"/>
        <v> Violation</v>
      </c>
      <c r="C830" s="9"/>
      <c r="D830" s="9"/>
      <c r="E830" s="9"/>
      <c r="F830" s="9"/>
      <c r="G830" s="9"/>
      <c r="H830" s="9"/>
      <c r="I830" s="9"/>
      <c r="J830" s="9"/>
      <c r="K830" s="9"/>
      <c r="L830" s="9"/>
      <c r="M830" s="9"/>
      <c r="N830" s="9"/>
      <c r="O830" s="9"/>
    </row>
    <row r="831">
      <c r="B831" s="9" t="str">
        <f t="shared" si="1"/>
        <v> Violation</v>
      </c>
      <c r="C831" s="9"/>
      <c r="D831" s="9"/>
      <c r="E831" s="9"/>
      <c r="F831" s="9"/>
      <c r="G831" s="9"/>
      <c r="H831" s="9"/>
      <c r="I831" s="9"/>
      <c r="J831" s="9"/>
      <c r="K831" s="9"/>
      <c r="L831" s="9"/>
      <c r="M831" s="9"/>
      <c r="N831" s="9"/>
      <c r="O831" s="9"/>
    </row>
    <row r="832">
      <c r="B832" s="9" t="str">
        <f t="shared" si="1"/>
        <v> Violation</v>
      </c>
      <c r="C832" s="9"/>
      <c r="D832" s="9"/>
      <c r="E832" s="9"/>
      <c r="F832" s="9"/>
      <c r="G832" s="9"/>
      <c r="H832" s="9"/>
      <c r="I832" s="9"/>
      <c r="J832" s="9"/>
      <c r="K832" s="9"/>
      <c r="L832" s="9"/>
      <c r="M832" s="9"/>
      <c r="N832" s="9"/>
      <c r="O832" s="9"/>
    </row>
    <row r="833">
      <c r="B833" s="9" t="str">
        <f t="shared" si="1"/>
        <v> Violation</v>
      </c>
      <c r="C833" s="9"/>
      <c r="D833" s="9"/>
      <c r="E833" s="9"/>
      <c r="F833" s="9"/>
      <c r="G833" s="9"/>
      <c r="H833" s="9"/>
      <c r="I833" s="9"/>
      <c r="J833" s="9"/>
      <c r="K833" s="9"/>
      <c r="L833" s="9"/>
      <c r="M833" s="9"/>
      <c r="N833" s="9"/>
      <c r="O833" s="9"/>
    </row>
    <row r="834">
      <c r="B834" s="9" t="str">
        <f t="shared" si="1"/>
        <v> Violation</v>
      </c>
      <c r="C834" s="9"/>
      <c r="D834" s="9"/>
      <c r="E834" s="9"/>
      <c r="F834" s="9"/>
      <c r="G834" s="9"/>
      <c r="H834" s="9"/>
      <c r="I834" s="9"/>
      <c r="J834" s="9"/>
      <c r="K834" s="9"/>
      <c r="L834" s="9"/>
      <c r="M834" s="9"/>
      <c r="N834" s="9"/>
      <c r="O834" s="9"/>
    </row>
    <row r="835">
      <c r="B835" s="9" t="str">
        <f t="shared" si="1"/>
        <v> Violation</v>
      </c>
      <c r="C835" s="9"/>
      <c r="D835" s="9"/>
      <c r="E835" s="9"/>
      <c r="F835" s="9"/>
      <c r="G835" s="9"/>
      <c r="H835" s="9"/>
      <c r="I835" s="9"/>
      <c r="J835" s="9"/>
      <c r="K835" s="9"/>
      <c r="L835" s="9"/>
      <c r="M835" s="9"/>
      <c r="N835" s="9"/>
      <c r="O835" s="9"/>
    </row>
    <row r="836">
      <c r="B836" s="9" t="str">
        <f t="shared" si="1"/>
        <v> Violation</v>
      </c>
      <c r="C836" s="9"/>
      <c r="D836" s="9"/>
      <c r="E836" s="9"/>
      <c r="F836" s="9"/>
      <c r="G836" s="9"/>
      <c r="H836" s="9"/>
      <c r="I836" s="9"/>
      <c r="J836" s="9"/>
      <c r="K836" s="9"/>
      <c r="L836" s="9"/>
      <c r="M836" s="9"/>
      <c r="N836" s="9"/>
      <c r="O836" s="9"/>
    </row>
    <row r="837">
      <c r="B837" s="9" t="str">
        <f t="shared" si="1"/>
        <v> Violation</v>
      </c>
      <c r="C837" s="9"/>
      <c r="D837" s="9"/>
      <c r="E837" s="9"/>
      <c r="F837" s="9"/>
      <c r="G837" s="9"/>
      <c r="H837" s="9"/>
      <c r="I837" s="9"/>
      <c r="J837" s="9"/>
      <c r="K837" s="9"/>
      <c r="L837" s="9"/>
      <c r="M837" s="9"/>
      <c r="N837" s="9"/>
      <c r="O837" s="9"/>
    </row>
    <row r="838">
      <c r="B838" s="9" t="str">
        <f t="shared" si="1"/>
        <v> Violation</v>
      </c>
      <c r="C838" s="9"/>
      <c r="D838" s="9"/>
      <c r="E838" s="9"/>
      <c r="F838" s="9"/>
      <c r="G838" s="9"/>
      <c r="H838" s="9"/>
      <c r="I838" s="9"/>
      <c r="J838" s="9"/>
      <c r="K838" s="9"/>
      <c r="L838" s="9"/>
      <c r="M838" s="9"/>
      <c r="N838" s="9"/>
      <c r="O838" s="9"/>
    </row>
    <row r="839">
      <c r="B839" s="9" t="str">
        <f t="shared" si="1"/>
        <v> Violation</v>
      </c>
      <c r="C839" s="9"/>
      <c r="D839" s="9"/>
      <c r="E839" s="9"/>
      <c r="F839" s="9"/>
      <c r="G839" s="9"/>
      <c r="H839" s="9"/>
      <c r="I839" s="9"/>
      <c r="J839" s="9"/>
      <c r="K839" s="9"/>
      <c r="L839" s="9"/>
      <c r="M839" s="9"/>
      <c r="N839" s="9"/>
      <c r="O839" s="9"/>
    </row>
    <row r="840">
      <c r="B840" s="9" t="str">
        <f t="shared" si="1"/>
        <v> Violation</v>
      </c>
      <c r="C840" s="9"/>
      <c r="D840" s="9"/>
      <c r="E840" s="9"/>
      <c r="F840" s="9"/>
      <c r="G840" s="9"/>
      <c r="H840" s="9"/>
      <c r="I840" s="9"/>
      <c r="J840" s="9"/>
      <c r="K840" s="9"/>
      <c r="L840" s="9"/>
      <c r="M840" s="9"/>
      <c r="N840" s="9"/>
      <c r="O840" s="9"/>
    </row>
    <row r="841">
      <c r="B841" s="9" t="str">
        <f t="shared" si="1"/>
        <v> Violation</v>
      </c>
      <c r="C841" s="9"/>
      <c r="D841" s="9"/>
      <c r="E841" s="9"/>
      <c r="F841" s="9"/>
      <c r="G841" s="9"/>
      <c r="H841" s="9"/>
      <c r="I841" s="9"/>
      <c r="J841" s="9"/>
      <c r="K841" s="9"/>
      <c r="L841" s="9"/>
      <c r="M841" s="9"/>
      <c r="N841" s="9"/>
      <c r="O841" s="9"/>
    </row>
    <row r="842">
      <c r="B842" s="9" t="str">
        <f t="shared" si="1"/>
        <v> Violation</v>
      </c>
      <c r="C842" s="9"/>
      <c r="D842" s="9"/>
      <c r="E842" s="9"/>
      <c r="F842" s="9"/>
      <c r="G842" s="9"/>
      <c r="H842" s="9"/>
      <c r="I842" s="9"/>
      <c r="J842" s="9"/>
      <c r="K842" s="9"/>
      <c r="L842" s="9"/>
      <c r="M842" s="9"/>
      <c r="N842" s="9"/>
      <c r="O842" s="9"/>
    </row>
    <row r="843">
      <c r="B843" s="9" t="str">
        <f t="shared" si="1"/>
        <v> Violation</v>
      </c>
      <c r="C843" s="9"/>
      <c r="D843" s="9"/>
      <c r="E843" s="9"/>
      <c r="F843" s="9"/>
      <c r="G843" s="9"/>
      <c r="H843" s="9"/>
      <c r="I843" s="9"/>
      <c r="J843" s="9"/>
      <c r="K843" s="9"/>
      <c r="L843" s="9"/>
      <c r="M843" s="9"/>
      <c r="N843" s="9"/>
      <c r="O843" s="9"/>
    </row>
    <row r="844">
      <c r="B844" s="9" t="str">
        <f t="shared" si="1"/>
        <v> Violation</v>
      </c>
      <c r="C844" s="9"/>
      <c r="D844" s="9"/>
      <c r="E844" s="9"/>
      <c r="F844" s="9"/>
      <c r="G844" s="9"/>
      <c r="H844" s="9"/>
      <c r="I844" s="9"/>
      <c r="J844" s="9"/>
      <c r="K844" s="9"/>
      <c r="L844" s="9"/>
      <c r="M844" s="9"/>
      <c r="N844" s="9"/>
      <c r="O844" s="9"/>
    </row>
    <row r="845">
      <c r="B845" s="9" t="str">
        <f t="shared" si="1"/>
        <v> Violation</v>
      </c>
      <c r="C845" s="9"/>
      <c r="D845" s="9"/>
      <c r="E845" s="9"/>
      <c r="F845" s="9"/>
      <c r="G845" s="9"/>
      <c r="H845" s="9"/>
      <c r="I845" s="9"/>
      <c r="J845" s="9"/>
      <c r="K845" s="9"/>
      <c r="L845" s="9"/>
      <c r="M845" s="9"/>
      <c r="N845" s="9"/>
      <c r="O845" s="9"/>
    </row>
    <row r="846">
      <c r="B846" s="9" t="str">
        <f t="shared" si="1"/>
        <v> Violation</v>
      </c>
      <c r="C846" s="9"/>
      <c r="D846" s="9"/>
      <c r="E846" s="9"/>
      <c r="F846" s="9"/>
      <c r="G846" s="9"/>
      <c r="H846" s="9"/>
      <c r="I846" s="9"/>
      <c r="J846" s="9"/>
      <c r="K846" s="9"/>
      <c r="L846" s="9"/>
      <c r="M846" s="9"/>
      <c r="N846" s="9"/>
      <c r="O846" s="9"/>
    </row>
    <row r="847">
      <c r="B847" s="9" t="str">
        <f t="shared" si="1"/>
        <v> Violation</v>
      </c>
      <c r="C847" s="9"/>
      <c r="D847" s="9"/>
      <c r="E847" s="9"/>
      <c r="F847" s="9"/>
      <c r="G847" s="9"/>
      <c r="H847" s="9"/>
      <c r="I847" s="9"/>
      <c r="J847" s="9"/>
      <c r="K847" s="9"/>
      <c r="L847" s="9"/>
      <c r="M847" s="9"/>
      <c r="N847" s="9"/>
      <c r="O847" s="9"/>
    </row>
    <row r="848">
      <c r="B848" s="9" t="str">
        <f t="shared" si="1"/>
        <v> Violation</v>
      </c>
      <c r="C848" s="9"/>
      <c r="D848" s="9"/>
      <c r="E848" s="9"/>
      <c r="F848" s="9"/>
      <c r="G848" s="9"/>
      <c r="H848" s="9"/>
      <c r="I848" s="9"/>
      <c r="J848" s="9"/>
      <c r="K848" s="9"/>
      <c r="L848" s="9"/>
      <c r="M848" s="9"/>
      <c r="N848" s="9"/>
      <c r="O848" s="9"/>
    </row>
    <row r="849">
      <c r="B849" s="9" t="str">
        <f t="shared" si="1"/>
        <v> Violation</v>
      </c>
      <c r="C849" s="9"/>
      <c r="D849" s="9"/>
      <c r="E849" s="9"/>
      <c r="F849" s="9"/>
      <c r="G849" s="9"/>
      <c r="H849" s="9"/>
      <c r="I849" s="9"/>
      <c r="J849" s="9"/>
      <c r="K849" s="9"/>
      <c r="L849" s="9"/>
      <c r="M849" s="9"/>
      <c r="N849" s="9"/>
      <c r="O849" s="9"/>
    </row>
    <row r="850">
      <c r="B850" s="9" t="str">
        <f t="shared" si="1"/>
        <v> Violation</v>
      </c>
      <c r="C850" s="9"/>
      <c r="D850" s="9"/>
      <c r="E850" s="9"/>
      <c r="F850" s="9"/>
      <c r="G850" s="9"/>
      <c r="H850" s="9"/>
      <c r="I850" s="9"/>
      <c r="J850" s="9"/>
      <c r="K850" s="9"/>
      <c r="L850" s="9"/>
      <c r="M850" s="9"/>
      <c r="N850" s="9"/>
      <c r="O850" s="9"/>
    </row>
    <row r="851">
      <c r="B851" s="9" t="str">
        <f t="shared" si="1"/>
        <v> Violation</v>
      </c>
      <c r="C851" s="9"/>
      <c r="D851" s="9"/>
      <c r="E851" s="9"/>
      <c r="F851" s="9"/>
      <c r="G851" s="9"/>
      <c r="H851" s="9"/>
      <c r="I851" s="9"/>
      <c r="J851" s="9"/>
      <c r="K851" s="9"/>
      <c r="L851" s="9"/>
      <c r="M851" s="9"/>
      <c r="N851" s="9"/>
      <c r="O851" s="9"/>
    </row>
    <row r="852">
      <c r="B852" s="9" t="str">
        <f t="shared" si="1"/>
        <v> Violation</v>
      </c>
      <c r="C852" s="9"/>
      <c r="D852" s="9"/>
      <c r="E852" s="9"/>
      <c r="F852" s="9"/>
      <c r="G852" s="9"/>
      <c r="H852" s="9"/>
      <c r="I852" s="9"/>
      <c r="J852" s="9"/>
      <c r="K852" s="9"/>
      <c r="L852" s="9"/>
      <c r="M852" s="9"/>
      <c r="N852" s="9"/>
      <c r="O852" s="9"/>
    </row>
    <row r="853">
      <c r="B853" s="9" t="str">
        <f t="shared" si="1"/>
        <v> Violation</v>
      </c>
      <c r="C853" s="9"/>
      <c r="D853" s="9"/>
      <c r="E853" s="9"/>
      <c r="F853" s="9"/>
      <c r="G853" s="9"/>
      <c r="H853" s="9"/>
      <c r="I853" s="9"/>
      <c r="J853" s="9"/>
      <c r="K853" s="9"/>
      <c r="L853" s="9"/>
      <c r="M853" s="9"/>
      <c r="N853" s="9"/>
      <c r="O853" s="9"/>
    </row>
    <row r="854">
      <c r="B854" s="9" t="str">
        <f t="shared" si="1"/>
        <v> Violation</v>
      </c>
      <c r="C854" s="9"/>
      <c r="D854" s="9"/>
      <c r="E854" s="9"/>
      <c r="F854" s="9"/>
      <c r="G854" s="9"/>
      <c r="H854" s="9"/>
      <c r="I854" s="9"/>
      <c r="J854" s="9"/>
      <c r="K854" s="9"/>
      <c r="L854" s="9"/>
      <c r="M854" s="9"/>
      <c r="N854" s="9"/>
      <c r="O854" s="9"/>
    </row>
    <row r="855">
      <c r="B855" s="9" t="str">
        <f t="shared" si="1"/>
        <v> Violation</v>
      </c>
      <c r="C855" s="9"/>
      <c r="D855" s="9"/>
      <c r="E855" s="9"/>
      <c r="F855" s="9"/>
      <c r="G855" s="9"/>
      <c r="H855" s="9"/>
      <c r="I855" s="9"/>
      <c r="J855" s="9"/>
      <c r="K855" s="9"/>
      <c r="L855" s="9"/>
      <c r="M855" s="9"/>
      <c r="N855" s="9"/>
      <c r="O855" s="9"/>
    </row>
    <row r="856">
      <c r="B856" s="9" t="str">
        <f t="shared" si="1"/>
        <v> Violation</v>
      </c>
      <c r="C856" s="9"/>
      <c r="D856" s="9"/>
      <c r="E856" s="9"/>
      <c r="F856" s="9"/>
      <c r="G856" s="9"/>
      <c r="H856" s="9"/>
      <c r="I856" s="9"/>
      <c r="J856" s="9"/>
      <c r="K856" s="9"/>
      <c r="L856" s="9"/>
      <c r="M856" s="9"/>
      <c r="N856" s="9"/>
      <c r="O856" s="9"/>
    </row>
    <row r="857">
      <c r="B857" s="9" t="str">
        <f t="shared" si="1"/>
        <v> Violation</v>
      </c>
      <c r="C857" s="9"/>
      <c r="D857" s="9"/>
      <c r="E857" s="9"/>
      <c r="F857" s="9"/>
      <c r="G857" s="9"/>
      <c r="H857" s="9"/>
      <c r="I857" s="9"/>
      <c r="J857" s="9"/>
      <c r="K857" s="9"/>
      <c r="L857" s="9"/>
      <c r="M857" s="9"/>
      <c r="N857" s="9"/>
      <c r="O857" s="9"/>
    </row>
    <row r="858">
      <c r="B858" s="9" t="str">
        <f t="shared" si="1"/>
        <v> Violation</v>
      </c>
      <c r="C858" s="9"/>
      <c r="D858" s="9"/>
      <c r="E858" s="9"/>
      <c r="F858" s="9"/>
      <c r="G858" s="9"/>
      <c r="H858" s="9"/>
      <c r="I858" s="9"/>
      <c r="J858" s="9"/>
      <c r="K858" s="9"/>
      <c r="L858" s="9"/>
      <c r="M858" s="9"/>
      <c r="N858" s="9"/>
      <c r="O858" s="9"/>
    </row>
    <row r="859">
      <c r="B859" s="9" t="str">
        <f t="shared" si="1"/>
        <v> Violation</v>
      </c>
      <c r="C859" s="9"/>
      <c r="D859" s="9"/>
      <c r="E859" s="9"/>
      <c r="F859" s="9"/>
      <c r="G859" s="9"/>
      <c r="H859" s="9"/>
      <c r="I859" s="9"/>
      <c r="J859" s="9"/>
      <c r="K859" s="9"/>
      <c r="L859" s="9"/>
      <c r="M859" s="9"/>
      <c r="N859" s="9"/>
      <c r="O859" s="9"/>
    </row>
    <row r="860">
      <c r="B860" s="9" t="str">
        <f t="shared" si="1"/>
        <v> Violation</v>
      </c>
      <c r="C860" s="9"/>
      <c r="D860" s="9"/>
      <c r="E860" s="9"/>
      <c r="F860" s="9"/>
      <c r="G860" s="9"/>
      <c r="H860" s="9"/>
      <c r="I860" s="9"/>
      <c r="J860" s="9"/>
      <c r="K860" s="9"/>
      <c r="L860" s="9"/>
      <c r="M860" s="9"/>
      <c r="N860" s="9"/>
      <c r="O860" s="9"/>
    </row>
    <row r="861">
      <c r="B861" s="9" t="str">
        <f t="shared" si="1"/>
        <v> Violation</v>
      </c>
      <c r="C861" s="9"/>
      <c r="D861" s="9"/>
      <c r="E861" s="9"/>
      <c r="F861" s="9"/>
      <c r="G861" s="9"/>
      <c r="H861" s="9"/>
      <c r="I861" s="9"/>
      <c r="J861" s="9"/>
      <c r="K861" s="9"/>
      <c r="L861" s="9"/>
      <c r="M861" s="9"/>
      <c r="N861" s="9"/>
      <c r="O861" s="9"/>
    </row>
    <row r="862">
      <c r="B862" s="9" t="str">
        <f t="shared" si="1"/>
        <v> Violation</v>
      </c>
      <c r="C862" s="9"/>
      <c r="D862" s="9"/>
      <c r="E862" s="9"/>
      <c r="F862" s="9"/>
      <c r="G862" s="9"/>
      <c r="H862" s="9"/>
      <c r="I862" s="9"/>
      <c r="J862" s="9"/>
      <c r="K862" s="9"/>
      <c r="L862" s="9"/>
      <c r="M862" s="9"/>
      <c r="N862" s="9"/>
      <c r="O862" s="9"/>
    </row>
    <row r="863">
      <c r="B863" s="9" t="str">
        <f t="shared" si="1"/>
        <v> Violation</v>
      </c>
      <c r="C863" s="9"/>
      <c r="D863" s="9"/>
      <c r="E863" s="9"/>
      <c r="F863" s="9"/>
      <c r="G863" s="9"/>
      <c r="H863" s="9"/>
      <c r="I863" s="9"/>
      <c r="J863" s="9"/>
      <c r="K863" s="9"/>
      <c r="L863" s="9"/>
      <c r="M863" s="9"/>
      <c r="N863" s="9"/>
      <c r="O863" s="9"/>
    </row>
    <row r="864">
      <c r="B864" s="9" t="str">
        <f t="shared" si="1"/>
        <v> Violation</v>
      </c>
      <c r="C864" s="9"/>
      <c r="D864" s="9"/>
      <c r="E864" s="9"/>
      <c r="F864" s="9"/>
      <c r="G864" s="9"/>
      <c r="H864" s="9"/>
      <c r="I864" s="9"/>
      <c r="J864" s="9"/>
      <c r="K864" s="9"/>
      <c r="L864" s="9"/>
      <c r="M864" s="9"/>
      <c r="N864" s="9"/>
      <c r="O864" s="9"/>
    </row>
    <row r="865">
      <c r="B865" s="9" t="str">
        <f t="shared" si="1"/>
        <v> Violation</v>
      </c>
      <c r="C865" s="9"/>
      <c r="D865" s="9"/>
      <c r="E865" s="9"/>
      <c r="F865" s="9"/>
      <c r="G865" s="9"/>
      <c r="H865" s="9"/>
      <c r="I865" s="9"/>
      <c r="J865" s="9"/>
      <c r="K865" s="9"/>
      <c r="L865" s="9"/>
      <c r="M865" s="9"/>
      <c r="N865" s="9"/>
      <c r="O865" s="9"/>
    </row>
    <row r="866">
      <c r="B866" s="9" t="str">
        <f t="shared" si="1"/>
        <v> Violation</v>
      </c>
      <c r="C866" s="9"/>
      <c r="D866" s="9"/>
      <c r="E866" s="9"/>
      <c r="F866" s="9"/>
      <c r="G866" s="9"/>
      <c r="H866" s="9"/>
      <c r="I866" s="9"/>
      <c r="J866" s="9"/>
      <c r="K866" s="9"/>
      <c r="L866" s="9"/>
      <c r="M866" s="9"/>
      <c r="N866" s="9"/>
      <c r="O866" s="9"/>
    </row>
    <row r="867">
      <c r="B867" s="9" t="str">
        <f t="shared" si="1"/>
        <v> Violation</v>
      </c>
      <c r="C867" s="9"/>
      <c r="D867" s="9"/>
      <c r="E867" s="9"/>
      <c r="F867" s="9"/>
      <c r="G867" s="9"/>
      <c r="H867" s="9"/>
      <c r="I867" s="9"/>
      <c r="J867" s="9"/>
      <c r="K867" s="9"/>
      <c r="L867" s="9"/>
      <c r="M867" s="9"/>
      <c r="N867" s="9"/>
      <c r="O867" s="9"/>
    </row>
    <row r="868">
      <c r="B868" s="9" t="str">
        <f t="shared" si="1"/>
        <v> Violation</v>
      </c>
      <c r="C868" s="9"/>
      <c r="D868" s="9"/>
      <c r="E868" s="9"/>
      <c r="F868" s="9"/>
      <c r="G868" s="9"/>
      <c r="H868" s="9"/>
      <c r="I868" s="9"/>
      <c r="J868" s="9"/>
      <c r="K868" s="9"/>
      <c r="L868" s="9"/>
      <c r="M868" s="9"/>
      <c r="N868" s="9"/>
      <c r="O868" s="9"/>
    </row>
    <row r="869">
      <c r="B869" s="9" t="str">
        <f t="shared" si="1"/>
        <v> Violation</v>
      </c>
      <c r="C869" s="9"/>
      <c r="D869" s="9"/>
      <c r="E869" s="9"/>
      <c r="F869" s="9"/>
      <c r="G869" s="9"/>
      <c r="H869" s="9"/>
      <c r="I869" s="9"/>
      <c r="J869" s="9"/>
      <c r="K869" s="9"/>
      <c r="L869" s="9"/>
      <c r="M869" s="9"/>
      <c r="N869" s="9"/>
      <c r="O869" s="9"/>
    </row>
    <row r="870">
      <c r="B870" s="9" t="str">
        <f t="shared" si="1"/>
        <v> Violation</v>
      </c>
      <c r="C870" s="9"/>
      <c r="D870" s="9"/>
      <c r="E870" s="9"/>
      <c r="F870" s="9"/>
      <c r="G870" s="9"/>
      <c r="H870" s="9"/>
      <c r="I870" s="9"/>
      <c r="J870" s="9"/>
      <c r="K870" s="9"/>
      <c r="L870" s="9"/>
      <c r="M870" s="9"/>
      <c r="N870" s="9"/>
      <c r="O870" s="9"/>
    </row>
    <row r="871">
      <c r="B871" s="9" t="str">
        <f t="shared" si="1"/>
        <v> Violation</v>
      </c>
      <c r="C871" s="9"/>
      <c r="D871" s="9"/>
      <c r="E871" s="9"/>
      <c r="F871" s="9"/>
      <c r="G871" s="9"/>
      <c r="H871" s="9"/>
      <c r="I871" s="9"/>
      <c r="J871" s="9"/>
      <c r="K871" s="9"/>
      <c r="L871" s="9"/>
      <c r="M871" s="9"/>
      <c r="N871" s="9"/>
      <c r="O871" s="9"/>
    </row>
    <row r="872">
      <c r="B872" s="9" t="str">
        <f t="shared" si="1"/>
        <v> Violation</v>
      </c>
      <c r="C872" s="9"/>
      <c r="D872" s="9"/>
      <c r="E872" s="9"/>
      <c r="F872" s="9"/>
      <c r="G872" s="9"/>
      <c r="H872" s="9"/>
      <c r="I872" s="9"/>
      <c r="J872" s="9"/>
      <c r="K872" s="9"/>
      <c r="L872" s="9"/>
      <c r="M872" s="9"/>
      <c r="N872" s="9"/>
      <c r="O872" s="9"/>
    </row>
    <row r="873">
      <c r="B873" s="9" t="str">
        <f t="shared" si="1"/>
        <v> Violation</v>
      </c>
      <c r="C873" s="9"/>
      <c r="D873" s="9"/>
      <c r="E873" s="9"/>
      <c r="F873" s="9"/>
      <c r="G873" s="9"/>
      <c r="H873" s="9"/>
      <c r="I873" s="9"/>
      <c r="J873" s="9"/>
      <c r="K873" s="9"/>
      <c r="L873" s="9"/>
      <c r="M873" s="9"/>
      <c r="N873" s="9"/>
      <c r="O873" s="9"/>
    </row>
    <row r="874">
      <c r="B874" s="9" t="str">
        <f t="shared" si="1"/>
        <v> Violation</v>
      </c>
      <c r="C874" s="9"/>
      <c r="D874" s="9"/>
      <c r="E874" s="9"/>
      <c r="F874" s="9"/>
      <c r="G874" s="9"/>
      <c r="H874" s="9"/>
      <c r="I874" s="9"/>
      <c r="J874" s="9"/>
      <c r="K874" s="9"/>
      <c r="L874" s="9"/>
      <c r="M874" s="9"/>
      <c r="N874" s="9"/>
      <c r="O874" s="9"/>
    </row>
    <row r="875">
      <c r="B875" s="9" t="str">
        <f t="shared" si="1"/>
        <v> Violation</v>
      </c>
      <c r="C875" s="9"/>
      <c r="D875" s="9"/>
      <c r="E875" s="9"/>
      <c r="F875" s="9"/>
      <c r="G875" s="9"/>
      <c r="H875" s="9"/>
      <c r="I875" s="9"/>
      <c r="J875" s="9"/>
      <c r="K875" s="9"/>
      <c r="L875" s="9"/>
      <c r="M875" s="9"/>
      <c r="N875" s="9"/>
      <c r="O875" s="9"/>
    </row>
    <row r="876">
      <c r="B876" s="9" t="str">
        <f t="shared" si="1"/>
        <v> Violation</v>
      </c>
      <c r="C876" s="9"/>
      <c r="D876" s="9"/>
      <c r="E876" s="9"/>
      <c r="F876" s="9"/>
      <c r="G876" s="9"/>
      <c r="H876" s="9"/>
      <c r="I876" s="9"/>
      <c r="J876" s="9"/>
      <c r="K876" s="9"/>
      <c r="L876" s="9"/>
      <c r="M876" s="9"/>
      <c r="N876" s="9"/>
      <c r="O876" s="9"/>
    </row>
    <row r="877">
      <c r="B877" s="9" t="str">
        <f t="shared" si="1"/>
        <v> Violation</v>
      </c>
      <c r="C877" s="9"/>
      <c r="D877" s="9"/>
      <c r="E877" s="9"/>
      <c r="F877" s="9"/>
      <c r="G877" s="9"/>
      <c r="H877" s="9"/>
      <c r="I877" s="9"/>
      <c r="J877" s="9"/>
      <c r="K877" s="9"/>
      <c r="L877" s="9"/>
      <c r="M877" s="9"/>
      <c r="N877" s="9"/>
      <c r="O877" s="9"/>
    </row>
    <row r="878">
      <c r="B878" s="9" t="str">
        <f t="shared" si="1"/>
        <v> Violation</v>
      </c>
      <c r="C878" s="9"/>
      <c r="D878" s="9"/>
      <c r="E878" s="9"/>
      <c r="F878" s="9"/>
      <c r="G878" s="9"/>
      <c r="H878" s="9"/>
      <c r="I878" s="9"/>
      <c r="J878" s="9"/>
      <c r="K878" s="9"/>
      <c r="L878" s="9"/>
      <c r="M878" s="9"/>
      <c r="N878" s="9"/>
      <c r="O878" s="9"/>
    </row>
    <row r="879">
      <c r="B879" s="9" t="str">
        <f t="shared" si="1"/>
        <v> Violation</v>
      </c>
      <c r="C879" s="9"/>
      <c r="D879" s="9"/>
      <c r="E879" s="9"/>
      <c r="F879" s="9"/>
      <c r="G879" s="9"/>
      <c r="H879" s="9"/>
      <c r="I879" s="9"/>
      <c r="J879" s="9"/>
      <c r="K879" s="9"/>
      <c r="L879" s="9"/>
      <c r="M879" s="9"/>
      <c r="N879" s="9"/>
      <c r="O879" s="9"/>
    </row>
    <row r="880">
      <c r="B880" s="9" t="str">
        <f t="shared" si="1"/>
        <v> Violation</v>
      </c>
      <c r="C880" s="9"/>
      <c r="D880" s="9"/>
      <c r="E880" s="9"/>
      <c r="F880" s="9"/>
      <c r="G880" s="9"/>
      <c r="H880" s="9"/>
      <c r="I880" s="9"/>
      <c r="J880" s="9"/>
      <c r="K880" s="9"/>
      <c r="L880" s="9"/>
      <c r="M880" s="9"/>
      <c r="N880" s="9"/>
      <c r="O880" s="9"/>
    </row>
    <row r="881">
      <c r="B881" s="9" t="str">
        <f t="shared" si="1"/>
        <v> Violation</v>
      </c>
      <c r="C881" s="9"/>
      <c r="D881" s="9"/>
      <c r="E881" s="9"/>
      <c r="F881" s="9"/>
      <c r="G881" s="9"/>
      <c r="H881" s="9"/>
      <c r="I881" s="9"/>
      <c r="J881" s="9"/>
      <c r="K881" s="9"/>
      <c r="L881" s="9"/>
      <c r="M881" s="9"/>
      <c r="N881" s="9"/>
      <c r="O881" s="9"/>
    </row>
    <row r="882">
      <c r="B882" s="9" t="str">
        <f t="shared" si="1"/>
        <v> Violation</v>
      </c>
      <c r="C882" s="9"/>
      <c r="D882" s="9"/>
      <c r="E882" s="9"/>
      <c r="F882" s="9"/>
      <c r="G882" s="9"/>
      <c r="H882" s="9"/>
      <c r="I882" s="9"/>
      <c r="J882" s="9"/>
      <c r="K882" s="9"/>
      <c r="L882" s="9"/>
      <c r="M882" s="9"/>
      <c r="N882" s="9"/>
      <c r="O882" s="9"/>
    </row>
    <row r="883">
      <c r="B883" s="9" t="str">
        <f t="shared" si="1"/>
        <v> Violation</v>
      </c>
      <c r="C883" s="9"/>
      <c r="D883" s="9"/>
      <c r="E883" s="9"/>
      <c r="F883" s="9"/>
      <c r="G883" s="9"/>
      <c r="H883" s="9"/>
      <c r="I883" s="9"/>
      <c r="J883" s="9"/>
      <c r="K883" s="9"/>
      <c r="L883" s="9"/>
      <c r="M883" s="9"/>
      <c r="N883" s="9"/>
      <c r="O883" s="9"/>
    </row>
    <row r="884">
      <c r="B884" s="9" t="str">
        <f t="shared" si="1"/>
        <v> Violation</v>
      </c>
      <c r="C884" s="9"/>
      <c r="D884" s="9"/>
      <c r="E884" s="9"/>
      <c r="F884" s="9"/>
      <c r="G884" s="9"/>
      <c r="H884" s="9"/>
      <c r="I884" s="9"/>
      <c r="J884" s="9"/>
      <c r="K884" s="9"/>
      <c r="L884" s="9"/>
      <c r="M884" s="9"/>
      <c r="N884" s="9"/>
      <c r="O884" s="9"/>
    </row>
    <row r="885">
      <c r="B885" s="9" t="str">
        <f t="shared" si="1"/>
        <v> Violation</v>
      </c>
      <c r="C885" s="9"/>
      <c r="D885" s="9"/>
      <c r="E885" s="9"/>
      <c r="F885" s="9"/>
      <c r="G885" s="9"/>
      <c r="H885" s="9"/>
      <c r="I885" s="9"/>
      <c r="J885" s="9"/>
      <c r="K885" s="9"/>
      <c r="L885" s="9"/>
      <c r="M885" s="9"/>
      <c r="N885" s="9"/>
      <c r="O885" s="9"/>
    </row>
    <row r="886">
      <c r="B886" s="9" t="str">
        <f t="shared" si="1"/>
        <v> Violation</v>
      </c>
      <c r="C886" s="9"/>
      <c r="D886" s="9"/>
      <c r="E886" s="9"/>
      <c r="F886" s="9"/>
      <c r="G886" s="9"/>
      <c r="H886" s="9"/>
      <c r="I886" s="9"/>
      <c r="J886" s="9"/>
      <c r="K886" s="9"/>
      <c r="L886" s="9"/>
      <c r="M886" s="9"/>
      <c r="N886" s="9"/>
      <c r="O886" s="9"/>
    </row>
    <row r="887">
      <c r="B887" s="9" t="str">
        <f t="shared" si="1"/>
        <v> Violation</v>
      </c>
      <c r="C887" s="9"/>
      <c r="D887" s="9"/>
      <c r="E887" s="9"/>
      <c r="F887" s="9"/>
      <c r="G887" s="9"/>
      <c r="H887" s="9"/>
      <c r="I887" s="9"/>
      <c r="J887" s="9"/>
      <c r="K887" s="9"/>
      <c r="L887" s="9"/>
      <c r="M887" s="9"/>
      <c r="N887" s="9"/>
      <c r="O887" s="9"/>
    </row>
    <row r="888">
      <c r="B888" s="9" t="str">
        <f t="shared" si="1"/>
        <v> Violation</v>
      </c>
      <c r="C888" s="9"/>
      <c r="D888" s="9"/>
      <c r="E888" s="9"/>
      <c r="F888" s="9"/>
      <c r="G888" s="9"/>
      <c r="H888" s="9"/>
      <c r="I888" s="9"/>
      <c r="J888" s="9"/>
      <c r="K888" s="9"/>
      <c r="L888" s="9"/>
      <c r="M888" s="9"/>
      <c r="N888" s="9"/>
      <c r="O888" s="9"/>
    </row>
    <row r="889">
      <c r="B889" s="9" t="str">
        <f t="shared" si="1"/>
        <v> Violation</v>
      </c>
      <c r="C889" s="9"/>
      <c r="D889" s="9"/>
      <c r="E889" s="9"/>
      <c r="F889" s="9"/>
      <c r="G889" s="9"/>
      <c r="H889" s="9"/>
      <c r="I889" s="9"/>
      <c r="J889" s="9"/>
      <c r="K889" s="9"/>
      <c r="L889" s="9"/>
      <c r="M889" s="9"/>
      <c r="N889" s="9"/>
      <c r="O889" s="9"/>
    </row>
    <row r="890">
      <c r="B890" s="9" t="str">
        <f t="shared" si="1"/>
        <v> Violation</v>
      </c>
      <c r="C890" s="9"/>
      <c r="D890" s="9"/>
      <c r="E890" s="9"/>
      <c r="F890" s="9"/>
      <c r="G890" s="9"/>
      <c r="H890" s="9"/>
      <c r="I890" s="9"/>
      <c r="J890" s="9"/>
      <c r="K890" s="9"/>
      <c r="L890" s="9"/>
      <c r="M890" s="9"/>
      <c r="N890" s="9"/>
      <c r="O890" s="9"/>
    </row>
    <row r="891">
      <c r="B891" s="9" t="str">
        <f t="shared" si="1"/>
        <v> Violation</v>
      </c>
      <c r="C891" s="9"/>
      <c r="D891" s="9"/>
      <c r="E891" s="9"/>
      <c r="F891" s="9"/>
      <c r="G891" s="9"/>
      <c r="H891" s="9"/>
      <c r="I891" s="9"/>
      <c r="J891" s="9"/>
      <c r="K891" s="9"/>
      <c r="L891" s="9"/>
      <c r="M891" s="9"/>
      <c r="N891" s="9"/>
      <c r="O891" s="9"/>
    </row>
    <row r="892">
      <c r="B892" s="9" t="str">
        <f t="shared" si="1"/>
        <v> Violation</v>
      </c>
      <c r="C892" s="9"/>
      <c r="D892" s="9"/>
      <c r="E892" s="9"/>
      <c r="F892" s="9"/>
      <c r="G892" s="9"/>
      <c r="H892" s="9"/>
      <c r="I892" s="9"/>
      <c r="J892" s="9"/>
      <c r="K892" s="9"/>
      <c r="L892" s="9"/>
      <c r="M892" s="9"/>
      <c r="N892" s="9"/>
      <c r="O892" s="9"/>
    </row>
    <row r="893">
      <c r="B893" s="9" t="str">
        <f t="shared" si="1"/>
        <v> Violation</v>
      </c>
      <c r="C893" s="9"/>
      <c r="D893" s="9"/>
      <c r="E893" s="9"/>
      <c r="F893" s="9"/>
      <c r="G893" s="9"/>
      <c r="H893" s="9"/>
      <c r="I893" s="9"/>
      <c r="J893" s="9"/>
      <c r="K893" s="9"/>
      <c r="L893" s="9"/>
      <c r="M893" s="9"/>
      <c r="N893" s="9"/>
      <c r="O893" s="9"/>
    </row>
    <row r="894">
      <c r="B894" s="9" t="str">
        <f t="shared" si="1"/>
        <v> Violation</v>
      </c>
      <c r="C894" s="9"/>
      <c r="D894" s="9"/>
      <c r="E894" s="9"/>
      <c r="F894" s="9"/>
      <c r="G894" s="9"/>
      <c r="H894" s="9"/>
      <c r="I894" s="9"/>
      <c r="J894" s="9"/>
      <c r="K894" s="9"/>
      <c r="L894" s="9"/>
      <c r="M894" s="9"/>
      <c r="N894" s="9"/>
      <c r="O894" s="9"/>
    </row>
    <row r="895">
      <c r="B895" s="9" t="str">
        <f t="shared" si="1"/>
        <v> Violation</v>
      </c>
      <c r="C895" s="9"/>
      <c r="D895" s="9"/>
      <c r="E895" s="9"/>
      <c r="F895" s="9"/>
      <c r="G895" s="9"/>
      <c r="H895" s="9"/>
      <c r="I895" s="9"/>
      <c r="J895" s="9"/>
      <c r="K895" s="9"/>
      <c r="L895" s="9"/>
      <c r="M895" s="9"/>
      <c r="N895" s="9"/>
      <c r="O895" s="9"/>
    </row>
    <row r="896">
      <c r="B896" s="9" t="str">
        <f t="shared" si="1"/>
        <v> Violation</v>
      </c>
      <c r="C896" s="9"/>
      <c r="D896" s="9"/>
      <c r="E896" s="9"/>
      <c r="F896" s="9"/>
      <c r="G896" s="9"/>
      <c r="H896" s="9"/>
      <c r="I896" s="9"/>
      <c r="J896" s="9"/>
      <c r="K896" s="9"/>
      <c r="L896" s="9"/>
      <c r="M896" s="9"/>
      <c r="N896" s="9"/>
      <c r="O896" s="9"/>
    </row>
    <row r="897">
      <c r="B897" s="9" t="str">
        <f t="shared" si="1"/>
        <v> Violation</v>
      </c>
      <c r="C897" s="9"/>
      <c r="D897" s="9"/>
      <c r="E897" s="9"/>
      <c r="F897" s="9"/>
      <c r="G897" s="9"/>
      <c r="H897" s="9"/>
      <c r="I897" s="9"/>
      <c r="J897" s="9"/>
      <c r="K897" s="9"/>
      <c r="L897" s="9"/>
      <c r="M897" s="9"/>
      <c r="N897" s="9"/>
      <c r="O897" s="9"/>
    </row>
    <row r="898">
      <c r="B898" s="9" t="str">
        <f t="shared" si="1"/>
        <v> Violation</v>
      </c>
      <c r="C898" s="9"/>
      <c r="D898" s="9"/>
      <c r="E898" s="9"/>
      <c r="F898" s="9"/>
      <c r="G898" s="9"/>
      <c r="H898" s="9"/>
      <c r="I898" s="9"/>
      <c r="J898" s="9"/>
      <c r="K898" s="9"/>
      <c r="L898" s="9"/>
      <c r="M898" s="9"/>
      <c r="N898" s="9"/>
      <c r="O898" s="9"/>
    </row>
    <row r="899">
      <c r="B899" s="9" t="str">
        <f t="shared" si="1"/>
        <v> Violation</v>
      </c>
      <c r="C899" s="9"/>
      <c r="D899" s="9"/>
      <c r="E899" s="9"/>
      <c r="F899" s="9"/>
      <c r="G899" s="9"/>
      <c r="H899" s="9"/>
      <c r="I899" s="9"/>
      <c r="J899" s="9"/>
      <c r="K899" s="9"/>
      <c r="L899" s="9"/>
      <c r="M899" s="9"/>
      <c r="N899" s="9"/>
      <c r="O899" s="9"/>
    </row>
    <row r="900">
      <c r="B900" s="9" t="str">
        <f t="shared" si="1"/>
        <v> Violation</v>
      </c>
      <c r="C900" s="9"/>
      <c r="D900" s="9"/>
      <c r="E900" s="9"/>
      <c r="F900" s="9"/>
      <c r="G900" s="9"/>
      <c r="H900" s="9"/>
      <c r="I900" s="9"/>
      <c r="J900" s="9"/>
      <c r="K900" s="9"/>
      <c r="L900" s="9"/>
      <c r="M900" s="9"/>
      <c r="N900" s="9"/>
      <c r="O900" s="9"/>
    </row>
    <row r="901">
      <c r="B901" s="9" t="str">
        <f t="shared" si="1"/>
        <v> Violation</v>
      </c>
      <c r="C901" s="9"/>
      <c r="D901" s="9"/>
      <c r="E901" s="9"/>
      <c r="F901" s="9"/>
      <c r="G901" s="9"/>
      <c r="H901" s="9"/>
      <c r="I901" s="9"/>
      <c r="J901" s="9"/>
      <c r="K901" s="9"/>
      <c r="L901" s="9"/>
      <c r="M901" s="9"/>
      <c r="N901" s="9"/>
      <c r="O901" s="9"/>
    </row>
    <row r="902">
      <c r="B902" s="9" t="str">
        <f t="shared" si="1"/>
        <v> Violation</v>
      </c>
      <c r="C902" s="9"/>
      <c r="D902" s="9"/>
      <c r="E902" s="9"/>
      <c r="F902" s="9"/>
      <c r="G902" s="9"/>
      <c r="H902" s="9"/>
      <c r="I902" s="9"/>
      <c r="J902" s="9"/>
      <c r="K902" s="9"/>
      <c r="L902" s="9"/>
      <c r="M902" s="9"/>
      <c r="N902" s="9"/>
      <c r="O902" s="9"/>
    </row>
    <row r="903">
      <c r="B903" s="9" t="str">
        <f t="shared" si="1"/>
        <v> Violation</v>
      </c>
      <c r="C903" s="9"/>
      <c r="D903" s="9"/>
      <c r="E903" s="9"/>
      <c r="F903" s="9"/>
      <c r="G903" s="9"/>
      <c r="H903" s="9"/>
      <c r="I903" s="9"/>
      <c r="J903" s="9"/>
      <c r="K903" s="9"/>
      <c r="L903" s="9"/>
      <c r="M903" s="9"/>
      <c r="N903" s="9"/>
      <c r="O903" s="9"/>
    </row>
    <row r="904">
      <c r="B904" s="9" t="str">
        <f t="shared" si="1"/>
        <v> Violation</v>
      </c>
      <c r="C904" s="9"/>
      <c r="D904" s="9"/>
      <c r="E904" s="9"/>
      <c r="F904" s="9"/>
      <c r="G904" s="9"/>
      <c r="H904" s="9"/>
      <c r="I904" s="9"/>
      <c r="J904" s="9"/>
      <c r="K904" s="9"/>
      <c r="L904" s="9"/>
      <c r="M904" s="9"/>
      <c r="N904" s="9"/>
      <c r="O904" s="9"/>
    </row>
    <row r="905">
      <c r="B905" s="9" t="str">
        <f t="shared" si="1"/>
        <v> Violation</v>
      </c>
      <c r="C905" s="9"/>
      <c r="D905" s="9"/>
      <c r="E905" s="9"/>
      <c r="F905" s="9"/>
      <c r="G905" s="9"/>
      <c r="H905" s="9"/>
      <c r="I905" s="9"/>
      <c r="J905" s="9"/>
      <c r="K905" s="9"/>
      <c r="L905" s="9"/>
      <c r="M905" s="9"/>
      <c r="N905" s="9"/>
      <c r="O905" s="9"/>
    </row>
    <row r="906">
      <c r="B906" s="9" t="str">
        <f t="shared" si="1"/>
        <v> Violation</v>
      </c>
      <c r="C906" s="9"/>
      <c r="D906" s="9"/>
      <c r="E906" s="9"/>
      <c r="F906" s="9"/>
      <c r="G906" s="9"/>
      <c r="H906" s="9"/>
      <c r="I906" s="9"/>
      <c r="J906" s="9"/>
      <c r="K906" s="9"/>
      <c r="L906" s="9"/>
      <c r="M906" s="9"/>
      <c r="N906" s="9"/>
      <c r="O906" s="9"/>
    </row>
    <row r="907">
      <c r="B907" s="9" t="str">
        <f t="shared" si="1"/>
        <v> Violation</v>
      </c>
      <c r="C907" s="9"/>
      <c r="D907" s="9"/>
      <c r="E907" s="9"/>
      <c r="F907" s="9"/>
      <c r="G907" s="9"/>
      <c r="H907" s="9"/>
      <c r="I907" s="9"/>
      <c r="J907" s="9"/>
      <c r="K907" s="9"/>
      <c r="L907" s="9"/>
      <c r="M907" s="9"/>
      <c r="N907" s="9"/>
      <c r="O907" s="9"/>
    </row>
    <row r="908">
      <c r="B908" s="9" t="str">
        <f t="shared" si="1"/>
        <v> Violation</v>
      </c>
      <c r="C908" s="9"/>
      <c r="D908" s="9"/>
      <c r="E908" s="9"/>
      <c r="F908" s="9"/>
      <c r="G908" s="9"/>
      <c r="H908" s="9"/>
      <c r="I908" s="9"/>
      <c r="J908" s="9"/>
      <c r="K908" s="9"/>
      <c r="L908" s="9"/>
      <c r="M908" s="9"/>
      <c r="N908" s="9"/>
      <c r="O908" s="9"/>
    </row>
    <row r="909">
      <c r="B909" s="9" t="str">
        <f t="shared" si="1"/>
        <v> Violation</v>
      </c>
      <c r="C909" s="9"/>
      <c r="D909" s="9"/>
      <c r="E909" s="9"/>
      <c r="F909" s="9"/>
      <c r="G909" s="9"/>
      <c r="H909" s="9"/>
      <c r="I909" s="9"/>
      <c r="J909" s="9"/>
      <c r="K909" s="9"/>
      <c r="L909" s="9"/>
      <c r="M909" s="9"/>
      <c r="N909" s="9"/>
      <c r="O909" s="9"/>
    </row>
    <row r="910">
      <c r="B910" s="9" t="str">
        <f t="shared" si="1"/>
        <v> Violation</v>
      </c>
      <c r="C910" s="9"/>
      <c r="D910" s="9"/>
      <c r="E910" s="9"/>
      <c r="F910" s="9"/>
      <c r="G910" s="9"/>
      <c r="H910" s="9"/>
      <c r="I910" s="9"/>
      <c r="J910" s="9"/>
      <c r="K910" s="9"/>
      <c r="L910" s="9"/>
      <c r="M910" s="9"/>
      <c r="N910" s="9"/>
      <c r="O910" s="9"/>
    </row>
    <row r="911">
      <c r="B911" s="9" t="str">
        <f t="shared" si="1"/>
        <v> Violation</v>
      </c>
      <c r="C911" s="9"/>
      <c r="D911" s="9"/>
      <c r="E911" s="9"/>
      <c r="F911" s="9"/>
      <c r="G911" s="9"/>
      <c r="H911" s="9"/>
      <c r="I911" s="9"/>
      <c r="J911" s="9"/>
      <c r="K911" s="9"/>
      <c r="L911" s="9"/>
      <c r="M911" s="9"/>
      <c r="N911" s="9"/>
      <c r="O911" s="9"/>
    </row>
    <row r="912">
      <c r="B912" s="9" t="str">
        <f t="shared" si="1"/>
        <v> Violation</v>
      </c>
      <c r="C912" s="9"/>
      <c r="D912" s="9"/>
      <c r="E912" s="9"/>
      <c r="F912" s="9"/>
      <c r="G912" s="9"/>
      <c r="H912" s="9"/>
      <c r="I912" s="9"/>
      <c r="J912" s="9"/>
      <c r="K912" s="9"/>
      <c r="L912" s="9"/>
      <c r="M912" s="9"/>
      <c r="N912" s="9"/>
      <c r="O912" s="9"/>
    </row>
    <row r="913">
      <c r="B913" s="9" t="str">
        <f t="shared" si="1"/>
        <v> Violation</v>
      </c>
      <c r="C913" s="9"/>
      <c r="D913" s="9"/>
      <c r="E913" s="9"/>
      <c r="F913" s="9"/>
      <c r="G913" s="9"/>
      <c r="H913" s="9"/>
      <c r="I913" s="9"/>
      <c r="J913" s="9"/>
      <c r="K913" s="9"/>
      <c r="L913" s="9"/>
      <c r="M913" s="9"/>
      <c r="N913" s="9"/>
      <c r="O913" s="9"/>
    </row>
    <row r="914">
      <c r="B914" s="9" t="str">
        <f t="shared" si="1"/>
        <v> Violation</v>
      </c>
      <c r="C914" s="9"/>
      <c r="D914" s="9"/>
      <c r="E914" s="9"/>
      <c r="F914" s="9"/>
      <c r="G914" s="9"/>
      <c r="H914" s="9"/>
      <c r="I914" s="9"/>
      <c r="J914" s="9"/>
      <c r="K914" s="9"/>
      <c r="L914" s="9"/>
      <c r="M914" s="9"/>
      <c r="N914" s="9"/>
      <c r="O914" s="9"/>
    </row>
    <row r="915">
      <c r="B915" s="9" t="str">
        <f t="shared" si="1"/>
        <v> Violation</v>
      </c>
      <c r="C915" s="9"/>
      <c r="D915" s="9"/>
      <c r="E915" s="9"/>
      <c r="F915" s="9"/>
      <c r="G915" s="9"/>
      <c r="H915" s="9"/>
      <c r="I915" s="9"/>
      <c r="J915" s="9"/>
      <c r="K915" s="9"/>
      <c r="L915" s="9"/>
      <c r="M915" s="9"/>
      <c r="N915" s="9"/>
      <c r="O915" s="9"/>
    </row>
    <row r="916">
      <c r="B916" s="9" t="str">
        <f t="shared" si="1"/>
        <v> Violation</v>
      </c>
      <c r="C916" s="9"/>
      <c r="D916" s="9"/>
      <c r="E916" s="9"/>
      <c r="F916" s="9"/>
      <c r="G916" s="9"/>
      <c r="H916" s="9"/>
      <c r="I916" s="9"/>
      <c r="J916" s="9"/>
      <c r="K916" s="9"/>
      <c r="L916" s="9"/>
      <c r="M916" s="9"/>
      <c r="N916" s="9"/>
      <c r="O916" s="9"/>
    </row>
    <row r="917">
      <c r="B917" s="9" t="str">
        <f t="shared" si="1"/>
        <v> Violation</v>
      </c>
      <c r="C917" s="9"/>
      <c r="D917" s="9"/>
      <c r="E917" s="9"/>
      <c r="F917" s="9"/>
      <c r="G917" s="9"/>
      <c r="H917" s="9"/>
      <c r="I917" s="9"/>
      <c r="J917" s="9"/>
      <c r="K917" s="9"/>
      <c r="L917" s="9"/>
      <c r="M917" s="9"/>
      <c r="N917" s="9"/>
      <c r="O917" s="9"/>
    </row>
    <row r="918">
      <c r="B918" s="9" t="str">
        <f t="shared" si="1"/>
        <v> Violation</v>
      </c>
      <c r="C918" s="9"/>
      <c r="D918" s="9"/>
      <c r="E918" s="9"/>
      <c r="F918" s="9"/>
      <c r="G918" s="9"/>
      <c r="H918" s="9"/>
      <c r="I918" s="9"/>
      <c r="J918" s="9"/>
      <c r="K918" s="9"/>
      <c r="L918" s="9"/>
      <c r="M918" s="9"/>
      <c r="N918" s="9"/>
      <c r="O918" s="9"/>
    </row>
    <row r="919">
      <c r="B919" s="9" t="str">
        <f t="shared" si="1"/>
        <v> Violation</v>
      </c>
      <c r="C919" s="9"/>
      <c r="D919" s="9"/>
      <c r="E919" s="9"/>
      <c r="F919" s="9"/>
      <c r="G919" s="9"/>
      <c r="H919" s="9"/>
      <c r="I919" s="9"/>
      <c r="J919" s="9"/>
      <c r="K919" s="9"/>
      <c r="L919" s="9"/>
      <c r="M919" s="9"/>
      <c r="N919" s="9"/>
      <c r="O919" s="9"/>
    </row>
    <row r="920">
      <c r="B920" s="9" t="str">
        <f t="shared" si="1"/>
        <v> Violation</v>
      </c>
      <c r="C920" s="9"/>
      <c r="D920" s="9"/>
      <c r="E920" s="9"/>
      <c r="F920" s="9"/>
      <c r="G920" s="9"/>
      <c r="H920" s="9"/>
      <c r="I920" s="9"/>
      <c r="J920" s="9"/>
      <c r="K920" s="9"/>
      <c r="L920" s="9"/>
      <c r="M920" s="9"/>
      <c r="N920" s="9"/>
      <c r="O920" s="9"/>
    </row>
    <row r="921">
      <c r="B921" s="9" t="str">
        <f t="shared" si="1"/>
        <v> Violation</v>
      </c>
      <c r="C921" s="9"/>
      <c r="D921" s="9"/>
      <c r="E921" s="9"/>
      <c r="F921" s="9"/>
      <c r="G921" s="9"/>
      <c r="H921" s="9"/>
      <c r="I921" s="9"/>
      <c r="J921" s="9"/>
      <c r="K921" s="9"/>
      <c r="L921" s="9"/>
      <c r="M921" s="9"/>
      <c r="N921" s="9"/>
      <c r="O921" s="9"/>
    </row>
    <row r="922">
      <c r="B922" s="9" t="str">
        <f t="shared" si="1"/>
        <v> Violation</v>
      </c>
      <c r="C922" s="9"/>
      <c r="D922" s="9"/>
      <c r="E922" s="9"/>
      <c r="F922" s="9"/>
      <c r="G922" s="9"/>
      <c r="H922" s="9"/>
      <c r="I922" s="9"/>
      <c r="J922" s="9"/>
      <c r="K922" s="9"/>
      <c r="L922" s="9"/>
      <c r="M922" s="9"/>
      <c r="N922" s="9"/>
      <c r="O922" s="9"/>
    </row>
    <row r="923">
      <c r="B923" s="9" t="str">
        <f t="shared" si="1"/>
        <v> Violation</v>
      </c>
      <c r="C923" s="9"/>
      <c r="D923" s="9"/>
      <c r="E923" s="9"/>
      <c r="F923" s="9"/>
      <c r="G923" s="9"/>
      <c r="H923" s="9"/>
      <c r="I923" s="9"/>
      <c r="J923" s="9"/>
      <c r="K923" s="9"/>
      <c r="L923" s="9"/>
      <c r="M923" s="9"/>
      <c r="N923" s="9"/>
      <c r="O923" s="9"/>
    </row>
    <row r="924">
      <c r="B924" s="9" t="str">
        <f t="shared" si="1"/>
        <v> Violation</v>
      </c>
      <c r="C924" s="9"/>
      <c r="D924" s="9"/>
      <c r="E924" s="9"/>
      <c r="F924" s="9"/>
      <c r="G924" s="9"/>
      <c r="H924" s="9"/>
      <c r="I924" s="9"/>
      <c r="J924" s="9"/>
      <c r="K924" s="9"/>
      <c r="L924" s="9"/>
      <c r="M924" s="9"/>
      <c r="N924" s="9"/>
      <c r="O924" s="9"/>
    </row>
    <row r="925">
      <c r="B925" s="9" t="str">
        <f t="shared" si="1"/>
        <v> Violation</v>
      </c>
      <c r="C925" s="9"/>
      <c r="D925" s="9"/>
      <c r="E925" s="9"/>
      <c r="F925" s="9"/>
      <c r="G925" s="9"/>
      <c r="H925" s="9"/>
      <c r="I925" s="9"/>
      <c r="J925" s="9"/>
      <c r="K925" s="9"/>
      <c r="L925" s="9"/>
      <c r="M925" s="9"/>
      <c r="N925" s="9"/>
      <c r="O925" s="9"/>
    </row>
    <row r="926">
      <c r="B926" s="9" t="str">
        <f t="shared" si="1"/>
        <v> Violation</v>
      </c>
      <c r="C926" s="9"/>
      <c r="D926" s="9"/>
      <c r="E926" s="9"/>
      <c r="F926" s="9"/>
      <c r="G926" s="9"/>
      <c r="H926" s="9"/>
      <c r="I926" s="9"/>
      <c r="J926" s="9"/>
      <c r="K926" s="9"/>
      <c r="L926" s="9"/>
      <c r="M926" s="9"/>
      <c r="N926" s="9"/>
      <c r="O926" s="9"/>
    </row>
    <row r="927">
      <c r="B927" s="9" t="str">
        <f t="shared" si="1"/>
        <v> Violation</v>
      </c>
      <c r="C927" s="9"/>
      <c r="D927" s="9"/>
      <c r="E927" s="9"/>
      <c r="F927" s="9"/>
      <c r="G927" s="9"/>
      <c r="H927" s="9"/>
      <c r="I927" s="9"/>
      <c r="J927" s="9"/>
      <c r="K927" s="9"/>
      <c r="L927" s="9"/>
      <c r="M927" s="9"/>
      <c r="N927" s="9"/>
      <c r="O927" s="9"/>
    </row>
    <row r="928">
      <c r="B928" s="9" t="str">
        <f t="shared" si="1"/>
        <v> Violation</v>
      </c>
      <c r="C928" s="9"/>
      <c r="D928" s="9"/>
      <c r="E928" s="9"/>
      <c r="F928" s="9"/>
      <c r="G928" s="9"/>
      <c r="H928" s="9"/>
      <c r="I928" s="9"/>
      <c r="J928" s="9"/>
      <c r="K928" s="9"/>
      <c r="L928" s="9"/>
      <c r="M928" s="9"/>
      <c r="N928" s="9"/>
      <c r="O928" s="9"/>
    </row>
    <row r="929">
      <c r="B929" s="9" t="str">
        <f t="shared" si="1"/>
        <v> Violation</v>
      </c>
      <c r="C929" s="9"/>
      <c r="D929" s="9"/>
      <c r="E929" s="9"/>
      <c r="F929" s="9"/>
      <c r="G929" s="9"/>
      <c r="H929" s="9"/>
      <c r="I929" s="9"/>
      <c r="J929" s="9"/>
      <c r="K929" s="9"/>
      <c r="L929" s="9"/>
      <c r="M929" s="9"/>
      <c r="N929" s="9"/>
      <c r="O929" s="9"/>
    </row>
    <row r="930">
      <c r="B930" s="9" t="str">
        <f t="shared" si="1"/>
        <v> Violation</v>
      </c>
      <c r="C930" s="9"/>
      <c r="D930" s="9"/>
      <c r="E930" s="9"/>
      <c r="F930" s="9"/>
      <c r="G930" s="9"/>
      <c r="H930" s="9"/>
      <c r="I930" s="9"/>
      <c r="J930" s="9"/>
      <c r="K930" s="9"/>
      <c r="L930" s="9"/>
      <c r="M930" s="9"/>
      <c r="N930" s="9"/>
      <c r="O930" s="9"/>
    </row>
    <row r="931">
      <c r="B931" s="9" t="str">
        <f t="shared" si="1"/>
        <v> Violation</v>
      </c>
      <c r="C931" s="9"/>
      <c r="D931" s="9"/>
      <c r="E931" s="9"/>
      <c r="F931" s="9"/>
      <c r="G931" s="9"/>
      <c r="H931" s="9"/>
      <c r="I931" s="9"/>
      <c r="J931" s="9"/>
      <c r="K931" s="9"/>
      <c r="L931" s="9"/>
      <c r="M931" s="9"/>
      <c r="N931" s="9"/>
      <c r="O931" s="9"/>
    </row>
    <row r="932">
      <c r="B932" s="9" t="str">
        <f t="shared" si="1"/>
        <v> Violation</v>
      </c>
      <c r="C932" s="9"/>
      <c r="D932" s="9"/>
      <c r="E932" s="9"/>
      <c r="F932" s="9"/>
      <c r="G932" s="9"/>
      <c r="H932" s="9"/>
      <c r="I932" s="9"/>
      <c r="J932" s="9"/>
      <c r="K932" s="9"/>
      <c r="L932" s="9"/>
      <c r="M932" s="9"/>
      <c r="N932" s="9"/>
      <c r="O932" s="9"/>
    </row>
    <row r="933">
      <c r="B933" s="9" t="str">
        <f t="shared" si="1"/>
        <v> Violation</v>
      </c>
      <c r="C933" s="9"/>
      <c r="D933" s="9"/>
      <c r="E933" s="9"/>
      <c r="F933" s="9"/>
      <c r="G933" s="9"/>
      <c r="H933" s="9"/>
      <c r="I933" s="9"/>
      <c r="J933" s="9"/>
      <c r="K933" s="9"/>
      <c r="L933" s="9"/>
      <c r="M933" s="9"/>
      <c r="N933" s="9"/>
      <c r="O933" s="9"/>
    </row>
    <row r="934">
      <c r="B934" s="9" t="str">
        <f t="shared" si="1"/>
        <v> Violation</v>
      </c>
      <c r="C934" s="9"/>
      <c r="D934" s="9"/>
      <c r="E934" s="9"/>
      <c r="F934" s="9"/>
      <c r="G934" s="9"/>
      <c r="H934" s="9"/>
      <c r="I934" s="9"/>
      <c r="J934" s="9"/>
      <c r="K934" s="9"/>
      <c r="L934" s="9"/>
      <c r="M934" s="9"/>
      <c r="N934" s="9"/>
      <c r="O934" s="9"/>
    </row>
    <row r="935">
      <c r="B935" s="9" t="str">
        <f t="shared" si="1"/>
        <v> Violation</v>
      </c>
      <c r="C935" s="9"/>
      <c r="D935" s="9"/>
      <c r="E935" s="9"/>
      <c r="F935" s="9"/>
      <c r="G935" s="9"/>
      <c r="H935" s="9"/>
      <c r="I935" s="9"/>
      <c r="J935" s="9"/>
      <c r="K935" s="9"/>
      <c r="L935" s="9"/>
      <c r="M935" s="9"/>
      <c r="N935" s="9"/>
      <c r="O935" s="9"/>
    </row>
    <row r="936">
      <c r="B936" s="9" t="str">
        <f t="shared" si="1"/>
        <v> Violation</v>
      </c>
      <c r="C936" s="9"/>
      <c r="D936" s="9"/>
      <c r="E936" s="9"/>
      <c r="F936" s="9"/>
      <c r="G936" s="9"/>
      <c r="H936" s="9"/>
      <c r="I936" s="9"/>
      <c r="J936" s="9"/>
      <c r="K936" s="9"/>
      <c r="L936" s="9"/>
      <c r="M936" s="9"/>
      <c r="N936" s="9"/>
      <c r="O936" s="9"/>
    </row>
    <row r="937">
      <c r="B937" s="9" t="str">
        <f t="shared" si="1"/>
        <v> Violation</v>
      </c>
      <c r="C937" s="9"/>
      <c r="D937" s="9"/>
      <c r="E937" s="9"/>
      <c r="F937" s="9"/>
      <c r="G937" s="9"/>
      <c r="H937" s="9"/>
      <c r="I937" s="9"/>
      <c r="J937" s="9"/>
      <c r="K937" s="9"/>
      <c r="L937" s="9"/>
      <c r="M937" s="9"/>
      <c r="N937" s="9"/>
      <c r="O937" s="9"/>
    </row>
    <row r="938">
      <c r="B938" s="9" t="str">
        <f t="shared" si="1"/>
        <v> Violation</v>
      </c>
      <c r="C938" s="9"/>
      <c r="D938" s="9"/>
      <c r="E938" s="9"/>
      <c r="F938" s="9"/>
      <c r="G938" s="9"/>
      <c r="H938" s="9"/>
      <c r="I938" s="9"/>
      <c r="J938" s="9"/>
      <c r="K938" s="9"/>
      <c r="L938" s="9"/>
      <c r="M938" s="9"/>
      <c r="N938" s="9"/>
      <c r="O938" s="9"/>
    </row>
    <row r="939">
      <c r="B939" s="9" t="str">
        <f t="shared" si="1"/>
        <v> Violation</v>
      </c>
      <c r="C939" s="9"/>
      <c r="D939" s="9"/>
      <c r="E939" s="9"/>
      <c r="F939" s="9"/>
      <c r="G939" s="9"/>
      <c r="H939" s="9"/>
      <c r="I939" s="9"/>
      <c r="J939" s="9"/>
      <c r="K939" s="9"/>
      <c r="L939" s="9"/>
      <c r="M939" s="9"/>
      <c r="N939" s="9"/>
      <c r="O939" s="9"/>
    </row>
    <row r="940">
      <c r="B940" s="9" t="str">
        <f t="shared" si="1"/>
        <v> Violation</v>
      </c>
      <c r="C940" s="9"/>
      <c r="D940" s="9"/>
      <c r="E940" s="9"/>
      <c r="F940" s="9"/>
      <c r="G940" s="9"/>
      <c r="H940" s="9"/>
      <c r="I940" s="9"/>
      <c r="J940" s="9"/>
      <c r="K940" s="9"/>
      <c r="L940" s="9"/>
      <c r="M940" s="9"/>
      <c r="N940" s="9"/>
      <c r="O940" s="9"/>
    </row>
    <row r="941">
      <c r="B941" s="9" t="str">
        <f t="shared" si="1"/>
        <v> Violation</v>
      </c>
      <c r="C941" s="9"/>
      <c r="D941" s="9"/>
      <c r="E941" s="9"/>
      <c r="F941" s="9"/>
      <c r="G941" s="9"/>
      <c r="H941" s="9"/>
      <c r="I941" s="9"/>
      <c r="J941" s="9"/>
      <c r="K941" s="9"/>
      <c r="L941" s="9"/>
      <c r="M941" s="9"/>
      <c r="N941" s="9"/>
      <c r="O941" s="9"/>
    </row>
    <row r="942">
      <c r="B942" s="9" t="str">
        <f t="shared" si="1"/>
        <v> Violation</v>
      </c>
      <c r="C942" s="9"/>
      <c r="D942" s="9"/>
      <c r="E942" s="9"/>
      <c r="F942" s="9"/>
      <c r="G942" s="9"/>
      <c r="H942" s="9"/>
      <c r="I942" s="9"/>
      <c r="J942" s="9"/>
      <c r="K942" s="9"/>
      <c r="L942" s="9"/>
      <c r="M942" s="9"/>
      <c r="N942" s="9"/>
      <c r="O942" s="9"/>
    </row>
    <row r="943">
      <c r="B943" s="9" t="str">
        <f t="shared" si="1"/>
        <v> Violation</v>
      </c>
      <c r="C943" s="9"/>
      <c r="D943" s="9"/>
      <c r="E943" s="9"/>
      <c r="F943" s="9"/>
      <c r="G943" s="9"/>
      <c r="H943" s="9"/>
      <c r="I943" s="9"/>
      <c r="J943" s="9"/>
      <c r="K943" s="9"/>
      <c r="L943" s="9"/>
      <c r="M943" s="9"/>
      <c r="N943" s="9"/>
      <c r="O943" s="9"/>
    </row>
    <row r="944">
      <c r="B944" s="9" t="str">
        <f t="shared" si="1"/>
        <v> Violation</v>
      </c>
      <c r="C944" s="9"/>
      <c r="D944" s="9"/>
      <c r="E944" s="9"/>
      <c r="F944" s="9"/>
      <c r="G944" s="9"/>
      <c r="H944" s="9"/>
      <c r="I944" s="9"/>
      <c r="J944" s="9"/>
      <c r="K944" s="9"/>
      <c r="L944" s="9"/>
      <c r="M944" s="9"/>
      <c r="N944" s="9"/>
      <c r="O944" s="9"/>
    </row>
    <row r="945">
      <c r="B945" s="9" t="str">
        <f t="shared" si="1"/>
        <v> Violation</v>
      </c>
      <c r="C945" s="9"/>
      <c r="D945" s="9"/>
      <c r="E945" s="9"/>
      <c r="F945" s="9"/>
      <c r="G945" s="9"/>
      <c r="H945" s="9"/>
      <c r="I945" s="9"/>
      <c r="J945" s="9"/>
      <c r="K945" s="9"/>
      <c r="L945" s="9"/>
      <c r="M945" s="9"/>
      <c r="N945" s="9"/>
      <c r="O945" s="9"/>
    </row>
    <row r="946">
      <c r="B946" s="9" t="str">
        <f t="shared" si="1"/>
        <v> Violation</v>
      </c>
      <c r="C946" s="9"/>
      <c r="D946" s="9"/>
      <c r="E946" s="9"/>
      <c r="F946" s="9"/>
      <c r="G946" s="9"/>
      <c r="H946" s="9"/>
      <c r="I946" s="9"/>
      <c r="J946" s="9"/>
      <c r="K946" s="9"/>
      <c r="L946" s="9"/>
      <c r="M946" s="9"/>
      <c r="N946" s="9"/>
      <c r="O946" s="9"/>
    </row>
    <row r="947">
      <c r="B947" s="9" t="str">
        <f t="shared" si="1"/>
        <v> Violation</v>
      </c>
      <c r="C947" s="9"/>
      <c r="D947" s="9"/>
      <c r="E947" s="9"/>
      <c r="F947" s="9"/>
      <c r="G947" s="9"/>
      <c r="H947" s="9"/>
      <c r="I947" s="9"/>
      <c r="J947" s="9"/>
      <c r="K947" s="9"/>
      <c r="L947" s="9"/>
      <c r="M947" s="9"/>
      <c r="N947" s="9"/>
      <c r="O947" s="9"/>
    </row>
    <row r="948">
      <c r="B948" s="9" t="str">
        <f t="shared" si="1"/>
        <v> Violation</v>
      </c>
      <c r="C948" s="9"/>
      <c r="D948" s="9"/>
      <c r="E948" s="9"/>
      <c r="F948" s="9"/>
      <c r="G948" s="9"/>
      <c r="H948" s="9"/>
      <c r="I948" s="9"/>
      <c r="J948" s="9"/>
      <c r="K948" s="9"/>
      <c r="L948" s="9"/>
      <c r="M948" s="9"/>
      <c r="N948" s="9"/>
      <c r="O948" s="9"/>
    </row>
    <row r="949">
      <c r="B949" s="9" t="str">
        <f t="shared" si="1"/>
        <v> Violation</v>
      </c>
      <c r="C949" s="9"/>
      <c r="D949" s="9"/>
      <c r="E949" s="9"/>
      <c r="F949" s="9"/>
      <c r="G949" s="9"/>
      <c r="H949" s="9"/>
      <c r="I949" s="9"/>
      <c r="J949" s="9"/>
      <c r="K949" s="9"/>
      <c r="L949" s="9"/>
      <c r="M949" s="9"/>
      <c r="N949" s="9"/>
      <c r="O949" s="9"/>
    </row>
    <row r="950">
      <c r="B950" s="9" t="str">
        <f t="shared" si="1"/>
        <v> Violation</v>
      </c>
      <c r="C950" s="9"/>
      <c r="D950" s="9"/>
      <c r="E950" s="9"/>
      <c r="F950" s="9"/>
      <c r="G950" s="9"/>
      <c r="H950" s="9"/>
      <c r="I950" s="9"/>
      <c r="J950" s="9"/>
      <c r="K950" s="9"/>
      <c r="L950" s="9"/>
      <c r="M950" s="9"/>
      <c r="N950" s="9"/>
      <c r="O950" s="9"/>
    </row>
    <row r="951">
      <c r="B951" s="9" t="str">
        <f t="shared" si="1"/>
        <v> Violation</v>
      </c>
      <c r="C951" s="9"/>
      <c r="D951" s="9"/>
      <c r="E951" s="9"/>
      <c r="F951" s="9"/>
      <c r="G951" s="9"/>
      <c r="H951" s="9"/>
      <c r="I951" s="9"/>
      <c r="J951" s="9"/>
      <c r="K951" s="9"/>
      <c r="L951" s="9"/>
      <c r="M951" s="9"/>
      <c r="N951" s="9"/>
      <c r="O951" s="9"/>
    </row>
    <row r="952">
      <c r="B952" s="9" t="str">
        <f t="shared" si="1"/>
        <v> Violation</v>
      </c>
      <c r="C952" s="9"/>
      <c r="D952" s="9"/>
      <c r="E952" s="9"/>
      <c r="F952" s="9"/>
      <c r="G952" s="9"/>
      <c r="H952" s="9"/>
      <c r="I952" s="9"/>
      <c r="J952" s="9"/>
      <c r="K952" s="9"/>
      <c r="L952" s="9"/>
      <c r="M952" s="9"/>
      <c r="N952" s="9"/>
      <c r="O952" s="9"/>
    </row>
    <row r="953">
      <c r="B953" s="9" t="str">
        <f t="shared" si="1"/>
        <v> Violation</v>
      </c>
      <c r="C953" s="9"/>
      <c r="D953" s="9"/>
      <c r="E953" s="9"/>
      <c r="F953" s="9"/>
      <c r="G953" s="9"/>
      <c r="H953" s="9"/>
      <c r="I953" s="9"/>
      <c r="J953" s="9"/>
      <c r="K953" s="9"/>
      <c r="L953" s="9"/>
      <c r="M953" s="9"/>
      <c r="N953" s="9"/>
      <c r="O953" s="9"/>
    </row>
    <row r="954">
      <c r="B954" s="9" t="str">
        <f t="shared" si="1"/>
        <v> Violation</v>
      </c>
      <c r="C954" s="9"/>
      <c r="D954" s="9"/>
      <c r="E954" s="9"/>
      <c r="F954" s="9"/>
      <c r="G954" s="9"/>
      <c r="H954" s="9"/>
      <c r="I954" s="9"/>
      <c r="J954" s="9"/>
      <c r="K954" s="9"/>
      <c r="L954" s="9"/>
      <c r="M954" s="9"/>
      <c r="N954" s="9"/>
      <c r="O954" s="9"/>
    </row>
    <row r="955">
      <c r="B955" s="9" t="str">
        <f t="shared" si="1"/>
        <v> Violation</v>
      </c>
      <c r="C955" s="9"/>
      <c r="D955" s="9"/>
      <c r="E955" s="9"/>
      <c r="F955" s="9"/>
      <c r="G955" s="9"/>
      <c r="H955" s="9"/>
      <c r="I955" s="9"/>
      <c r="J955" s="9"/>
      <c r="K955" s="9"/>
      <c r="L955" s="9"/>
      <c r="M955" s="9"/>
      <c r="N955" s="9"/>
      <c r="O955" s="9"/>
    </row>
    <row r="956">
      <c r="B956" s="9" t="str">
        <f t="shared" si="1"/>
        <v> Violation</v>
      </c>
      <c r="C956" s="9"/>
      <c r="D956" s="9"/>
      <c r="E956" s="9"/>
      <c r="F956" s="9"/>
      <c r="G956" s="9"/>
      <c r="H956" s="9"/>
      <c r="I956" s="9"/>
      <c r="J956" s="9"/>
      <c r="K956" s="9"/>
      <c r="L956" s="9"/>
      <c r="M956" s="9"/>
      <c r="N956" s="9"/>
      <c r="O956" s="9"/>
    </row>
    <row r="957">
      <c r="B957" s="9" t="str">
        <f t="shared" si="1"/>
        <v> Violation</v>
      </c>
      <c r="C957" s="9"/>
      <c r="D957" s="9"/>
      <c r="E957" s="9"/>
      <c r="F957" s="9"/>
      <c r="G957" s="9"/>
      <c r="H957" s="9"/>
      <c r="I957" s="9"/>
      <c r="J957" s="9"/>
      <c r="K957" s="9"/>
      <c r="L957" s="9"/>
      <c r="M957" s="9"/>
      <c r="N957" s="9"/>
      <c r="O957" s="9"/>
    </row>
    <row r="958">
      <c r="B958" s="9" t="str">
        <f t="shared" si="1"/>
        <v> Violation</v>
      </c>
      <c r="C958" s="9"/>
      <c r="D958" s="9"/>
      <c r="E958" s="9"/>
      <c r="F958" s="9"/>
      <c r="G958" s="9"/>
      <c r="H958" s="9"/>
      <c r="I958" s="9"/>
      <c r="J958" s="9"/>
      <c r="K958" s="9"/>
      <c r="L958" s="9"/>
      <c r="M958" s="9"/>
      <c r="N958" s="9"/>
      <c r="O958" s="9"/>
    </row>
    <row r="959">
      <c r="B959" s="9" t="str">
        <f t="shared" si="1"/>
        <v> Violation</v>
      </c>
      <c r="C959" s="9"/>
      <c r="D959" s="9"/>
      <c r="E959" s="9"/>
      <c r="F959" s="9"/>
      <c r="G959" s="9"/>
      <c r="H959" s="9"/>
      <c r="I959" s="9"/>
      <c r="J959" s="9"/>
      <c r="K959" s="9"/>
      <c r="L959" s="9"/>
      <c r="M959" s="9"/>
      <c r="N959" s="9"/>
      <c r="O959" s="9"/>
    </row>
    <row r="960">
      <c r="B960" s="9" t="str">
        <f t="shared" si="1"/>
        <v> Violation</v>
      </c>
      <c r="C960" s="9"/>
      <c r="D960" s="9"/>
      <c r="E960" s="9"/>
      <c r="F960" s="9"/>
      <c r="G960" s="9"/>
      <c r="H960" s="9"/>
      <c r="I960" s="9"/>
      <c r="J960" s="9"/>
      <c r="K960" s="9"/>
      <c r="L960" s="9"/>
      <c r="M960" s="9"/>
      <c r="N960" s="9"/>
      <c r="O960" s="9"/>
    </row>
    <row r="961">
      <c r="B961" s="9" t="str">
        <f t="shared" si="1"/>
        <v> Violation</v>
      </c>
      <c r="C961" s="9"/>
      <c r="D961" s="9"/>
      <c r="E961" s="9"/>
      <c r="F961" s="9"/>
      <c r="G961" s="9"/>
      <c r="H961" s="9"/>
      <c r="I961" s="9"/>
      <c r="J961" s="9"/>
      <c r="K961" s="9"/>
      <c r="L961" s="9"/>
      <c r="M961" s="9"/>
      <c r="N961" s="9"/>
      <c r="O961" s="9"/>
    </row>
    <row r="962">
      <c r="B962" s="9" t="str">
        <f t="shared" si="1"/>
        <v> Violation</v>
      </c>
      <c r="C962" s="9"/>
      <c r="D962" s="9"/>
      <c r="E962" s="9"/>
      <c r="F962" s="9"/>
      <c r="G962" s="9"/>
      <c r="H962" s="9"/>
      <c r="I962" s="9"/>
      <c r="J962" s="9"/>
      <c r="K962" s="9"/>
      <c r="L962" s="9"/>
      <c r="M962" s="9"/>
      <c r="N962" s="9"/>
      <c r="O962" s="9"/>
    </row>
    <row r="963">
      <c r="B963" s="9" t="str">
        <f t="shared" si="1"/>
        <v> Violation</v>
      </c>
      <c r="C963" s="9"/>
      <c r="D963" s="9"/>
      <c r="E963" s="9"/>
      <c r="F963" s="9"/>
      <c r="G963" s="9"/>
      <c r="H963" s="9"/>
      <c r="I963" s="9"/>
      <c r="J963" s="9"/>
      <c r="K963" s="9"/>
      <c r="L963" s="9"/>
      <c r="M963" s="9"/>
      <c r="N963" s="9"/>
      <c r="O963" s="9"/>
    </row>
    <row r="964">
      <c r="B964" s="9" t="str">
        <f t="shared" si="1"/>
        <v> Violation</v>
      </c>
      <c r="C964" s="9"/>
      <c r="D964" s="9"/>
      <c r="E964" s="9"/>
      <c r="F964" s="9"/>
      <c r="G964" s="9"/>
      <c r="H964" s="9"/>
      <c r="I964" s="9"/>
      <c r="J964" s="9"/>
      <c r="K964" s="9"/>
      <c r="L964" s="9"/>
      <c r="M964" s="9"/>
      <c r="N964" s="9"/>
      <c r="O964" s="9"/>
    </row>
    <row r="965">
      <c r="B965" s="9" t="str">
        <f t="shared" si="1"/>
        <v> Violation</v>
      </c>
      <c r="C965" s="9"/>
      <c r="D965" s="9"/>
      <c r="E965" s="9"/>
      <c r="F965" s="9"/>
      <c r="G965" s="9"/>
      <c r="H965" s="9"/>
      <c r="I965" s="9"/>
      <c r="J965" s="9"/>
      <c r="K965" s="9"/>
      <c r="L965" s="9"/>
      <c r="M965" s="9"/>
      <c r="N965" s="9"/>
      <c r="O965" s="9"/>
    </row>
    <row r="966">
      <c r="B966" s="9" t="str">
        <f t="shared" si="1"/>
        <v> Violation</v>
      </c>
      <c r="C966" s="9"/>
      <c r="D966" s="9"/>
      <c r="E966" s="9"/>
      <c r="F966" s="9"/>
      <c r="G966" s="9"/>
      <c r="H966" s="9"/>
      <c r="I966" s="9"/>
      <c r="J966" s="9"/>
      <c r="K966" s="9"/>
      <c r="L966" s="9"/>
      <c r="M966" s="9"/>
      <c r="N966" s="9"/>
      <c r="O966" s="9"/>
    </row>
    <row r="967">
      <c r="B967" s="9" t="str">
        <f t="shared" si="1"/>
        <v> Violation</v>
      </c>
      <c r="C967" s="9"/>
      <c r="D967" s="9"/>
      <c r="E967" s="9"/>
      <c r="F967" s="9"/>
      <c r="G967" s="9"/>
      <c r="H967" s="9"/>
      <c r="I967" s="9"/>
      <c r="J967" s="9"/>
      <c r="K967" s="9"/>
      <c r="L967" s="9"/>
      <c r="M967" s="9"/>
      <c r="N967" s="9"/>
      <c r="O967" s="9"/>
    </row>
    <row r="968">
      <c r="B968" s="9" t="str">
        <f t="shared" si="1"/>
        <v> Violation</v>
      </c>
      <c r="C968" s="9"/>
      <c r="D968" s="9"/>
      <c r="E968" s="9"/>
      <c r="F968" s="9"/>
      <c r="G968" s="9"/>
      <c r="H968" s="9"/>
      <c r="I968" s="9"/>
      <c r="J968" s="9"/>
      <c r="K968" s="9"/>
      <c r="L968" s="9"/>
      <c r="M968" s="9"/>
      <c r="N968" s="9"/>
      <c r="O968" s="9"/>
    </row>
    <row r="969">
      <c r="B969" s="9" t="str">
        <f t="shared" si="1"/>
        <v> Violation</v>
      </c>
      <c r="C969" s="9"/>
      <c r="D969" s="9"/>
      <c r="E969" s="9"/>
      <c r="F969" s="9"/>
      <c r="G969" s="9"/>
      <c r="H969" s="9"/>
      <c r="I969" s="9"/>
      <c r="J969" s="9"/>
      <c r="K969" s="9"/>
      <c r="L969" s="9"/>
      <c r="M969" s="9"/>
      <c r="N969" s="9"/>
      <c r="O969" s="9"/>
    </row>
    <row r="970">
      <c r="B970" s="9" t="str">
        <f t="shared" si="1"/>
        <v> Violation</v>
      </c>
      <c r="C970" s="9"/>
      <c r="D970" s="9"/>
      <c r="E970" s="9"/>
      <c r="F970" s="9"/>
      <c r="G970" s="9"/>
      <c r="H970" s="9"/>
      <c r="I970" s="9"/>
      <c r="J970" s="9"/>
      <c r="K970" s="9"/>
      <c r="L970" s="9"/>
      <c r="M970" s="9"/>
      <c r="N970" s="9"/>
      <c r="O970" s="9"/>
    </row>
    <row r="971">
      <c r="B971" s="9" t="str">
        <f t="shared" si="1"/>
        <v> Violation</v>
      </c>
      <c r="C971" s="9"/>
      <c r="D971" s="9"/>
      <c r="E971" s="9"/>
      <c r="F971" s="9"/>
      <c r="G971" s="9"/>
      <c r="H971" s="9"/>
      <c r="I971" s="9"/>
      <c r="J971" s="9"/>
      <c r="K971" s="9"/>
      <c r="L971" s="9"/>
      <c r="M971" s="9"/>
      <c r="N971" s="9"/>
      <c r="O971" s="9"/>
    </row>
    <row r="972">
      <c r="B972" s="9" t="str">
        <f t="shared" si="1"/>
        <v> Violation</v>
      </c>
      <c r="C972" s="9"/>
      <c r="D972" s="9"/>
      <c r="E972" s="9"/>
      <c r="F972" s="9"/>
      <c r="G972" s="9"/>
      <c r="H972" s="9"/>
      <c r="I972" s="9"/>
      <c r="J972" s="9"/>
      <c r="K972" s="9"/>
      <c r="L972" s="9"/>
      <c r="M972" s="9"/>
      <c r="N972" s="9"/>
      <c r="O972" s="9"/>
    </row>
    <row r="973">
      <c r="B973" s="9" t="str">
        <f t="shared" si="1"/>
        <v> Violation</v>
      </c>
      <c r="C973" s="9"/>
      <c r="D973" s="9"/>
      <c r="E973" s="9"/>
      <c r="F973" s="9"/>
      <c r="G973" s="9"/>
      <c r="H973" s="9"/>
      <c r="I973" s="9"/>
      <c r="J973" s="9"/>
      <c r="K973" s="9"/>
      <c r="L973" s="9"/>
      <c r="M973" s="9"/>
      <c r="N973" s="9"/>
      <c r="O973" s="9"/>
    </row>
    <row r="974">
      <c r="B974" s="9" t="str">
        <f t="shared" si="1"/>
        <v> Violation</v>
      </c>
      <c r="C974" s="9"/>
      <c r="D974" s="9"/>
      <c r="E974" s="9"/>
      <c r="F974" s="9"/>
      <c r="G974" s="9"/>
      <c r="H974" s="9"/>
      <c r="I974" s="9"/>
      <c r="J974" s="9"/>
      <c r="K974" s="9"/>
      <c r="L974" s="9"/>
      <c r="M974" s="9"/>
      <c r="N974" s="9"/>
      <c r="O974" s="9"/>
    </row>
    <row r="975">
      <c r="B975" s="9" t="str">
        <f t="shared" si="1"/>
        <v> Violation</v>
      </c>
      <c r="C975" s="9"/>
      <c r="D975" s="9"/>
      <c r="E975" s="9"/>
      <c r="F975" s="9"/>
      <c r="G975" s="9"/>
      <c r="H975" s="9"/>
      <c r="I975" s="9"/>
      <c r="J975" s="9"/>
      <c r="K975" s="9"/>
      <c r="L975" s="9"/>
      <c r="M975" s="9"/>
      <c r="N975" s="9"/>
      <c r="O975" s="9"/>
    </row>
    <row r="976">
      <c r="B976" s="9" t="str">
        <f t="shared" si="1"/>
        <v> Violation</v>
      </c>
      <c r="C976" s="9"/>
      <c r="D976" s="9"/>
      <c r="E976" s="9"/>
      <c r="F976" s="9"/>
      <c r="G976" s="9"/>
      <c r="H976" s="9"/>
      <c r="I976" s="9"/>
      <c r="J976" s="9"/>
      <c r="K976" s="9"/>
      <c r="L976" s="9"/>
      <c r="M976" s="9"/>
      <c r="N976" s="9"/>
      <c r="O976" s="9"/>
    </row>
    <row r="977">
      <c r="B977" s="9" t="str">
        <f t="shared" si="1"/>
        <v> Violation</v>
      </c>
      <c r="C977" s="9"/>
      <c r="D977" s="9"/>
      <c r="E977" s="9"/>
      <c r="F977" s="9"/>
      <c r="G977" s="9"/>
      <c r="H977" s="9"/>
      <c r="I977" s="9"/>
      <c r="J977" s="9"/>
      <c r="K977" s="9"/>
      <c r="L977" s="9"/>
      <c r="M977" s="9"/>
      <c r="N977" s="9"/>
      <c r="O977" s="9"/>
    </row>
    <row r="978">
      <c r="B978" s="9" t="str">
        <f t="shared" si="1"/>
        <v> Violation</v>
      </c>
      <c r="C978" s="9"/>
      <c r="D978" s="9"/>
      <c r="E978" s="9"/>
      <c r="F978" s="9"/>
      <c r="G978" s="9"/>
      <c r="H978" s="9"/>
      <c r="I978" s="9"/>
      <c r="J978" s="9"/>
      <c r="K978" s="9"/>
      <c r="L978" s="9"/>
      <c r="M978" s="9"/>
      <c r="N978" s="9"/>
      <c r="O978" s="9"/>
    </row>
    <row r="979">
      <c r="B979" s="9" t="str">
        <f t="shared" si="1"/>
        <v> Violation</v>
      </c>
      <c r="C979" s="9"/>
      <c r="D979" s="9"/>
      <c r="E979" s="9"/>
      <c r="F979" s="9"/>
      <c r="G979" s="9"/>
      <c r="H979" s="9"/>
      <c r="I979" s="9"/>
      <c r="J979" s="9"/>
      <c r="K979" s="9"/>
      <c r="L979" s="9"/>
      <c r="M979" s="9"/>
      <c r="N979" s="9"/>
      <c r="O979" s="9"/>
    </row>
    <row r="980">
      <c r="B980" s="9" t="str">
        <f t="shared" si="1"/>
        <v> Violation</v>
      </c>
      <c r="C980" s="9"/>
      <c r="D980" s="9"/>
      <c r="E980" s="9"/>
      <c r="F980" s="9"/>
      <c r="G980" s="9"/>
      <c r="H980" s="9"/>
      <c r="I980" s="9"/>
      <c r="J980" s="9"/>
      <c r="K980" s="9"/>
      <c r="L980" s="9"/>
      <c r="M980" s="9"/>
      <c r="N980" s="9"/>
      <c r="O980" s="9"/>
    </row>
    <row r="981">
      <c r="B981" s="9" t="str">
        <f t="shared" si="1"/>
        <v> Violation</v>
      </c>
      <c r="C981" s="9"/>
      <c r="D981" s="9"/>
      <c r="E981" s="9"/>
      <c r="F981" s="9"/>
      <c r="G981" s="9"/>
      <c r="H981" s="9"/>
      <c r="I981" s="9"/>
      <c r="J981" s="9"/>
      <c r="K981" s="9"/>
      <c r="L981" s="9"/>
      <c r="M981" s="9"/>
      <c r="N981" s="9"/>
      <c r="O981" s="9"/>
    </row>
    <row r="982">
      <c r="B982" s="9" t="str">
        <f t="shared" si="1"/>
        <v> Violation</v>
      </c>
      <c r="C982" s="9"/>
      <c r="D982" s="9"/>
      <c r="E982" s="9"/>
      <c r="F982" s="9"/>
      <c r="G982" s="9"/>
      <c r="H982" s="9"/>
      <c r="I982" s="9"/>
      <c r="J982" s="9"/>
      <c r="K982" s="9"/>
      <c r="L982" s="9"/>
      <c r="M982" s="9"/>
      <c r="N982" s="9"/>
      <c r="O982" s="9"/>
    </row>
    <row r="983">
      <c r="B983" s="9" t="str">
        <f t="shared" si="1"/>
        <v> Violation</v>
      </c>
      <c r="C983" s="9"/>
      <c r="D983" s="9"/>
      <c r="E983" s="9"/>
      <c r="F983" s="9"/>
      <c r="G983" s="9"/>
      <c r="H983" s="9"/>
      <c r="I983" s="9"/>
      <c r="J983" s="9"/>
      <c r="K983" s="9"/>
      <c r="L983" s="9"/>
      <c r="M983" s="9"/>
      <c r="N983" s="9"/>
      <c r="O983" s="9"/>
    </row>
    <row r="984">
      <c r="B984" s="9" t="str">
        <f t="shared" si="1"/>
        <v> Violation</v>
      </c>
      <c r="C984" s="9"/>
      <c r="D984" s="9"/>
      <c r="E984" s="9"/>
      <c r="F984" s="9"/>
      <c r="G984" s="9"/>
      <c r="H984" s="9"/>
      <c r="I984" s="9"/>
      <c r="J984" s="9"/>
      <c r="K984" s="9"/>
      <c r="L984" s="9"/>
      <c r="M984" s="9"/>
      <c r="N984" s="9"/>
      <c r="O984" s="9"/>
    </row>
    <row r="985">
      <c r="B985" s="9" t="str">
        <f t="shared" si="1"/>
        <v> Violation</v>
      </c>
      <c r="C985" s="9"/>
      <c r="D985" s="9"/>
      <c r="E985" s="9"/>
      <c r="F985" s="9"/>
      <c r="G985" s="9"/>
      <c r="H985" s="9"/>
      <c r="I985" s="9"/>
      <c r="J985" s="9"/>
      <c r="K985" s="9"/>
      <c r="L985" s="9"/>
      <c r="M985" s="9"/>
      <c r="N985" s="9"/>
      <c r="O985" s="9"/>
    </row>
    <row r="986">
      <c r="B986" s="9" t="str">
        <f t="shared" si="1"/>
        <v> Violation</v>
      </c>
      <c r="C986" s="9"/>
      <c r="D986" s="9"/>
      <c r="E986" s="9"/>
      <c r="F986" s="9"/>
      <c r="G986" s="9"/>
      <c r="H986" s="9"/>
      <c r="I986" s="9"/>
      <c r="J986" s="9"/>
      <c r="K986" s="9"/>
      <c r="L986" s="9"/>
      <c r="M986" s="9"/>
      <c r="N986" s="9"/>
      <c r="O986" s="9"/>
    </row>
    <row r="987">
      <c r="B987" s="9" t="str">
        <f t="shared" si="1"/>
        <v> Violation</v>
      </c>
      <c r="C987" s="9"/>
      <c r="D987" s="9"/>
      <c r="E987" s="9"/>
      <c r="F987" s="9"/>
      <c r="G987" s="9"/>
      <c r="H987" s="9"/>
      <c r="I987" s="9"/>
      <c r="J987" s="9"/>
      <c r="K987" s="9"/>
      <c r="L987" s="9"/>
      <c r="M987" s="9"/>
      <c r="N987" s="9"/>
      <c r="O987" s="9"/>
    </row>
    <row r="988">
      <c r="B988" s="9" t="str">
        <f t="shared" si="1"/>
        <v> Violation</v>
      </c>
      <c r="C988" s="9"/>
      <c r="D988" s="9"/>
      <c r="E988" s="9"/>
      <c r="F988" s="9"/>
      <c r="G988" s="9"/>
      <c r="H988" s="9"/>
      <c r="I988" s="9"/>
      <c r="J988" s="9"/>
      <c r="K988" s="9"/>
      <c r="L988" s="9"/>
      <c r="M988" s="9"/>
      <c r="N988" s="9"/>
      <c r="O988" s="9"/>
    </row>
    <row r="989">
      <c r="B989" s="9" t="str">
        <f t="shared" si="1"/>
        <v> Violation</v>
      </c>
      <c r="C989" s="9"/>
      <c r="D989" s="9"/>
      <c r="E989" s="9"/>
      <c r="F989" s="9"/>
      <c r="G989" s="9"/>
      <c r="H989" s="9"/>
      <c r="I989" s="9"/>
      <c r="J989" s="9"/>
      <c r="K989" s="9"/>
      <c r="L989" s="9"/>
      <c r="M989" s="9"/>
      <c r="N989" s="9"/>
      <c r="O989" s="9"/>
    </row>
    <row r="990">
      <c r="B990" s="9" t="str">
        <f t="shared" si="1"/>
        <v> Violation</v>
      </c>
      <c r="C990" s="9"/>
      <c r="D990" s="9"/>
      <c r="E990" s="9"/>
      <c r="F990" s="9"/>
      <c r="G990" s="9"/>
      <c r="H990" s="9"/>
      <c r="I990" s="9"/>
      <c r="J990" s="9"/>
      <c r="K990" s="9"/>
      <c r="L990" s="9"/>
      <c r="M990" s="9"/>
      <c r="N990" s="9"/>
      <c r="O990" s="9"/>
    </row>
    <row r="991">
      <c r="B991" s="9" t="str">
        <f t="shared" si="1"/>
        <v> Violation</v>
      </c>
      <c r="C991" s="9"/>
      <c r="D991" s="9"/>
      <c r="E991" s="9"/>
      <c r="F991" s="9"/>
      <c r="G991" s="9"/>
      <c r="H991" s="9"/>
      <c r="I991" s="9"/>
      <c r="J991" s="9"/>
      <c r="K991" s="9"/>
      <c r="L991" s="9"/>
      <c r="M991" s="9"/>
      <c r="N991" s="9"/>
      <c r="O991" s="9"/>
    </row>
    <row r="992">
      <c r="B992" s="9" t="str">
        <f t="shared" si="1"/>
        <v> Violation</v>
      </c>
      <c r="C992" s="9"/>
      <c r="D992" s="9"/>
      <c r="E992" s="9"/>
      <c r="F992" s="9"/>
      <c r="G992" s="9"/>
      <c r="H992" s="9"/>
      <c r="I992" s="9"/>
      <c r="J992" s="9"/>
      <c r="K992" s="9"/>
      <c r="L992" s="9"/>
      <c r="M992" s="9"/>
      <c r="N992" s="9"/>
      <c r="O992" s="9"/>
    </row>
    <row r="993">
      <c r="B993" s="9" t="str">
        <f t="shared" si="1"/>
        <v> Violation</v>
      </c>
      <c r="C993" s="9"/>
      <c r="D993" s="9"/>
      <c r="E993" s="9"/>
      <c r="F993" s="9"/>
      <c r="G993" s="9"/>
      <c r="H993" s="9"/>
      <c r="I993" s="9"/>
      <c r="J993" s="9"/>
      <c r="K993" s="9"/>
      <c r="L993" s="9"/>
      <c r="M993" s="9"/>
      <c r="N993" s="9"/>
      <c r="O993" s="9"/>
    </row>
    <row r="994">
      <c r="B994" s="9" t="str">
        <f t="shared" si="1"/>
        <v> Violation</v>
      </c>
      <c r="C994" s="9"/>
      <c r="D994" s="9"/>
      <c r="E994" s="9"/>
      <c r="F994" s="9"/>
      <c r="G994" s="9"/>
      <c r="H994" s="9"/>
      <c r="I994" s="9"/>
      <c r="J994" s="9"/>
      <c r="K994" s="9"/>
      <c r="L994" s="9"/>
      <c r="M994" s="9"/>
      <c r="N994" s="9"/>
      <c r="O994" s="9"/>
    </row>
    <row r="995">
      <c r="B995" s="9" t="str">
        <f t="shared" si="1"/>
        <v> Violation</v>
      </c>
      <c r="C995" s="9"/>
      <c r="D995" s="9"/>
      <c r="E995" s="9"/>
      <c r="F995" s="9"/>
      <c r="G995" s="9"/>
      <c r="H995" s="9"/>
      <c r="I995" s="9"/>
      <c r="J995" s="9"/>
      <c r="K995" s="9"/>
      <c r="L995" s="9"/>
      <c r="M995" s="9"/>
      <c r="N995" s="9"/>
      <c r="O995" s="9"/>
    </row>
    <row r="996">
      <c r="B996" s="9" t="str">
        <f t="shared" si="1"/>
        <v> Violation</v>
      </c>
      <c r="C996" s="9"/>
      <c r="D996" s="9"/>
      <c r="E996" s="9"/>
      <c r="F996" s="9"/>
      <c r="G996" s="9"/>
      <c r="H996" s="9"/>
      <c r="I996" s="9"/>
      <c r="J996" s="9"/>
      <c r="K996" s="9"/>
      <c r="L996" s="9"/>
      <c r="M996" s="9"/>
      <c r="N996" s="9"/>
      <c r="O996" s="9"/>
    </row>
    <row r="997">
      <c r="B997" s="9" t="str">
        <f t="shared" si="1"/>
        <v> Violation</v>
      </c>
      <c r="C997" s="9"/>
      <c r="D997" s="9"/>
      <c r="E997" s="9"/>
      <c r="F997" s="9"/>
      <c r="G997" s="9"/>
      <c r="H997" s="9"/>
      <c r="I997" s="9"/>
      <c r="J997" s="9"/>
      <c r="K997" s="9"/>
      <c r="L997" s="9"/>
      <c r="M997" s="9"/>
      <c r="N997" s="9"/>
      <c r="O997" s="9"/>
    </row>
    <row r="998">
      <c r="B998" s="9" t="str">
        <f t="shared" si="1"/>
        <v> Violation</v>
      </c>
      <c r="C998" s="9"/>
      <c r="D998" s="9"/>
      <c r="E998" s="9"/>
      <c r="F998" s="9"/>
      <c r="G998" s="9"/>
      <c r="H998" s="9"/>
      <c r="I998" s="9"/>
      <c r="J998" s="9"/>
      <c r="K998" s="9"/>
      <c r="L998" s="9"/>
      <c r="M998" s="9"/>
      <c r="N998" s="9"/>
      <c r="O998" s="9"/>
    </row>
    <row r="999">
      <c r="B999" s="9" t="str">
        <f t="shared" si="1"/>
        <v> Violation</v>
      </c>
      <c r="C999" s="9"/>
      <c r="D999" s="9"/>
      <c r="E999" s="9"/>
      <c r="F999" s="9"/>
      <c r="G999" s="9"/>
      <c r="H999" s="9"/>
      <c r="I999" s="9"/>
      <c r="J999" s="9"/>
      <c r="K999" s="9"/>
      <c r="L999" s="9"/>
      <c r="M999" s="9"/>
      <c r="N999" s="9"/>
      <c r="O999" s="9"/>
    </row>
    <row r="1000">
      <c r="B1000" s="9" t="str">
        <f t="shared" si="1"/>
        <v> Violation</v>
      </c>
      <c r="C1000" s="9"/>
      <c r="D1000" s="9"/>
      <c r="E1000" s="9"/>
      <c r="F1000" s="9"/>
      <c r="G1000" s="9"/>
      <c r="H1000" s="9"/>
      <c r="I1000" s="9"/>
      <c r="J1000" s="9"/>
      <c r="K1000" s="9"/>
      <c r="L1000" s="9"/>
      <c r="M1000" s="9"/>
      <c r="N1000" s="9"/>
      <c r="O1000" s="9"/>
    </row>
    <row r="1001">
      <c r="B1001" s="9" t="str">
        <f t="shared" si="1"/>
        <v> Violation</v>
      </c>
      <c r="C1001" s="9"/>
      <c r="D1001" s="9"/>
      <c r="E1001" s="9"/>
      <c r="F1001" s="9"/>
      <c r="G1001" s="9"/>
      <c r="H1001" s="9"/>
      <c r="I1001" s="9"/>
      <c r="J1001" s="9"/>
      <c r="K1001" s="9"/>
      <c r="L1001" s="9"/>
      <c r="M1001" s="9"/>
      <c r="N1001" s="9"/>
      <c r="O1001" s="9"/>
    </row>
    <row r="1002">
      <c r="B1002" s="9" t="str">
        <f t="shared" si="1"/>
        <v> Violation</v>
      </c>
      <c r="C1002" s="9"/>
      <c r="D1002" s="9"/>
      <c r="E1002" s="9"/>
      <c r="F1002" s="9"/>
      <c r="G1002" s="9"/>
      <c r="H1002" s="9"/>
      <c r="I1002" s="9"/>
      <c r="J1002" s="9"/>
      <c r="K1002" s="9"/>
      <c r="L1002" s="9"/>
      <c r="M1002" s="9"/>
      <c r="N1002" s="9"/>
      <c r="O1002" s="9"/>
    </row>
    <row r="1003">
      <c r="B1003" s="9" t="str">
        <f t="shared" si="1"/>
        <v> Violation</v>
      </c>
      <c r="C1003" s="9"/>
      <c r="D1003" s="9"/>
      <c r="E1003" s="9"/>
      <c r="F1003" s="9"/>
      <c r="G1003" s="9"/>
      <c r="H1003" s="9"/>
      <c r="I1003" s="9"/>
      <c r="J1003" s="9"/>
      <c r="K1003" s="9"/>
      <c r="L1003" s="9"/>
      <c r="M1003" s="9"/>
      <c r="N1003" s="9"/>
      <c r="O1003" s="9"/>
    </row>
    <row r="1004">
      <c r="B1004" s="9" t="str">
        <f t="shared" si="1"/>
        <v> Violation</v>
      </c>
      <c r="C1004" s="9"/>
      <c r="D1004" s="9"/>
      <c r="E1004" s="9"/>
      <c r="F1004" s="9"/>
      <c r="G1004" s="9"/>
      <c r="H1004" s="9"/>
      <c r="I1004" s="9"/>
      <c r="J1004" s="9"/>
      <c r="K1004" s="9"/>
      <c r="L1004" s="9"/>
      <c r="M1004" s="9"/>
      <c r="N1004" s="9"/>
      <c r="O1004" s="9"/>
    </row>
    <row r="1005">
      <c r="B1005" s="9" t="str">
        <f t="shared" si="1"/>
        <v> Violation</v>
      </c>
      <c r="C1005" s="9"/>
      <c r="D1005" s="9"/>
      <c r="E1005" s="9"/>
      <c r="F1005" s="9"/>
      <c r="G1005" s="9"/>
      <c r="H1005" s="9"/>
      <c r="I1005" s="9"/>
      <c r="J1005" s="9"/>
      <c r="K1005" s="9"/>
      <c r="L1005" s="9"/>
      <c r="M1005" s="9"/>
      <c r="N1005" s="9"/>
      <c r="O1005" s="9"/>
    </row>
    <row r="1006">
      <c r="B1006" s="9" t="str">
        <f t="shared" si="1"/>
        <v> Violation</v>
      </c>
      <c r="C1006" s="9"/>
      <c r="D1006" s="9"/>
      <c r="E1006" s="9"/>
      <c r="F1006" s="9"/>
      <c r="G1006" s="9"/>
      <c r="H1006" s="9"/>
      <c r="I1006" s="9"/>
      <c r="J1006" s="9"/>
      <c r="K1006" s="9"/>
      <c r="L1006" s="9"/>
      <c r="M1006" s="9"/>
      <c r="N1006" s="9"/>
      <c r="O1006" s="9"/>
    </row>
    <row r="1007">
      <c r="B1007" s="9" t="str">
        <f t="shared" si="1"/>
        <v> Violation</v>
      </c>
      <c r="C1007" s="9"/>
      <c r="D1007" s="9"/>
      <c r="E1007" s="9"/>
      <c r="F1007" s="9"/>
      <c r="G1007" s="9"/>
      <c r="H1007" s="9"/>
      <c r="I1007" s="9"/>
      <c r="J1007" s="9"/>
      <c r="K1007" s="9"/>
      <c r="L1007" s="9"/>
      <c r="M1007" s="9"/>
      <c r="N1007" s="9"/>
      <c r="O1007" s="9"/>
    </row>
    <row r="1008">
      <c r="B1008" s="9" t="str">
        <f t="shared" si="1"/>
        <v> Violation</v>
      </c>
      <c r="C1008" s="9"/>
      <c r="D1008" s="9"/>
      <c r="E1008" s="9"/>
      <c r="F1008" s="9"/>
      <c r="G1008" s="9"/>
      <c r="H1008" s="9"/>
      <c r="I1008" s="9"/>
      <c r="J1008" s="9"/>
      <c r="K1008" s="9"/>
      <c r="L1008" s="9"/>
      <c r="M1008" s="9"/>
      <c r="N1008" s="9"/>
      <c r="O1008" s="9"/>
    </row>
    <row r="1009">
      <c r="B1009" s="9" t="str">
        <f t="shared" si="1"/>
        <v> Violation</v>
      </c>
      <c r="C1009" s="9"/>
      <c r="D1009" s="9"/>
      <c r="E1009" s="9"/>
      <c r="F1009" s="9"/>
      <c r="G1009" s="9"/>
      <c r="H1009" s="9"/>
      <c r="I1009" s="9"/>
      <c r="J1009" s="9"/>
      <c r="K1009" s="9"/>
      <c r="L1009" s="9"/>
      <c r="M1009" s="9"/>
      <c r="N1009" s="9"/>
      <c r="O1009" s="9"/>
    </row>
    <row r="1010">
      <c r="B1010" s="9" t="str">
        <f t="shared" si="1"/>
        <v> Violation</v>
      </c>
      <c r="C1010" s="9"/>
      <c r="D1010" s="9"/>
      <c r="E1010" s="9"/>
      <c r="F1010" s="9"/>
      <c r="G1010" s="9"/>
      <c r="H1010" s="9"/>
      <c r="I1010" s="9"/>
      <c r="J1010" s="9"/>
      <c r="K1010" s="9"/>
      <c r="L1010" s="9"/>
      <c r="M1010" s="9"/>
      <c r="N1010" s="9"/>
      <c r="O1010" s="9"/>
    </row>
    <row r="1011">
      <c r="B1011" s="9" t="str">
        <f t="shared" si="1"/>
        <v> Violation</v>
      </c>
      <c r="C1011" s="9"/>
      <c r="D1011" s="9"/>
      <c r="E1011" s="9"/>
      <c r="F1011" s="9"/>
      <c r="G1011" s="9"/>
      <c r="H1011" s="9"/>
      <c r="I1011" s="9"/>
      <c r="J1011" s="9"/>
      <c r="K1011" s="9"/>
      <c r="L1011" s="9"/>
      <c r="M1011" s="9"/>
      <c r="N1011" s="9"/>
      <c r="O1011" s="9"/>
    </row>
    <row r="1012">
      <c r="B1012" s="9" t="str">
        <f t="shared" si="1"/>
        <v> Violation</v>
      </c>
      <c r="C1012" s="9"/>
      <c r="D1012" s="9"/>
      <c r="E1012" s="9"/>
      <c r="F1012" s="9"/>
      <c r="G1012" s="9"/>
      <c r="H1012" s="9"/>
      <c r="I1012" s="9"/>
      <c r="J1012" s="9"/>
      <c r="K1012" s="9"/>
      <c r="L1012" s="9"/>
      <c r="M1012" s="9"/>
      <c r="N1012" s="9"/>
      <c r="O1012" s="9"/>
    </row>
    <row r="1013">
      <c r="B1013" s="9" t="str">
        <f t="shared" si="1"/>
        <v> Violation</v>
      </c>
      <c r="C1013" s="9"/>
      <c r="D1013" s="9"/>
      <c r="E1013" s="9"/>
      <c r="F1013" s="9"/>
      <c r="G1013" s="9"/>
      <c r="H1013" s="9"/>
      <c r="I1013" s="9"/>
      <c r="J1013" s="9"/>
      <c r="K1013" s="9"/>
      <c r="L1013" s="9"/>
      <c r="M1013" s="9"/>
      <c r="N1013" s="9"/>
      <c r="O1013" s="9"/>
    </row>
    <row r="1014">
      <c r="B1014" s="9" t="str">
        <f t="shared" si="1"/>
        <v> Violation</v>
      </c>
      <c r="C1014" s="9"/>
      <c r="D1014" s="9"/>
      <c r="E1014" s="9"/>
      <c r="F1014" s="9"/>
      <c r="G1014" s="9"/>
      <c r="H1014" s="9"/>
      <c r="I1014" s="9"/>
      <c r="J1014" s="9"/>
      <c r="K1014" s="9"/>
      <c r="L1014" s="9"/>
      <c r="M1014" s="9"/>
      <c r="N1014" s="9"/>
      <c r="O1014" s="9"/>
    </row>
    <row r="1015">
      <c r="B1015" s="9" t="str">
        <f t="shared" si="1"/>
        <v> Violation</v>
      </c>
      <c r="C1015" s="9"/>
      <c r="D1015" s="9"/>
      <c r="E1015" s="9"/>
      <c r="F1015" s="9"/>
      <c r="G1015" s="9"/>
      <c r="H1015" s="9"/>
      <c r="I1015" s="9"/>
      <c r="J1015" s="9"/>
      <c r="K1015" s="9"/>
      <c r="L1015" s="9"/>
      <c r="M1015" s="9"/>
      <c r="N1015" s="9"/>
      <c r="O1015" s="9"/>
    </row>
    <row r="1016">
      <c r="B1016" s="9" t="str">
        <f t="shared" si="1"/>
        <v> Violation</v>
      </c>
      <c r="C1016" s="9"/>
      <c r="D1016" s="9"/>
      <c r="E1016" s="9"/>
      <c r="F1016" s="9"/>
      <c r="G1016" s="9"/>
      <c r="H1016" s="9"/>
      <c r="I1016" s="9"/>
      <c r="J1016" s="9"/>
      <c r="K1016" s="9"/>
      <c r="L1016" s="9"/>
      <c r="M1016" s="9"/>
      <c r="N1016" s="9"/>
      <c r="O1016" s="9"/>
    </row>
  </sheetData>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3.0"/>
    <col customWidth="1" min="2" max="2" width="31.13"/>
    <col customWidth="1" min="3" max="3" width="11.13"/>
    <col customWidth="1" min="4" max="4" width="10.25"/>
    <col customWidth="1" min="5" max="5" width="14.63"/>
    <col customWidth="1" min="6" max="6" width="12.5"/>
    <col customWidth="1" min="7" max="8" width="25.75"/>
    <col customWidth="1" min="9" max="9" width="19.88"/>
    <col customWidth="1" min="10" max="12" width="22.38"/>
    <col customWidth="1" min="13" max="13" width="17.38"/>
    <col customWidth="1" min="14" max="14" width="12.13"/>
    <col customWidth="1" min="15" max="15" width="25.75"/>
  </cols>
  <sheetData>
    <row r="1">
      <c r="A1" s="23" t="s">
        <v>5929</v>
      </c>
      <c r="B1" s="23" t="s">
        <v>5930</v>
      </c>
      <c r="C1" s="23" t="s">
        <v>5931</v>
      </c>
      <c r="D1" s="23" t="s">
        <v>5932</v>
      </c>
      <c r="E1" s="23" t="s">
        <v>5933</v>
      </c>
      <c r="F1" s="23" t="s">
        <v>5934</v>
      </c>
      <c r="G1" s="24" t="s">
        <v>5935</v>
      </c>
      <c r="H1" s="24" t="s">
        <v>5936</v>
      </c>
      <c r="I1" s="23" t="s">
        <v>5937</v>
      </c>
      <c r="J1" s="23" t="s">
        <v>5938</v>
      </c>
      <c r="K1" s="23" t="s">
        <v>5939</v>
      </c>
      <c r="L1" s="23" t="s">
        <v>5940</v>
      </c>
      <c r="M1" s="25" t="s">
        <v>5941</v>
      </c>
      <c r="N1" s="23" t="s">
        <v>5942</v>
      </c>
      <c r="O1" s="23" t="s">
        <v>5943</v>
      </c>
      <c r="P1" s="26" t="s">
        <v>5944</v>
      </c>
    </row>
    <row r="2" ht="15.75" customHeight="1">
      <c r="A2" s="27" t="s">
        <v>5945</v>
      </c>
      <c r="B2" s="28" t="s">
        <v>5946</v>
      </c>
      <c r="C2" s="27" t="s">
        <v>5947</v>
      </c>
      <c r="D2" s="27" t="s">
        <v>5945</v>
      </c>
      <c r="E2" s="27" t="s">
        <v>5945</v>
      </c>
      <c r="F2" s="27" t="s">
        <v>5945</v>
      </c>
      <c r="G2" s="27">
        <v>3.0</v>
      </c>
      <c r="H2" s="27">
        <v>3.0</v>
      </c>
      <c r="I2" s="27">
        <v>3.0</v>
      </c>
      <c r="J2" s="27" t="s">
        <v>5948</v>
      </c>
      <c r="K2" s="27" t="s">
        <v>5949</v>
      </c>
      <c r="L2" s="27" t="s">
        <v>5949</v>
      </c>
      <c r="M2" s="7" t="s">
        <v>5945</v>
      </c>
      <c r="N2" s="27" t="s">
        <v>5947</v>
      </c>
      <c r="O2" s="27" t="s">
        <v>5947</v>
      </c>
      <c r="P2" s="27" t="s">
        <v>5950</v>
      </c>
      <c r="Q2" s="29"/>
      <c r="R2" s="29"/>
      <c r="S2" s="29"/>
      <c r="T2" s="29"/>
      <c r="U2" s="29"/>
      <c r="V2" s="29"/>
      <c r="W2" s="29"/>
      <c r="X2" s="29"/>
      <c r="Y2" s="29"/>
      <c r="Z2" s="29"/>
      <c r="AA2" s="29"/>
      <c r="AB2" s="29"/>
      <c r="AC2" s="29"/>
      <c r="AD2" s="29"/>
      <c r="AE2" s="29"/>
      <c r="AF2" s="29"/>
      <c r="AG2" s="29"/>
      <c r="AH2" s="29"/>
    </row>
    <row r="3" ht="15.75" customHeight="1">
      <c r="A3" s="27" t="s">
        <v>5945</v>
      </c>
      <c r="B3" s="30" t="s">
        <v>5951</v>
      </c>
      <c r="C3" s="27" t="s">
        <v>5947</v>
      </c>
      <c r="D3" s="27" t="s">
        <v>5945</v>
      </c>
      <c r="E3" s="27" t="s">
        <v>5945</v>
      </c>
      <c r="F3" s="27" t="s">
        <v>5945</v>
      </c>
      <c r="G3" s="27">
        <v>3.0</v>
      </c>
      <c r="H3" s="27">
        <v>3.0</v>
      </c>
      <c r="I3" s="27">
        <v>3.0</v>
      </c>
      <c r="J3" s="27" t="s">
        <v>5948</v>
      </c>
      <c r="K3" s="27" t="s">
        <v>5949</v>
      </c>
      <c r="L3" s="27" t="s">
        <v>5949</v>
      </c>
      <c r="M3" s="7" t="s">
        <v>5945</v>
      </c>
      <c r="N3" s="27" t="s">
        <v>5947</v>
      </c>
      <c r="O3" s="27" t="s">
        <v>5947</v>
      </c>
      <c r="P3" s="27" t="s">
        <v>5950</v>
      </c>
      <c r="Q3" s="29"/>
      <c r="R3" s="29"/>
      <c r="S3" s="29"/>
      <c r="T3" s="29"/>
      <c r="U3" s="29"/>
      <c r="V3" s="29"/>
      <c r="W3" s="29"/>
      <c r="X3" s="29"/>
      <c r="Y3" s="29"/>
      <c r="Z3" s="29"/>
      <c r="AA3" s="29"/>
      <c r="AB3" s="29"/>
      <c r="AC3" s="29"/>
      <c r="AD3" s="29"/>
      <c r="AE3" s="29"/>
      <c r="AF3" s="29"/>
      <c r="AG3" s="29"/>
      <c r="AH3" s="29"/>
    </row>
    <row r="4" ht="15.75" customHeight="1">
      <c r="A4" s="27" t="s">
        <v>5945</v>
      </c>
      <c r="B4" s="30" t="s">
        <v>5952</v>
      </c>
      <c r="C4" s="27" t="s">
        <v>5947</v>
      </c>
      <c r="D4" s="27" t="s">
        <v>5945</v>
      </c>
      <c r="E4" s="27" t="s">
        <v>5945</v>
      </c>
      <c r="F4" s="27" t="s">
        <v>5945</v>
      </c>
      <c r="G4" s="27">
        <v>3.0</v>
      </c>
      <c r="H4" s="27">
        <v>3.0</v>
      </c>
      <c r="I4" s="27">
        <v>3.0</v>
      </c>
      <c r="J4" s="27" t="s">
        <v>5948</v>
      </c>
      <c r="K4" s="27" t="s">
        <v>5949</v>
      </c>
      <c r="L4" s="27" t="s">
        <v>5949</v>
      </c>
      <c r="M4" s="7" t="s">
        <v>5945</v>
      </c>
      <c r="N4" s="27" t="s">
        <v>5947</v>
      </c>
      <c r="O4" s="27" t="s">
        <v>5947</v>
      </c>
      <c r="P4" s="27" t="s">
        <v>5950</v>
      </c>
      <c r="Q4" s="29"/>
      <c r="R4" s="29"/>
      <c r="S4" s="29"/>
      <c r="T4" s="29"/>
      <c r="U4" s="29"/>
      <c r="V4" s="29"/>
      <c r="W4" s="29"/>
      <c r="X4" s="29"/>
      <c r="Y4" s="29"/>
      <c r="Z4" s="29"/>
      <c r="AA4" s="29"/>
      <c r="AB4" s="29"/>
      <c r="AC4" s="29"/>
      <c r="AD4" s="29"/>
      <c r="AE4" s="29"/>
      <c r="AF4" s="29"/>
      <c r="AG4" s="29"/>
      <c r="AH4" s="29"/>
    </row>
    <row r="5" ht="15.75" customHeight="1">
      <c r="A5" s="27" t="s">
        <v>5945</v>
      </c>
      <c r="B5" s="31" t="s">
        <v>5953</v>
      </c>
      <c r="C5" s="27" t="s">
        <v>5947</v>
      </c>
      <c r="D5" s="27" t="s">
        <v>5945</v>
      </c>
      <c r="E5" s="27" t="s">
        <v>5945</v>
      </c>
      <c r="F5" s="27" t="s">
        <v>5945</v>
      </c>
      <c r="G5" s="27">
        <v>3.0</v>
      </c>
      <c r="H5" s="27">
        <v>3.0</v>
      </c>
      <c r="I5" s="27">
        <v>3.0</v>
      </c>
      <c r="J5" s="27" t="s">
        <v>5948</v>
      </c>
      <c r="K5" s="27" t="s">
        <v>5949</v>
      </c>
      <c r="L5" s="27" t="s">
        <v>5949</v>
      </c>
      <c r="M5" s="7" t="s">
        <v>5945</v>
      </c>
      <c r="N5" s="27" t="s">
        <v>5947</v>
      </c>
      <c r="O5" s="27" t="s">
        <v>5947</v>
      </c>
      <c r="P5" s="27" t="s">
        <v>5950</v>
      </c>
      <c r="Q5" s="29"/>
      <c r="R5" s="29"/>
      <c r="S5" s="29"/>
      <c r="T5" s="29"/>
      <c r="U5" s="29"/>
      <c r="V5" s="29"/>
      <c r="W5" s="29"/>
      <c r="X5" s="29"/>
      <c r="Y5" s="29"/>
      <c r="Z5" s="29"/>
      <c r="AA5" s="29"/>
      <c r="AB5" s="29"/>
      <c r="AC5" s="29"/>
      <c r="AD5" s="29"/>
      <c r="AE5" s="29"/>
      <c r="AF5" s="29"/>
      <c r="AG5" s="29"/>
      <c r="AH5" s="29"/>
    </row>
    <row r="6" ht="15.75" customHeight="1">
      <c r="A6" s="27" t="s">
        <v>5945</v>
      </c>
      <c r="B6" s="31" t="s">
        <v>5954</v>
      </c>
      <c r="C6" s="27" t="s">
        <v>5947</v>
      </c>
      <c r="D6" s="27" t="s">
        <v>5945</v>
      </c>
      <c r="E6" s="27" t="s">
        <v>5945</v>
      </c>
      <c r="F6" s="27" t="s">
        <v>5945</v>
      </c>
      <c r="G6" s="27">
        <v>3.0</v>
      </c>
      <c r="H6" s="27">
        <v>3.0</v>
      </c>
      <c r="I6" s="27">
        <v>3.0</v>
      </c>
      <c r="J6" s="27" t="s">
        <v>5948</v>
      </c>
      <c r="K6" s="27" t="s">
        <v>5949</v>
      </c>
      <c r="L6" s="27" t="s">
        <v>5949</v>
      </c>
      <c r="M6" s="7" t="s">
        <v>5945</v>
      </c>
      <c r="N6" s="27" t="s">
        <v>5947</v>
      </c>
      <c r="O6" s="27" t="s">
        <v>5947</v>
      </c>
      <c r="P6" s="27" t="s">
        <v>5950</v>
      </c>
      <c r="Q6" s="29"/>
      <c r="R6" s="29"/>
      <c r="S6" s="29"/>
      <c r="T6" s="29"/>
      <c r="U6" s="29"/>
      <c r="V6" s="29"/>
      <c r="W6" s="29"/>
      <c r="X6" s="29"/>
      <c r="Y6" s="29"/>
      <c r="Z6" s="29"/>
      <c r="AA6" s="29"/>
      <c r="AB6" s="29"/>
      <c r="AC6" s="29"/>
      <c r="AD6" s="29"/>
      <c r="AE6" s="29"/>
      <c r="AF6" s="29"/>
      <c r="AG6" s="29"/>
      <c r="AH6" s="29"/>
    </row>
    <row r="7" ht="15.75" customHeight="1">
      <c r="A7" s="27" t="s">
        <v>5945</v>
      </c>
      <c r="B7" s="32" t="s">
        <v>5955</v>
      </c>
      <c r="C7" s="27" t="s">
        <v>5947</v>
      </c>
      <c r="D7" s="27" t="s">
        <v>5945</v>
      </c>
      <c r="E7" s="27" t="s">
        <v>5945</v>
      </c>
      <c r="F7" s="27" t="s">
        <v>5945</v>
      </c>
      <c r="G7" s="27">
        <v>3.0</v>
      </c>
      <c r="H7" s="27">
        <v>3.0</v>
      </c>
      <c r="I7" s="27">
        <v>3.0</v>
      </c>
      <c r="J7" s="27" t="s">
        <v>5948</v>
      </c>
      <c r="K7" s="33">
        <v>34151.0</v>
      </c>
      <c r="L7" s="27" t="s">
        <v>5949</v>
      </c>
      <c r="M7" s="7" t="s">
        <v>5945</v>
      </c>
      <c r="N7" s="27" t="s">
        <v>5947</v>
      </c>
      <c r="O7" s="27" t="s">
        <v>5947</v>
      </c>
      <c r="P7" s="27" t="s">
        <v>5950</v>
      </c>
      <c r="Q7" s="29"/>
      <c r="R7" s="29"/>
      <c r="S7" s="29"/>
      <c r="T7" s="29"/>
      <c r="U7" s="29"/>
      <c r="V7" s="29"/>
      <c r="W7" s="29"/>
      <c r="X7" s="29"/>
      <c r="Y7" s="29"/>
      <c r="Z7" s="29"/>
      <c r="AA7" s="29"/>
      <c r="AB7" s="29"/>
      <c r="AC7" s="29"/>
      <c r="AD7" s="29"/>
      <c r="AE7" s="29"/>
      <c r="AF7" s="29"/>
      <c r="AG7" s="29"/>
      <c r="AH7" s="29"/>
    </row>
    <row r="8" ht="15.75" customHeight="1">
      <c r="A8" s="27" t="s">
        <v>5945</v>
      </c>
      <c r="B8" s="31" t="s">
        <v>5956</v>
      </c>
      <c r="C8" s="34">
        <v>44357.0</v>
      </c>
      <c r="D8" s="27" t="s">
        <v>5945</v>
      </c>
      <c r="E8" s="27" t="s">
        <v>5945</v>
      </c>
      <c r="F8" s="27" t="s">
        <v>5945</v>
      </c>
      <c r="G8" s="27">
        <v>3.0</v>
      </c>
      <c r="H8" s="27">
        <v>3.0</v>
      </c>
      <c r="I8" s="27">
        <v>3.0</v>
      </c>
      <c r="J8" s="27" t="s">
        <v>5948</v>
      </c>
      <c r="K8" s="35">
        <v>34151.0</v>
      </c>
      <c r="L8" s="27" t="s">
        <v>5949</v>
      </c>
      <c r="M8" s="7" t="s">
        <v>5945</v>
      </c>
      <c r="N8" s="27" t="s">
        <v>5947</v>
      </c>
      <c r="O8" s="27" t="s">
        <v>5947</v>
      </c>
      <c r="P8" s="27" t="s">
        <v>5950</v>
      </c>
      <c r="Q8" s="29"/>
      <c r="R8" s="29"/>
      <c r="S8" s="29"/>
      <c r="T8" s="29"/>
      <c r="U8" s="29"/>
      <c r="V8" s="29"/>
      <c r="W8" s="29"/>
      <c r="X8" s="29"/>
      <c r="Y8" s="29"/>
      <c r="Z8" s="29"/>
      <c r="AA8" s="29"/>
      <c r="AB8" s="29"/>
      <c r="AC8" s="29"/>
      <c r="AD8" s="29"/>
      <c r="AE8" s="29"/>
      <c r="AF8" s="29"/>
      <c r="AG8" s="29"/>
      <c r="AH8" s="29"/>
    </row>
    <row r="9" ht="15.75" customHeight="1">
      <c r="A9" s="27" t="s">
        <v>5945</v>
      </c>
      <c r="B9" s="31" t="s">
        <v>5957</v>
      </c>
      <c r="C9" s="27">
        <v>4.0</v>
      </c>
      <c r="D9" s="27" t="s">
        <v>5945</v>
      </c>
      <c r="E9" s="27" t="s">
        <v>5945</v>
      </c>
      <c r="F9" s="27" t="s">
        <v>5945</v>
      </c>
      <c r="G9" s="27">
        <v>3.0</v>
      </c>
      <c r="H9" s="27">
        <v>3.0</v>
      </c>
      <c r="I9" s="27">
        <v>3.0</v>
      </c>
      <c r="J9" s="27" t="s">
        <v>5948</v>
      </c>
      <c r="K9" s="35">
        <v>34151.0</v>
      </c>
      <c r="L9" s="35">
        <v>41091.0</v>
      </c>
      <c r="M9" s="7" t="s">
        <v>5945</v>
      </c>
      <c r="N9" s="27" t="s">
        <v>5947</v>
      </c>
      <c r="O9" s="27" t="s">
        <v>5947</v>
      </c>
      <c r="P9" s="27" t="s">
        <v>5950</v>
      </c>
      <c r="Q9" s="29"/>
      <c r="R9" s="29"/>
      <c r="S9" s="29"/>
      <c r="T9" s="29"/>
      <c r="U9" s="29"/>
      <c r="V9" s="29"/>
      <c r="W9" s="29"/>
      <c r="X9" s="29"/>
      <c r="Y9" s="29"/>
      <c r="Z9" s="29"/>
      <c r="AA9" s="29"/>
      <c r="AB9" s="29"/>
      <c r="AC9" s="29"/>
      <c r="AD9" s="29"/>
      <c r="AE9" s="29"/>
      <c r="AF9" s="29"/>
      <c r="AG9" s="29"/>
      <c r="AH9" s="29"/>
    </row>
    <row r="10" ht="15.75" customHeight="1">
      <c r="A10" s="27" t="s">
        <v>5945</v>
      </c>
      <c r="B10" s="31" t="s">
        <v>5957</v>
      </c>
      <c r="C10" s="27">
        <v>5.0</v>
      </c>
      <c r="D10" s="27" t="s">
        <v>5945</v>
      </c>
      <c r="E10" s="27" t="s">
        <v>5945</v>
      </c>
      <c r="F10" s="27" t="s">
        <v>5945</v>
      </c>
      <c r="G10" s="27">
        <v>3.0</v>
      </c>
      <c r="H10" s="27">
        <v>3.0</v>
      </c>
      <c r="I10" s="27">
        <v>3.0</v>
      </c>
      <c r="J10" s="27" t="s">
        <v>5948</v>
      </c>
      <c r="K10" s="35">
        <v>41091.0</v>
      </c>
      <c r="L10" s="27" t="s">
        <v>5949</v>
      </c>
      <c r="M10" s="7" t="s">
        <v>5945</v>
      </c>
      <c r="N10" s="27" t="s">
        <v>5947</v>
      </c>
      <c r="O10" s="27" t="s">
        <v>5947</v>
      </c>
      <c r="P10" s="27" t="s">
        <v>5950</v>
      </c>
      <c r="Q10" s="29"/>
      <c r="R10" s="29"/>
      <c r="S10" s="29"/>
      <c r="T10" s="29"/>
      <c r="U10" s="29"/>
      <c r="V10" s="29"/>
      <c r="W10" s="29"/>
      <c r="X10" s="29"/>
      <c r="Y10" s="29"/>
      <c r="Z10" s="29"/>
      <c r="AA10" s="29"/>
      <c r="AB10" s="29"/>
      <c r="AC10" s="29"/>
      <c r="AD10" s="29"/>
      <c r="AE10" s="29"/>
      <c r="AF10" s="29"/>
      <c r="AG10" s="29"/>
      <c r="AH10" s="29"/>
    </row>
    <row r="11" ht="15.75" customHeight="1">
      <c r="A11" s="27" t="s">
        <v>5958</v>
      </c>
      <c r="B11" s="36" t="s">
        <v>5959</v>
      </c>
      <c r="C11" s="27" t="s">
        <v>5947</v>
      </c>
      <c r="D11" s="11" t="s">
        <v>5960</v>
      </c>
      <c r="E11" s="27" t="s">
        <v>5961</v>
      </c>
      <c r="F11" s="27" t="s">
        <v>5961</v>
      </c>
      <c r="G11" s="27">
        <v>1.0</v>
      </c>
      <c r="H11" s="27">
        <v>1.0</v>
      </c>
      <c r="I11" s="27">
        <v>1.0</v>
      </c>
      <c r="J11" s="27" t="s">
        <v>5962</v>
      </c>
      <c r="K11" s="27" t="s">
        <v>5949</v>
      </c>
      <c r="L11" s="27" t="s">
        <v>5949</v>
      </c>
      <c r="M11" s="7" t="s">
        <v>5963</v>
      </c>
      <c r="N11" s="37" t="s">
        <v>5964</v>
      </c>
      <c r="O11" s="27" t="s">
        <v>5965</v>
      </c>
      <c r="P11" s="27" t="s">
        <v>5966</v>
      </c>
      <c r="Q11" s="29"/>
      <c r="R11" s="29"/>
      <c r="S11" s="29"/>
      <c r="T11" s="29"/>
      <c r="U11" s="29"/>
      <c r="V11" s="29"/>
      <c r="W11" s="29"/>
      <c r="X11" s="29"/>
      <c r="Y11" s="29"/>
      <c r="Z11" s="29"/>
      <c r="AA11" s="29"/>
      <c r="AB11" s="29"/>
      <c r="AC11" s="29"/>
      <c r="AD11" s="29"/>
      <c r="AE11" s="29"/>
      <c r="AF11" s="29"/>
      <c r="AG11" s="29"/>
      <c r="AH11" s="29"/>
    </row>
    <row r="12" ht="15.75" customHeight="1">
      <c r="A12" s="27" t="s">
        <v>5967</v>
      </c>
      <c r="B12" s="36" t="s">
        <v>5959</v>
      </c>
      <c r="C12" s="27" t="s">
        <v>5947</v>
      </c>
      <c r="D12" s="11" t="s">
        <v>5968</v>
      </c>
      <c r="E12" s="27" t="s">
        <v>5961</v>
      </c>
      <c r="F12" s="27" t="s">
        <v>5969</v>
      </c>
      <c r="G12" s="27">
        <v>1.0</v>
      </c>
      <c r="H12" s="27">
        <v>1.0</v>
      </c>
      <c r="I12" s="27">
        <v>1.0</v>
      </c>
      <c r="J12" s="27" t="s">
        <v>5962</v>
      </c>
      <c r="K12" s="27" t="s">
        <v>5949</v>
      </c>
      <c r="L12" s="27" t="s">
        <v>5949</v>
      </c>
      <c r="M12" s="7" t="s">
        <v>5970</v>
      </c>
      <c r="N12" s="37" t="s">
        <v>5971</v>
      </c>
      <c r="O12" s="27" t="s">
        <v>5972</v>
      </c>
      <c r="P12" s="38" t="s">
        <v>5966</v>
      </c>
      <c r="Q12" s="29"/>
      <c r="R12" s="29"/>
      <c r="S12" s="29"/>
      <c r="T12" s="29"/>
      <c r="U12" s="29"/>
      <c r="V12" s="29"/>
      <c r="W12" s="29"/>
      <c r="X12" s="29"/>
      <c r="Y12" s="29"/>
      <c r="Z12" s="29"/>
      <c r="AA12" s="29"/>
      <c r="AB12" s="29"/>
      <c r="AC12" s="29"/>
      <c r="AD12" s="29"/>
      <c r="AE12" s="29"/>
      <c r="AF12" s="29"/>
      <c r="AG12" s="29"/>
      <c r="AH12" s="29"/>
    </row>
    <row r="13" ht="15.75" customHeight="1">
      <c r="A13" s="27" t="s">
        <v>5945</v>
      </c>
      <c r="B13" s="31" t="s">
        <v>5973</v>
      </c>
      <c r="C13" s="27" t="s">
        <v>5947</v>
      </c>
      <c r="D13" s="27" t="s">
        <v>5945</v>
      </c>
      <c r="E13" s="27" t="s">
        <v>5945</v>
      </c>
      <c r="F13" s="27" t="s">
        <v>5945</v>
      </c>
      <c r="G13" s="27">
        <v>5.0</v>
      </c>
      <c r="H13" s="27">
        <v>5.0</v>
      </c>
      <c r="I13" s="27">
        <v>5.0</v>
      </c>
      <c r="J13" s="27" t="s">
        <v>5948</v>
      </c>
      <c r="K13" s="27" t="s">
        <v>5949</v>
      </c>
      <c r="L13" s="27" t="s">
        <v>5949</v>
      </c>
      <c r="M13" s="7" t="s">
        <v>5945</v>
      </c>
      <c r="N13" s="27" t="s">
        <v>5947</v>
      </c>
      <c r="O13" s="27" t="s">
        <v>5947</v>
      </c>
      <c r="P13" s="27" t="s">
        <v>5974</v>
      </c>
      <c r="Q13" s="29"/>
      <c r="R13" s="29"/>
      <c r="S13" s="29"/>
      <c r="T13" s="29"/>
      <c r="U13" s="29"/>
      <c r="V13" s="29"/>
      <c r="W13" s="29"/>
      <c r="X13" s="29"/>
      <c r="Y13" s="29"/>
      <c r="Z13" s="29"/>
      <c r="AA13" s="29"/>
      <c r="AB13" s="29"/>
      <c r="AC13" s="29"/>
      <c r="AD13" s="29"/>
      <c r="AE13" s="29"/>
      <c r="AF13" s="29"/>
      <c r="AG13" s="29"/>
      <c r="AH13" s="29"/>
    </row>
    <row r="14" ht="15.75" customHeight="1">
      <c r="A14" s="27" t="s">
        <v>5945</v>
      </c>
      <c r="B14" s="31" t="s">
        <v>5975</v>
      </c>
      <c r="C14" s="27" t="s">
        <v>5947</v>
      </c>
      <c r="D14" s="27" t="s">
        <v>5945</v>
      </c>
      <c r="E14" s="27" t="s">
        <v>5945</v>
      </c>
      <c r="F14" s="27" t="s">
        <v>5945</v>
      </c>
      <c r="G14" s="27">
        <v>5.0</v>
      </c>
      <c r="H14" s="27">
        <v>5.0</v>
      </c>
      <c r="I14" s="27">
        <v>5.0</v>
      </c>
      <c r="J14" s="27" t="s">
        <v>5948</v>
      </c>
      <c r="K14" s="27" t="s">
        <v>5949</v>
      </c>
      <c r="L14" s="27" t="s">
        <v>5949</v>
      </c>
      <c r="M14" s="7" t="s">
        <v>5945</v>
      </c>
      <c r="N14" s="27" t="s">
        <v>5947</v>
      </c>
      <c r="O14" s="27" t="s">
        <v>5947</v>
      </c>
      <c r="P14" s="27" t="s">
        <v>5974</v>
      </c>
      <c r="Q14" s="29"/>
      <c r="R14" s="29"/>
      <c r="S14" s="29"/>
      <c r="T14" s="29"/>
      <c r="U14" s="29"/>
      <c r="V14" s="29"/>
      <c r="W14" s="29"/>
      <c r="X14" s="29"/>
      <c r="Y14" s="29"/>
      <c r="Z14" s="29"/>
      <c r="AA14" s="29"/>
      <c r="AB14" s="29"/>
      <c r="AC14" s="29"/>
      <c r="AD14" s="29"/>
      <c r="AE14" s="29"/>
      <c r="AF14" s="29"/>
      <c r="AG14" s="29"/>
      <c r="AH14" s="29"/>
    </row>
    <row r="15" ht="15.75" customHeight="1">
      <c r="A15" s="27" t="s">
        <v>5945</v>
      </c>
      <c r="B15" s="31" t="s">
        <v>5976</v>
      </c>
      <c r="C15" s="27" t="s">
        <v>5947</v>
      </c>
      <c r="D15" s="27" t="s">
        <v>5945</v>
      </c>
      <c r="E15" s="27" t="s">
        <v>5945</v>
      </c>
      <c r="F15" s="27" t="s">
        <v>5945</v>
      </c>
      <c r="G15" s="27">
        <v>5.0</v>
      </c>
      <c r="H15" s="27">
        <v>5.0</v>
      </c>
      <c r="I15" s="27">
        <v>5.0</v>
      </c>
      <c r="J15" s="27" t="s">
        <v>5948</v>
      </c>
      <c r="K15" s="27" t="s">
        <v>5949</v>
      </c>
      <c r="L15" s="27" t="s">
        <v>5949</v>
      </c>
      <c r="M15" s="7" t="s">
        <v>5945</v>
      </c>
      <c r="N15" s="27" t="s">
        <v>5947</v>
      </c>
      <c r="O15" s="27" t="s">
        <v>5947</v>
      </c>
      <c r="P15" s="27" t="s">
        <v>5974</v>
      </c>
      <c r="Q15" s="29"/>
      <c r="R15" s="29"/>
      <c r="S15" s="29"/>
      <c r="T15" s="29"/>
      <c r="U15" s="29"/>
      <c r="V15" s="29"/>
      <c r="W15" s="29"/>
      <c r="X15" s="29"/>
      <c r="Y15" s="29"/>
      <c r="Z15" s="29"/>
      <c r="AA15" s="29"/>
      <c r="AB15" s="29"/>
      <c r="AC15" s="29"/>
      <c r="AD15" s="29"/>
      <c r="AE15" s="29"/>
      <c r="AF15" s="29"/>
      <c r="AG15" s="29"/>
      <c r="AH15" s="29"/>
    </row>
    <row r="16" ht="15.75" customHeight="1">
      <c r="A16" s="27" t="s">
        <v>5945</v>
      </c>
      <c r="B16" s="31" t="s">
        <v>5977</v>
      </c>
      <c r="C16" s="27" t="s">
        <v>5947</v>
      </c>
      <c r="D16" s="27" t="s">
        <v>5945</v>
      </c>
      <c r="E16" s="27" t="s">
        <v>5945</v>
      </c>
      <c r="F16" s="27" t="s">
        <v>5945</v>
      </c>
      <c r="G16" s="27">
        <v>5.0</v>
      </c>
      <c r="H16" s="27">
        <v>5.0</v>
      </c>
      <c r="I16" s="27">
        <v>5.0</v>
      </c>
      <c r="J16" s="27" t="s">
        <v>5948</v>
      </c>
      <c r="K16" s="35">
        <v>34151.0</v>
      </c>
      <c r="L16" s="27" t="s">
        <v>5949</v>
      </c>
      <c r="M16" s="7" t="s">
        <v>5945</v>
      </c>
      <c r="N16" s="27" t="s">
        <v>5947</v>
      </c>
      <c r="O16" s="27" t="s">
        <v>5947</v>
      </c>
      <c r="P16" s="27" t="s">
        <v>5974</v>
      </c>
      <c r="Q16" s="29"/>
      <c r="R16" s="29"/>
      <c r="S16" s="29"/>
      <c r="T16" s="29"/>
      <c r="U16" s="29"/>
      <c r="V16" s="29"/>
      <c r="W16" s="29"/>
      <c r="X16" s="29"/>
      <c r="Y16" s="29"/>
      <c r="Z16" s="29"/>
      <c r="AA16" s="29"/>
      <c r="AB16" s="29"/>
      <c r="AC16" s="29"/>
      <c r="AD16" s="29"/>
      <c r="AE16" s="29"/>
      <c r="AF16" s="29"/>
      <c r="AG16" s="29"/>
      <c r="AH16" s="29"/>
    </row>
    <row r="17" ht="15.75" customHeight="1">
      <c r="A17" s="27" t="s">
        <v>5945</v>
      </c>
      <c r="B17" s="31" t="s">
        <v>5956</v>
      </c>
      <c r="C17" s="34">
        <v>44201.0</v>
      </c>
      <c r="D17" s="27" t="s">
        <v>5945</v>
      </c>
      <c r="E17" s="27" t="s">
        <v>5945</v>
      </c>
      <c r="F17" s="27" t="s">
        <v>5945</v>
      </c>
      <c r="G17" s="27">
        <v>5.0</v>
      </c>
      <c r="H17" s="27">
        <v>5.0</v>
      </c>
      <c r="I17" s="27">
        <v>5.0</v>
      </c>
      <c r="J17" s="27" t="s">
        <v>5948</v>
      </c>
      <c r="K17" s="35">
        <v>34151.0</v>
      </c>
      <c r="L17" s="27" t="s">
        <v>5949</v>
      </c>
      <c r="M17" s="7" t="s">
        <v>5945</v>
      </c>
      <c r="N17" s="27" t="s">
        <v>5947</v>
      </c>
      <c r="O17" s="27" t="s">
        <v>5947</v>
      </c>
      <c r="P17" s="27" t="s">
        <v>5974</v>
      </c>
      <c r="Q17" s="29"/>
      <c r="R17" s="29"/>
      <c r="S17" s="29"/>
      <c r="T17" s="29"/>
      <c r="U17" s="29"/>
      <c r="V17" s="29"/>
      <c r="W17" s="29"/>
      <c r="X17" s="29"/>
      <c r="Y17" s="29"/>
      <c r="Z17" s="29"/>
      <c r="AA17" s="29"/>
      <c r="AB17" s="29"/>
      <c r="AC17" s="29"/>
      <c r="AD17" s="29"/>
      <c r="AE17" s="29"/>
      <c r="AF17" s="29"/>
      <c r="AG17" s="29"/>
      <c r="AH17" s="29"/>
    </row>
    <row r="18" ht="15.75" customHeight="1">
      <c r="A18" s="27" t="s">
        <v>5945</v>
      </c>
      <c r="B18" s="31" t="s">
        <v>5957</v>
      </c>
      <c r="C18" s="34">
        <v>44199.0</v>
      </c>
      <c r="D18" s="27" t="s">
        <v>5945</v>
      </c>
      <c r="E18" s="27" t="s">
        <v>5945</v>
      </c>
      <c r="F18" s="27" t="s">
        <v>5945</v>
      </c>
      <c r="G18" s="27">
        <v>5.0</v>
      </c>
      <c r="H18" s="27">
        <v>5.0</v>
      </c>
      <c r="I18" s="27">
        <v>5.0</v>
      </c>
      <c r="J18" s="27" t="s">
        <v>5948</v>
      </c>
      <c r="K18" s="35">
        <v>34151.0</v>
      </c>
      <c r="L18" s="35">
        <v>41091.0</v>
      </c>
      <c r="M18" s="7" t="s">
        <v>5945</v>
      </c>
      <c r="N18" s="27" t="s">
        <v>5947</v>
      </c>
      <c r="O18" s="27" t="s">
        <v>5947</v>
      </c>
      <c r="P18" s="27" t="s">
        <v>5974</v>
      </c>
      <c r="Q18" s="29"/>
      <c r="R18" s="29"/>
      <c r="S18" s="29"/>
      <c r="T18" s="29"/>
      <c r="U18" s="29"/>
      <c r="V18" s="29"/>
      <c r="W18" s="29"/>
      <c r="X18" s="29"/>
      <c r="Y18" s="29"/>
      <c r="Z18" s="29"/>
      <c r="AA18" s="29"/>
      <c r="AB18" s="29"/>
      <c r="AC18" s="29"/>
      <c r="AD18" s="29"/>
      <c r="AE18" s="29"/>
      <c r="AF18" s="29"/>
      <c r="AG18" s="29"/>
      <c r="AH18" s="29"/>
    </row>
    <row r="19" ht="15.75" customHeight="1">
      <c r="A19" s="27" t="s">
        <v>5945</v>
      </c>
      <c r="B19" s="31" t="s">
        <v>5957</v>
      </c>
      <c r="C19" s="34">
        <v>44200.0</v>
      </c>
      <c r="D19" s="27" t="s">
        <v>5945</v>
      </c>
      <c r="E19" s="27" t="s">
        <v>5945</v>
      </c>
      <c r="F19" s="27" t="s">
        <v>5945</v>
      </c>
      <c r="G19" s="27">
        <v>5.0</v>
      </c>
      <c r="H19" s="27">
        <v>5.0</v>
      </c>
      <c r="I19" s="27">
        <v>5.0</v>
      </c>
      <c r="J19" s="27" t="s">
        <v>5948</v>
      </c>
      <c r="K19" s="35">
        <v>41091.0</v>
      </c>
      <c r="L19" s="27" t="s">
        <v>5949</v>
      </c>
      <c r="M19" s="7" t="s">
        <v>5945</v>
      </c>
      <c r="N19" s="27" t="s">
        <v>5947</v>
      </c>
      <c r="O19" s="27" t="s">
        <v>5947</v>
      </c>
      <c r="P19" s="27" t="s">
        <v>5974</v>
      </c>
      <c r="Q19" s="29"/>
      <c r="R19" s="29"/>
      <c r="S19" s="29"/>
      <c r="T19" s="29"/>
      <c r="U19" s="29"/>
      <c r="V19" s="29"/>
      <c r="W19" s="29"/>
      <c r="X19" s="29"/>
      <c r="Y19" s="29"/>
      <c r="Z19" s="29"/>
      <c r="AA19" s="29"/>
      <c r="AB19" s="29"/>
      <c r="AC19" s="29"/>
      <c r="AD19" s="29"/>
      <c r="AE19" s="29"/>
      <c r="AF19" s="29"/>
      <c r="AG19" s="29"/>
      <c r="AH19" s="29"/>
    </row>
    <row r="20" ht="15.75" customHeight="1">
      <c r="A20" s="27" t="s">
        <v>5978</v>
      </c>
      <c r="B20" s="36" t="s">
        <v>5979</v>
      </c>
      <c r="C20" s="27" t="s">
        <v>5947</v>
      </c>
      <c r="D20" s="11" t="s">
        <v>5960</v>
      </c>
      <c r="E20" s="27" t="s">
        <v>5980</v>
      </c>
      <c r="F20" s="27" t="s">
        <v>5980</v>
      </c>
      <c r="G20" s="27">
        <v>5.0</v>
      </c>
      <c r="H20" s="27">
        <v>5.0</v>
      </c>
      <c r="I20" s="27">
        <v>5.0</v>
      </c>
      <c r="J20" s="27" t="s">
        <v>5948</v>
      </c>
      <c r="K20" s="27" t="s">
        <v>5949</v>
      </c>
      <c r="L20" s="27" t="s">
        <v>5949</v>
      </c>
      <c r="M20" s="11" t="s">
        <v>5981</v>
      </c>
      <c r="N20" s="39" t="s">
        <v>5982</v>
      </c>
      <c r="O20" s="27" t="s">
        <v>5983</v>
      </c>
      <c r="P20" s="27" t="s">
        <v>5984</v>
      </c>
      <c r="Q20" s="29"/>
      <c r="R20" s="29"/>
      <c r="S20" s="29"/>
      <c r="T20" s="29"/>
      <c r="U20" s="29"/>
      <c r="V20" s="29"/>
      <c r="W20" s="29"/>
      <c r="X20" s="29"/>
      <c r="Y20" s="29"/>
      <c r="Z20" s="29"/>
      <c r="AA20" s="29"/>
      <c r="AB20" s="29"/>
      <c r="AC20" s="29"/>
      <c r="AD20" s="29"/>
      <c r="AE20" s="29"/>
      <c r="AF20" s="29"/>
      <c r="AG20" s="29"/>
      <c r="AH20" s="29"/>
    </row>
    <row r="21" ht="15.75" customHeight="1">
      <c r="A21" s="27" t="s">
        <v>5985</v>
      </c>
      <c r="B21" s="36" t="s">
        <v>5979</v>
      </c>
      <c r="C21" s="27" t="s">
        <v>5947</v>
      </c>
      <c r="D21" s="11" t="s">
        <v>5968</v>
      </c>
      <c r="E21" s="27" t="s">
        <v>5980</v>
      </c>
      <c r="F21" s="27" t="s">
        <v>5980</v>
      </c>
      <c r="G21" s="27">
        <v>5.0</v>
      </c>
      <c r="H21" s="27">
        <v>5.0</v>
      </c>
      <c r="I21" s="27">
        <v>5.0</v>
      </c>
      <c r="J21" s="27" t="s">
        <v>5948</v>
      </c>
      <c r="K21" s="27" t="s">
        <v>5949</v>
      </c>
      <c r="L21" s="27" t="s">
        <v>5949</v>
      </c>
      <c r="M21" s="7" t="s">
        <v>5986</v>
      </c>
      <c r="N21" s="37" t="s">
        <v>5987</v>
      </c>
      <c r="O21" s="27" t="s">
        <v>5988</v>
      </c>
      <c r="P21" s="27" t="s">
        <v>5984</v>
      </c>
      <c r="Q21" s="29"/>
      <c r="R21" s="29"/>
      <c r="S21" s="29"/>
      <c r="T21" s="29"/>
      <c r="U21" s="29"/>
      <c r="V21" s="29"/>
      <c r="W21" s="29"/>
      <c r="X21" s="29"/>
      <c r="Y21" s="29"/>
      <c r="Z21" s="29"/>
      <c r="AA21" s="29"/>
      <c r="AB21" s="29"/>
      <c r="AC21" s="29"/>
      <c r="AD21" s="29"/>
      <c r="AE21" s="29"/>
      <c r="AF21" s="29"/>
      <c r="AG21" s="29"/>
      <c r="AH21" s="29"/>
    </row>
    <row r="22" ht="15.75" customHeight="1">
      <c r="A22" s="27" t="s">
        <v>5989</v>
      </c>
      <c r="B22" s="36" t="s">
        <v>5990</v>
      </c>
      <c r="C22" s="27" t="s">
        <v>5947</v>
      </c>
      <c r="D22" s="11" t="s">
        <v>5968</v>
      </c>
      <c r="E22" s="27" t="s">
        <v>5991</v>
      </c>
      <c r="F22" s="27" t="s">
        <v>5992</v>
      </c>
      <c r="G22" s="27">
        <v>5.0</v>
      </c>
      <c r="H22" s="27">
        <v>5.0</v>
      </c>
      <c r="I22" s="27">
        <v>5.0</v>
      </c>
      <c r="J22" s="27" t="s">
        <v>5948</v>
      </c>
      <c r="K22" s="27" t="s">
        <v>5949</v>
      </c>
      <c r="L22" s="27" t="s">
        <v>5949</v>
      </c>
      <c r="M22" s="7" t="s">
        <v>5993</v>
      </c>
      <c r="N22" s="37" t="s">
        <v>5994</v>
      </c>
      <c r="O22" s="27" t="s">
        <v>5995</v>
      </c>
      <c r="P22" s="27" t="s">
        <v>5984</v>
      </c>
      <c r="Q22" s="29"/>
      <c r="R22" s="29"/>
      <c r="S22" s="29"/>
      <c r="T22" s="29"/>
      <c r="U22" s="29"/>
      <c r="V22" s="29"/>
      <c r="W22" s="29"/>
      <c r="X22" s="29"/>
      <c r="Y22" s="29"/>
      <c r="Z22" s="29"/>
      <c r="AA22" s="29"/>
      <c r="AB22" s="29"/>
      <c r="AC22" s="29"/>
      <c r="AD22" s="29"/>
      <c r="AE22" s="29"/>
      <c r="AF22" s="29"/>
      <c r="AG22" s="29"/>
      <c r="AH22" s="29"/>
    </row>
    <row r="23" ht="15.75" customHeight="1">
      <c r="A23" s="27" t="s">
        <v>1800</v>
      </c>
      <c r="B23" s="27" t="s">
        <v>5996</v>
      </c>
      <c r="C23" s="27" t="s">
        <v>5947</v>
      </c>
      <c r="D23" s="11" t="s">
        <v>5968</v>
      </c>
      <c r="E23" s="27" t="s">
        <v>5997</v>
      </c>
      <c r="F23" s="27" t="s">
        <v>5998</v>
      </c>
      <c r="G23" s="27">
        <v>5.0</v>
      </c>
      <c r="H23" s="27">
        <v>5.0</v>
      </c>
      <c r="I23" s="27">
        <v>5.0</v>
      </c>
      <c r="J23" s="27" t="s">
        <v>5948</v>
      </c>
      <c r="K23" s="27" t="s">
        <v>5949</v>
      </c>
      <c r="L23" s="27" t="s">
        <v>5949</v>
      </c>
      <c r="M23" s="7" t="s">
        <v>5999</v>
      </c>
      <c r="N23" s="37" t="s">
        <v>6000</v>
      </c>
      <c r="O23" s="27" t="s">
        <v>6001</v>
      </c>
      <c r="P23" s="27" t="s">
        <v>5984</v>
      </c>
      <c r="Q23" s="29"/>
      <c r="R23" s="29"/>
      <c r="S23" s="29"/>
      <c r="T23" s="29"/>
      <c r="U23" s="29"/>
      <c r="V23" s="29"/>
      <c r="W23" s="29"/>
      <c r="X23" s="29"/>
      <c r="Y23" s="29"/>
      <c r="Z23" s="29"/>
      <c r="AA23" s="29"/>
      <c r="AB23" s="29"/>
      <c r="AC23" s="29"/>
      <c r="AD23" s="29"/>
      <c r="AE23" s="29"/>
      <c r="AF23" s="29"/>
      <c r="AG23" s="29"/>
      <c r="AH23" s="29"/>
    </row>
    <row r="24" ht="15.75" customHeight="1">
      <c r="A24" s="27" t="s">
        <v>6002</v>
      </c>
      <c r="B24" s="27" t="s">
        <v>5996</v>
      </c>
      <c r="C24" s="27" t="s">
        <v>5947</v>
      </c>
      <c r="D24" s="11" t="s">
        <v>5968</v>
      </c>
      <c r="E24" s="27" t="s">
        <v>6003</v>
      </c>
      <c r="F24" s="27" t="s">
        <v>6004</v>
      </c>
      <c r="G24" s="27">
        <v>5.0</v>
      </c>
      <c r="H24" s="27">
        <v>5.0</v>
      </c>
      <c r="I24" s="27">
        <v>5.0</v>
      </c>
      <c r="J24" s="27" t="s">
        <v>5948</v>
      </c>
      <c r="K24" s="27" t="s">
        <v>5949</v>
      </c>
      <c r="L24" s="27" t="s">
        <v>5949</v>
      </c>
      <c r="M24" s="7" t="s">
        <v>6005</v>
      </c>
      <c r="N24" s="37" t="s">
        <v>6006</v>
      </c>
      <c r="O24" s="27" t="s">
        <v>6007</v>
      </c>
      <c r="P24" s="27" t="s">
        <v>5984</v>
      </c>
      <c r="Q24" s="29"/>
      <c r="R24" s="29"/>
      <c r="S24" s="29"/>
      <c r="T24" s="29"/>
      <c r="U24" s="29"/>
      <c r="V24" s="29"/>
      <c r="W24" s="29"/>
      <c r="X24" s="29"/>
      <c r="Y24" s="29"/>
      <c r="Z24" s="29"/>
      <c r="AA24" s="29"/>
      <c r="AB24" s="29"/>
      <c r="AC24" s="29"/>
      <c r="AD24" s="29"/>
      <c r="AE24" s="29"/>
      <c r="AF24" s="29"/>
      <c r="AG24" s="29"/>
      <c r="AH24" s="29"/>
    </row>
    <row r="25" ht="15.75" customHeight="1">
      <c r="A25" s="27" t="s">
        <v>5945</v>
      </c>
      <c r="B25" s="31" t="s">
        <v>6008</v>
      </c>
      <c r="C25" s="27" t="s">
        <v>5947</v>
      </c>
      <c r="D25" s="27" t="s">
        <v>5945</v>
      </c>
      <c r="E25" s="27" t="s">
        <v>5945</v>
      </c>
      <c r="F25" s="27" t="s">
        <v>5945</v>
      </c>
      <c r="G25" s="27">
        <v>5.0</v>
      </c>
      <c r="H25" s="27">
        <v>5.0</v>
      </c>
      <c r="I25" s="27">
        <v>5.0</v>
      </c>
      <c r="J25" s="27" t="s">
        <v>5948</v>
      </c>
      <c r="K25" s="27" t="s">
        <v>5949</v>
      </c>
      <c r="L25" s="27" t="s">
        <v>5949</v>
      </c>
      <c r="M25" s="7" t="s">
        <v>5945</v>
      </c>
      <c r="N25" s="27" t="s">
        <v>5947</v>
      </c>
      <c r="O25" s="27" t="s">
        <v>5947</v>
      </c>
      <c r="P25" s="27" t="s">
        <v>5984</v>
      </c>
      <c r="Q25" s="29"/>
      <c r="R25" s="29"/>
      <c r="S25" s="29"/>
      <c r="T25" s="29"/>
      <c r="U25" s="29"/>
      <c r="V25" s="29"/>
      <c r="W25" s="29"/>
      <c r="X25" s="29"/>
      <c r="Y25" s="29"/>
      <c r="Z25" s="29"/>
      <c r="AA25" s="29"/>
      <c r="AB25" s="29"/>
      <c r="AC25" s="29"/>
      <c r="AD25" s="29"/>
      <c r="AE25" s="29"/>
      <c r="AF25" s="29"/>
      <c r="AG25" s="29"/>
      <c r="AH25" s="29"/>
    </row>
    <row r="26" ht="15.75" customHeight="1">
      <c r="A26" s="40" t="s">
        <v>6009</v>
      </c>
      <c r="B26" s="36" t="s">
        <v>5946</v>
      </c>
      <c r="C26" s="27" t="s">
        <v>5947</v>
      </c>
      <c r="D26" s="11" t="s">
        <v>5960</v>
      </c>
      <c r="E26" s="27" t="s">
        <v>6010</v>
      </c>
      <c r="F26" s="27" t="s">
        <v>6011</v>
      </c>
      <c r="G26" s="27">
        <v>5.0</v>
      </c>
      <c r="H26" s="27">
        <v>5.0</v>
      </c>
      <c r="I26" s="27">
        <v>5.0</v>
      </c>
      <c r="J26" s="27" t="s">
        <v>5948</v>
      </c>
      <c r="K26" s="27" t="s">
        <v>5949</v>
      </c>
      <c r="L26" s="27" t="s">
        <v>5949</v>
      </c>
      <c r="M26" s="7" t="s">
        <v>6012</v>
      </c>
      <c r="N26" s="37" t="s">
        <v>6013</v>
      </c>
      <c r="O26" s="27" t="s">
        <v>6014</v>
      </c>
      <c r="P26" s="27" t="s">
        <v>5984</v>
      </c>
      <c r="Q26" s="29"/>
      <c r="R26" s="29"/>
      <c r="S26" s="29"/>
      <c r="T26" s="29"/>
      <c r="U26" s="29"/>
      <c r="V26" s="29"/>
      <c r="W26" s="29"/>
      <c r="X26" s="29"/>
      <c r="Y26" s="29"/>
      <c r="Z26" s="29"/>
      <c r="AA26" s="29"/>
      <c r="AB26" s="29"/>
      <c r="AC26" s="29"/>
      <c r="AD26" s="29"/>
      <c r="AE26" s="29"/>
      <c r="AF26" s="29"/>
      <c r="AG26" s="29"/>
      <c r="AH26" s="29"/>
    </row>
    <row r="27" ht="15.75" customHeight="1">
      <c r="A27" s="40" t="s">
        <v>6015</v>
      </c>
      <c r="B27" s="41" t="s">
        <v>6016</v>
      </c>
      <c r="C27" s="27" t="s">
        <v>5947</v>
      </c>
      <c r="D27" s="11" t="s">
        <v>5968</v>
      </c>
      <c r="E27" s="27" t="s">
        <v>6010</v>
      </c>
      <c r="F27" s="11" t="s">
        <v>6017</v>
      </c>
      <c r="G27" s="27">
        <v>5.0</v>
      </c>
      <c r="H27" s="27">
        <v>5.0</v>
      </c>
      <c r="I27" s="27">
        <v>5.0</v>
      </c>
      <c r="J27" s="27" t="s">
        <v>5948</v>
      </c>
      <c r="K27" s="27" t="s">
        <v>5949</v>
      </c>
      <c r="L27" s="27" t="s">
        <v>5949</v>
      </c>
      <c r="M27" s="11" t="s">
        <v>6018</v>
      </c>
      <c r="N27" s="39" t="s">
        <v>6019</v>
      </c>
      <c r="O27" s="11" t="s">
        <v>6020</v>
      </c>
      <c r="P27" s="27" t="s">
        <v>5984</v>
      </c>
      <c r="Q27" s="29"/>
      <c r="R27" s="29"/>
      <c r="S27" s="29"/>
      <c r="T27" s="29"/>
      <c r="U27" s="29"/>
      <c r="V27" s="29"/>
      <c r="W27" s="29"/>
      <c r="X27" s="29"/>
      <c r="Y27" s="29"/>
      <c r="Z27" s="29"/>
      <c r="AA27" s="29"/>
      <c r="AB27" s="29"/>
      <c r="AC27" s="29"/>
      <c r="AD27" s="29"/>
      <c r="AE27" s="29"/>
      <c r="AF27" s="29"/>
      <c r="AG27" s="29"/>
      <c r="AH27" s="29"/>
    </row>
    <row r="28" ht="15.75" customHeight="1">
      <c r="A28" s="40" t="s">
        <v>6021</v>
      </c>
      <c r="B28" s="27" t="s">
        <v>5996</v>
      </c>
      <c r="C28" s="27" t="s">
        <v>5947</v>
      </c>
      <c r="D28" s="11" t="s">
        <v>5968</v>
      </c>
      <c r="E28" s="27" t="s">
        <v>5996</v>
      </c>
      <c r="F28" s="11" t="s">
        <v>6022</v>
      </c>
      <c r="G28" s="27">
        <v>5.0</v>
      </c>
      <c r="H28" s="27">
        <v>5.0</v>
      </c>
      <c r="I28" s="27">
        <v>5.0</v>
      </c>
      <c r="J28" s="27" t="s">
        <v>5948</v>
      </c>
      <c r="K28" s="27" t="s">
        <v>5949</v>
      </c>
      <c r="L28" s="27" t="s">
        <v>5949</v>
      </c>
      <c r="M28" s="11" t="s">
        <v>6023</v>
      </c>
      <c r="N28" s="39" t="s">
        <v>6024</v>
      </c>
      <c r="O28" s="11" t="s">
        <v>6025</v>
      </c>
      <c r="P28" s="27" t="s">
        <v>5984</v>
      </c>
      <c r="Q28" s="29"/>
      <c r="R28" s="29"/>
      <c r="S28" s="29"/>
      <c r="T28" s="29"/>
      <c r="U28" s="29"/>
      <c r="V28" s="29"/>
      <c r="W28" s="29"/>
      <c r="X28" s="29"/>
      <c r="Y28" s="29"/>
      <c r="Z28" s="29"/>
      <c r="AA28" s="29"/>
      <c r="AB28" s="29"/>
      <c r="AC28" s="29"/>
      <c r="AD28" s="29"/>
      <c r="AE28" s="29"/>
      <c r="AF28" s="29"/>
      <c r="AG28" s="29"/>
      <c r="AH28" s="29"/>
    </row>
    <row r="29" ht="15.75" customHeight="1">
      <c r="A29" s="11" t="s">
        <v>6026</v>
      </c>
      <c r="B29" s="36" t="s">
        <v>6027</v>
      </c>
      <c r="C29" s="27" t="s">
        <v>5947</v>
      </c>
      <c r="D29" s="11" t="s">
        <v>5968</v>
      </c>
      <c r="E29" s="11" t="s">
        <v>6028</v>
      </c>
      <c r="F29" s="11" t="s">
        <v>6029</v>
      </c>
      <c r="G29" s="27">
        <v>5.0</v>
      </c>
      <c r="H29" s="27">
        <v>5.0</v>
      </c>
      <c r="I29" s="27">
        <v>5.0</v>
      </c>
      <c r="J29" s="27" t="s">
        <v>5948</v>
      </c>
      <c r="K29" s="27" t="s">
        <v>5949</v>
      </c>
      <c r="L29" s="27" t="s">
        <v>5949</v>
      </c>
      <c r="M29" s="11" t="s">
        <v>6030</v>
      </c>
      <c r="N29" s="39" t="s">
        <v>6031</v>
      </c>
      <c r="O29" s="11" t="s">
        <v>6032</v>
      </c>
      <c r="P29" s="27" t="s">
        <v>5984</v>
      </c>
      <c r="Q29" s="29"/>
      <c r="R29" s="29"/>
      <c r="S29" s="29"/>
      <c r="T29" s="29"/>
      <c r="U29" s="29"/>
      <c r="V29" s="29"/>
      <c r="W29" s="29"/>
      <c r="X29" s="29"/>
      <c r="Y29" s="29"/>
      <c r="Z29" s="29"/>
      <c r="AA29" s="29"/>
      <c r="AB29" s="29"/>
      <c r="AC29" s="29"/>
      <c r="AD29" s="29"/>
      <c r="AE29" s="29"/>
      <c r="AF29" s="29"/>
      <c r="AG29" s="29"/>
      <c r="AH29" s="29"/>
    </row>
    <row r="30" ht="15.75" customHeight="1">
      <c r="A30" s="27" t="s">
        <v>6033</v>
      </c>
      <c r="B30" s="27" t="s">
        <v>5996</v>
      </c>
      <c r="C30" s="27" t="s">
        <v>5996</v>
      </c>
      <c r="D30" s="27" t="s">
        <v>5996</v>
      </c>
      <c r="E30" s="27" t="s">
        <v>5996</v>
      </c>
      <c r="F30" s="27" t="s">
        <v>5996</v>
      </c>
      <c r="G30" s="27">
        <v>5.0</v>
      </c>
      <c r="H30" s="27">
        <v>5.0</v>
      </c>
      <c r="I30" s="27">
        <v>5.0</v>
      </c>
      <c r="J30" s="27" t="s">
        <v>5948</v>
      </c>
      <c r="K30" s="27" t="s">
        <v>5949</v>
      </c>
      <c r="L30" s="27" t="s">
        <v>5949</v>
      </c>
      <c r="M30" s="7" t="s">
        <v>5996</v>
      </c>
      <c r="N30" s="37" t="s">
        <v>6034</v>
      </c>
      <c r="O30" s="27" t="s">
        <v>6035</v>
      </c>
      <c r="P30" s="27" t="s">
        <v>5984</v>
      </c>
      <c r="Q30" s="29"/>
      <c r="R30" s="29"/>
      <c r="S30" s="29"/>
      <c r="T30" s="29"/>
      <c r="U30" s="29"/>
      <c r="V30" s="29"/>
      <c r="W30" s="29"/>
      <c r="X30" s="29"/>
      <c r="Y30" s="29"/>
      <c r="Z30" s="29"/>
      <c r="AA30" s="29"/>
      <c r="AB30" s="29"/>
      <c r="AC30" s="29"/>
      <c r="AD30" s="29"/>
      <c r="AE30" s="29"/>
      <c r="AF30" s="29"/>
      <c r="AG30" s="29"/>
      <c r="AH30" s="29"/>
    </row>
    <row r="31" ht="15.75" customHeight="1">
      <c r="A31" s="40" t="s">
        <v>6036</v>
      </c>
      <c r="B31" s="42" t="s">
        <v>6037</v>
      </c>
      <c r="C31" s="27" t="s">
        <v>5947</v>
      </c>
      <c r="D31" s="11" t="s">
        <v>5968</v>
      </c>
      <c r="E31" s="27" t="s">
        <v>5779</v>
      </c>
      <c r="F31" s="27" t="s">
        <v>6038</v>
      </c>
      <c r="G31" s="27">
        <v>5.0</v>
      </c>
      <c r="H31" s="27">
        <v>5.0</v>
      </c>
      <c r="I31" s="27">
        <v>5.0</v>
      </c>
      <c r="J31" s="27" t="s">
        <v>5948</v>
      </c>
      <c r="K31" s="27" t="s">
        <v>5949</v>
      </c>
      <c r="L31" s="35">
        <v>38899.0</v>
      </c>
      <c r="M31" s="7" t="s">
        <v>6039</v>
      </c>
      <c r="N31" s="37" t="s">
        <v>6040</v>
      </c>
      <c r="O31" s="27" t="s">
        <v>6041</v>
      </c>
      <c r="P31" s="43" t="s">
        <v>6042</v>
      </c>
      <c r="Q31" s="29"/>
      <c r="R31" s="29"/>
      <c r="S31" s="29"/>
      <c r="T31" s="29"/>
      <c r="U31" s="29"/>
      <c r="V31" s="29"/>
      <c r="W31" s="29"/>
      <c r="X31" s="29"/>
      <c r="Y31" s="29"/>
      <c r="Z31" s="29"/>
      <c r="AA31" s="29"/>
      <c r="AB31" s="29"/>
      <c r="AC31" s="29"/>
      <c r="AD31" s="29"/>
      <c r="AE31" s="29"/>
      <c r="AF31" s="29"/>
      <c r="AG31" s="29"/>
      <c r="AH31" s="29"/>
    </row>
    <row r="32" ht="15.75" customHeight="1">
      <c r="A32" s="40" t="s">
        <v>6036</v>
      </c>
      <c r="B32" s="36" t="s">
        <v>5959</v>
      </c>
      <c r="C32" s="27" t="s">
        <v>5947</v>
      </c>
      <c r="D32" s="11" t="s">
        <v>5968</v>
      </c>
      <c r="E32" s="27" t="s">
        <v>5779</v>
      </c>
      <c r="F32" s="27" t="s">
        <v>6038</v>
      </c>
      <c r="G32" s="27">
        <v>5.0</v>
      </c>
      <c r="H32" s="27">
        <v>5.0</v>
      </c>
      <c r="I32" s="27">
        <v>5.0</v>
      </c>
      <c r="J32" s="27" t="s">
        <v>6043</v>
      </c>
      <c r="K32" s="35">
        <v>38899.0</v>
      </c>
      <c r="L32" s="27" t="s">
        <v>5949</v>
      </c>
      <c r="M32" s="7" t="s">
        <v>6039</v>
      </c>
      <c r="N32" s="37" t="s">
        <v>6040</v>
      </c>
      <c r="O32" s="27" t="s">
        <v>6041</v>
      </c>
      <c r="P32" s="27" t="s">
        <v>6044</v>
      </c>
      <c r="Q32" s="29"/>
      <c r="R32" s="29"/>
      <c r="S32" s="29"/>
      <c r="T32" s="29"/>
      <c r="U32" s="29"/>
      <c r="V32" s="29"/>
      <c r="W32" s="29"/>
      <c r="X32" s="29"/>
      <c r="Y32" s="29"/>
      <c r="Z32" s="29"/>
      <c r="AA32" s="29"/>
      <c r="AB32" s="29"/>
      <c r="AC32" s="29"/>
      <c r="AD32" s="29"/>
      <c r="AE32" s="29"/>
      <c r="AF32" s="29"/>
      <c r="AG32" s="29"/>
      <c r="AH32" s="29"/>
    </row>
    <row r="33" ht="15.75" customHeight="1">
      <c r="A33" s="40" t="s">
        <v>6036</v>
      </c>
      <c r="B33" s="42" t="s">
        <v>6045</v>
      </c>
      <c r="C33" s="27" t="s">
        <v>5947</v>
      </c>
      <c r="D33" s="11" t="s">
        <v>5968</v>
      </c>
      <c r="E33" s="27" t="s">
        <v>5779</v>
      </c>
      <c r="F33" s="27" t="s">
        <v>6038</v>
      </c>
      <c r="G33" s="27">
        <v>10.0</v>
      </c>
      <c r="H33" s="27" t="s">
        <v>5947</v>
      </c>
      <c r="I33" s="27">
        <v>10.0</v>
      </c>
      <c r="J33" s="27" t="s">
        <v>6046</v>
      </c>
      <c r="K33" s="35">
        <v>38899.0</v>
      </c>
      <c r="L33" s="35">
        <v>41821.0</v>
      </c>
      <c r="M33" s="7" t="s">
        <v>6039</v>
      </c>
      <c r="N33" s="37" t="s">
        <v>6040</v>
      </c>
      <c r="O33" s="27" t="s">
        <v>6041</v>
      </c>
      <c r="P33" s="27" t="s">
        <v>6047</v>
      </c>
      <c r="Q33" s="29"/>
      <c r="R33" s="29"/>
      <c r="S33" s="29"/>
      <c r="T33" s="29"/>
      <c r="U33" s="29"/>
      <c r="V33" s="29"/>
      <c r="W33" s="29"/>
      <c r="X33" s="29"/>
      <c r="Y33" s="29"/>
      <c r="Z33" s="29"/>
      <c r="AA33" s="29"/>
      <c r="AB33" s="29"/>
      <c r="AC33" s="29"/>
      <c r="AD33" s="29"/>
      <c r="AE33" s="29"/>
      <c r="AF33" s="29"/>
      <c r="AG33" s="29"/>
      <c r="AH33" s="29"/>
    </row>
    <row r="34" ht="15.75" customHeight="1">
      <c r="A34" s="40" t="s">
        <v>6036</v>
      </c>
      <c r="B34" s="42" t="s">
        <v>6045</v>
      </c>
      <c r="C34" s="27" t="s">
        <v>5947</v>
      </c>
      <c r="D34" s="11" t="s">
        <v>5968</v>
      </c>
      <c r="E34" s="27" t="s">
        <v>5779</v>
      </c>
      <c r="F34" s="27" t="s">
        <v>6038</v>
      </c>
      <c r="G34" s="27">
        <v>7.0</v>
      </c>
      <c r="H34" s="27" t="s">
        <v>5947</v>
      </c>
      <c r="I34" s="27">
        <v>7.0</v>
      </c>
      <c r="J34" s="27" t="s">
        <v>6046</v>
      </c>
      <c r="K34" s="35">
        <v>41821.0</v>
      </c>
      <c r="L34" s="35">
        <v>42186.0</v>
      </c>
      <c r="M34" s="7" t="s">
        <v>6039</v>
      </c>
      <c r="N34" s="37" t="s">
        <v>6040</v>
      </c>
      <c r="O34" s="27" t="s">
        <v>6041</v>
      </c>
      <c r="P34" s="27" t="s">
        <v>6048</v>
      </c>
      <c r="Q34" s="29"/>
      <c r="R34" s="29"/>
      <c r="S34" s="29"/>
      <c r="T34" s="29"/>
      <c r="U34" s="29"/>
      <c r="V34" s="29"/>
      <c r="W34" s="29"/>
      <c r="X34" s="29"/>
      <c r="Y34" s="29"/>
      <c r="Z34" s="29"/>
      <c r="AA34" s="29"/>
      <c r="AB34" s="29"/>
      <c r="AC34" s="29"/>
      <c r="AD34" s="29"/>
      <c r="AE34" s="29"/>
      <c r="AF34" s="29"/>
      <c r="AG34" s="29"/>
      <c r="AH34" s="29"/>
    </row>
    <row r="35" ht="15.75" customHeight="1">
      <c r="A35" s="40" t="s">
        <v>6036</v>
      </c>
      <c r="B35" s="42" t="s">
        <v>6045</v>
      </c>
      <c r="C35" s="27" t="s">
        <v>5947</v>
      </c>
      <c r="D35" s="11" t="s">
        <v>5968</v>
      </c>
      <c r="E35" s="27" t="s">
        <v>5779</v>
      </c>
      <c r="F35" s="27" t="s">
        <v>6038</v>
      </c>
      <c r="G35" s="27">
        <v>10.0</v>
      </c>
      <c r="H35" s="27" t="s">
        <v>5947</v>
      </c>
      <c r="I35" s="27">
        <v>10.0</v>
      </c>
      <c r="J35" s="27" t="s">
        <v>6046</v>
      </c>
      <c r="K35" s="35">
        <v>42186.0</v>
      </c>
      <c r="L35" s="27" t="s">
        <v>5949</v>
      </c>
      <c r="M35" s="7" t="s">
        <v>6039</v>
      </c>
      <c r="N35" s="37" t="s">
        <v>6040</v>
      </c>
      <c r="O35" s="27" t="s">
        <v>6041</v>
      </c>
      <c r="P35" s="27" t="s">
        <v>6047</v>
      </c>
      <c r="Q35" s="29"/>
      <c r="R35" s="29"/>
      <c r="S35" s="29"/>
      <c r="T35" s="29"/>
      <c r="U35" s="29"/>
      <c r="V35" s="29"/>
      <c r="W35" s="29"/>
      <c r="X35" s="29"/>
      <c r="Y35" s="29"/>
      <c r="Z35" s="29"/>
      <c r="AA35" s="29"/>
      <c r="AB35" s="29"/>
      <c r="AC35" s="29"/>
      <c r="AD35" s="29"/>
      <c r="AE35" s="29"/>
      <c r="AF35" s="29"/>
      <c r="AG35" s="29"/>
      <c r="AH35" s="29"/>
    </row>
    <row r="36" ht="15.75" customHeight="1">
      <c r="A36" s="29"/>
      <c r="B36" s="29"/>
      <c r="C36" s="29"/>
      <c r="D36" s="29"/>
      <c r="E36" s="29"/>
      <c r="F36" s="29"/>
      <c r="G36" s="29"/>
      <c r="H36" s="29"/>
      <c r="I36" s="29"/>
      <c r="J36" s="29"/>
      <c r="K36" s="29"/>
      <c r="L36" s="29"/>
      <c r="M36" s="44"/>
      <c r="N36" s="29"/>
      <c r="O36" s="29"/>
      <c r="P36" s="29"/>
      <c r="Q36" s="29"/>
      <c r="R36" s="29"/>
      <c r="S36" s="29"/>
      <c r="T36" s="29"/>
      <c r="U36" s="29"/>
      <c r="V36" s="29"/>
      <c r="W36" s="29"/>
      <c r="X36" s="29"/>
      <c r="Y36" s="29"/>
      <c r="Z36" s="29"/>
      <c r="AA36" s="29"/>
      <c r="AB36" s="29"/>
      <c r="AC36" s="29"/>
      <c r="AD36" s="29"/>
      <c r="AE36" s="29"/>
      <c r="AF36" s="29"/>
      <c r="AG36" s="29"/>
      <c r="AH36" s="29"/>
    </row>
    <row r="37" ht="15.75" customHeight="1">
      <c r="A37" s="29"/>
      <c r="B37" s="29"/>
      <c r="C37" s="29"/>
      <c r="D37" s="29"/>
      <c r="E37" s="29"/>
      <c r="F37" s="29"/>
      <c r="G37" s="29"/>
      <c r="H37" s="29"/>
      <c r="I37" s="29"/>
      <c r="J37" s="29"/>
      <c r="K37" s="29"/>
      <c r="L37" s="29"/>
      <c r="M37" s="44"/>
      <c r="N37" s="29"/>
      <c r="O37" s="29"/>
      <c r="P37" s="29"/>
      <c r="Q37" s="29"/>
      <c r="R37" s="29"/>
      <c r="S37" s="29"/>
      <c r="T37" s="29"/>
      <c r="U37" s="29"/>
      <c r="V37" s="29"/>
      <c r="W37" s="29"/>
      <c r="X37" s="29"/>
      <c r="Y37" s="29"/>
      <c r="Z37" s="29"/>
      <c r="AA37" s="29"/>
      <c r="AB37" s="29"/>
      <c r="AC37" s="29"/>
      <c r="AD37" s="29"/>
      <c r="AE37" s="29"/>
      <c r="AF37" s="29"/>
      <c r="AG37" s="29"/>
      <c r="AH37" s="29"/>
    </row>
    <row r="38" ht="15.75" customHeight="1">
      <c r="A38" s="29"/>
      <c r="B38" s="29"/>
      <c r="C38" s="29"/>
      <c r="D38" s="29"/>
      <c r="E38" s="29"/>
      <c r="F38" s="29"/>
      <c r="G38" s="29"/>
      <c r="H38" s="29"/>
      <c r="I38" s="29"/>
      <c r="J38" s="29"/>
      <c r="K38" s="29"/>
      <c r="L38" s="29"/>
      <c r="M38" s="44"/>
      <c r="N38" s="29"/>
      <c r="O38" s="29"/>
      <c r="P38" s="29"/>
      <c r="Q38" s="29"/>
      <c r="R38" s="29"/>
      <c r="S38" s="29"/>
      <c r="T38" s="29"/>
      <c r="U38" s="29"/>
      <c r="V38" s="29"/>
      <c r="W38" s="29"/>
      <c r="X38" s="29"/>
      <c r="Y38" s="29"/>
      <c r="Z38" s="29"/>
      <c r="AA38" s="29"/>
      <c r="AB38" s="29"/>
      <c r="AC38" s="29"/>
      <c r="AD38" s="29"/>
      <c r="AE38" s="29"/>
      <c r="AF38" s="29"/>
      <c r="AG38" s="29"/>
      <c r="AH38" s="29"/>
    </row>
    <row r="39" ht="15.75" customHeight="1">
      <c r="B39" s="11" t="s">
        <v>6049</v>
      </c>
      <c r="M39" s="45"/>
    </row>
    <row r="40" ht="15.75" customHeight="1">
      <c r="M40" s="45"/>
    </row>
    <row r="41" ht="15.75" customHeight="1">
      <c r="M41" s="45"/>
    </row>
    <row r="42" ht="15.75" customHeight="1">
      <c r="A42" s="27" t="s">
        <v>6050</v>
      </c>
      <c r="B42" s="46" t="s">
        <v>6051</v>
      </c>
      <c r="C42" s="27" t="s">
        <v>5947</v>
      </c>
      <c r="D42" s="27" t="s">
        <v>5945</v>
      </c>
      <c r="E42" s="27" t="s">
        <v>5945</v>
      </c>
      <c r="F42" s="27" t="s">
        <v>5945</v>
      </c>
      <c r="G42" s="27"/>
      <c r="H42" s="27"/>
      <c r="I42" s="27">
        <v>3.0</v>
      </c>
      <c r="J42" s="27" t="s">
        <v>6052</v>
      </c>
      <c r="K42" s="27" t="s">
        <v>5945</v>
      </c>
      <c r="L42" s="27" t="s">
        <v>5947</v>
      </c>
      <c r="M42" s="7" t="s">
        <v>5945</v>
      </c>
      <c r="N42" s="27" t="s">
        <v>5947</v>
      </c>
      <c r="O42" s="27" t="s">
        <v>5947</v>
      </c>
      <c r="P42" s="27" t="s">
        <v>6053</v>
      </c>
    </row>
    <row r="43" ht="15.75" customHeight="1">
      <c r="A43" s="27" t="s">
        <v>5958</v>
      </c>
      <c r="B43" s="46" t="s">
        <v>6051</v>
      </c>
      <c r="C43" s="27" t="s">
        <v>5996</v>
      </c>
      <c r="D43" s="11" t="s">
        <v>5960</v>
      </c>
      <c r="E43" s="27" t="s">
        <v>5961</v>
      </c>
      <c r="F43" s="27" t="s">
        <v>5961</v>
      </c>
      <c r="G43" s="27"/>
      <c r="H43" s="27"/>
      <c r="I43" s="27">
        <v>1.0</v>
      </c>
      <c r="J43" s="27" t="s">
        <v>6054</v>
      </c>
      <c r="K43" s="27" t="s">
        <v>5945</v>
      </c>
      <c r="L43" s="27" t="s">
        <v>5947</v>
      </c>
      <c r="M43" s="7" t="s">
        <v>5963</v>
      </c>
      <c r="N43" s="37" t="s">
        <v>5964</v>
      </c>
      <c r="O43" s="27" t="s">
        <v>5965</v>
      </c>
      <c r="P43" s="27" t="s">
        <v>5966</v>
      </c>
    </row>
    <row r="44" ht="15.75" customHeight="1">
      <c r="A44" s="27" t="s">
        <v>5967</v>
      </c>
      <c r="B44" s="46" t="s">
        <v>6051</v>
      </c>
      <c r="C44" s="27" t="s">
        <v>5996</v>
      </c>
      <c r="D44" s="11" t="s">
        <v>5968</v>
      </c>
      <c r="E44" s="27" t="s">
        <v>5961</v>
      </c>
      <c r="F44" s="27" t="s">
        <v>5969</v>
      </c>
      <c r="G44" s="27"/>
      <c r="H44" s="27"/>
      <c r="I44" s="27">
        <v>1.0</v>
      </c>
      <c r="J44" s="27" t="s">
        <v>6054</v>
      </c>
      <c r="K44" s="27" t="s">
        <v>5945</v>
      </c>
      <c r="L44" s="27" t="s">
        <v>5947</v>
      </c>
      <c r="M44" s="7" t="s">
        <v>5970</v>
      </c>
      <c r="N44" s="37" t="s">
        <v>5971</v>
      </c>
      <c r="O44" s="27" t="s">
        <v>5972</v>
      </c>
      <c r="P44" s="27" t="s">
        <v>5966</v>
      </c>
    </row>
    <row r="45" ht="15.75" customHeight="1">
      <c r="M45" s="45"/>
    </row>
    <row r="46" ht="15.75" customHeight="1">
      <c r="M46" s="45"/>
    </row>
    <row r="47" ht="15.75" customHeight="1">
      <c r="M47" s="45"/>
    </row>
    <row r="48" ht="15.75" customHeight="1">
      <c r="M48" s="45"/>
    </row>
    <row r="49" ht="15.75" customHeight="1">
      <c r="M49" s="45"/>
    </row>
    <row r="50" ht="15.75" customHeight="1">
      <c r="M50" s="45"/>
    </row>
    <row r="51" ht="15.75" customHeight="1">
      <c r="M51" s="45"/>
    </row>
    <row r="52" ht="15.75" customHeight="1">
      <c r="M52" s="45"/>
    </row>
    <row r="53" ht="15.75" customHeight="1">
      <c r="M53" s="45"/>
    </row>
    <row r="54" ht="15.75" customHeight="1">
      <c r="M54" s="45"/>
    </row>
    <row r="55" ht="15.75" customHeight="1">
      <c r="M55" s="45"/>
    </row>
    <row r="56" ht="15.75" customHeight="1">
      <c r="M56" s="45"/>
    </row>
    <row r="57" ht="15.75" customHeight="1">
      <c r="M57" s="45"/>
    </row>
    <row r="58" ht="15.75" customHeight="1">
      <c r="M58" s="45"/>
    </row>
    <row r="59" ht="15.75" customHeight="1">
      <c r="M59" s="45"/>
    </row>
    <row r="60" ht="15.75" customHeight="1">
      <c r="M60" s="45"/>
    </row>
    <row r="61" ht="15.75" customHeight="1">
      <c r="M61" s="45"/>
    </row>
    <row r="62" ht="15.75" customHeight="1">
      <c r="M62" s="45"/>
    </row>
    <row r="63" ht="15.75" customHeight="1">
      <c r="M63" s="45"/>
    </row>
    <row r="64" ht="15.75" customHeight="1">
      <c r="M64" s="45"/>
    </row>
    <row r="65" ht="15.75" customHeight="1">
      <c r="M65" s="45"/>
    </row>
    <row r="66" ht="15.75" customHeight="1">
      <c r="M66" s="45"/>
    </row>
    <row r="67" ht="15.75" customHeight="1">
      <c r="M67" s="45"/>
    </row>
    <row r="68" ht="15.75" customHeight="1">
      <c r="M68" s="45"/>
    </row>
    <row r="69" ht="15.75" customHeight="1">
      <c r="M69" s="45"/>
    </row>
    <row r="70" ht="15.75" customHeight="1">
      <c r="M70" s="45"/>
    </row>
    <row r="71" ht="15.75" customHeight="1">
      <c r="M71" s="45"/>
    </row>
    <row r="72" ht="15.75" customHeight="1">
      <c r="M72" s="45"/>
    </row>
    <row r="73" ht="15.75" customHeight="1">
      <c r="M73" s="45"/>
    </row>
    <row r="74" ht="15.75" customHeight="1">
      <c r="M74" s="45"/>
    </row>
    <row r="75" ht="15.75" customHeight="1">
      <c r="M75" s="45"/>
    </row>
    <row r="76" ht="15.75" customHeight="1">
      <c r="M76" s="45"/>
    </row>
    <row r="77" ht="15.75" customHeight="1">
      <c r="M77" s="45"/>
    </row>
    <row r="78" ht="15.75" customHeight="1">
      <c r="M78" s="45"/>
    </row>
    <row r="79" ht="15.75" customHeight="1">
      <c r="M79" s="45"/>
    </row>
    <row r="80" ht="15.75" customHeight="1">
      <c r="M80" s="45"/>
    </row>
    <row r="81" ht="15.75" customHeight="1">
      <c r="M81" s="45"/>
    </row>
    <row r="82" ht="15.75" customHeight="1">
      <c r="M82" s="45"/>
    </row>
    <row r="83" ht="15.75" customHeight="1">
      <c r="M83" s="45"/>
    </row>
    <row r="84" ht="15.75" customHeight="1">
      <c r="M84" s="45"/>
    </row>
    <row r="85" ht="15.75" customHeight="1">
      <c r="M85" s="45"/>
    </row>
    <row r="86" ht="15.75" customHeight="1">
      <c r="M86" s="45"/>
    </row>
    <row r="87" ht="15.75" customHeight="1">
      <c r="M87" s="45"/>
    </row>
    <row r="88" ht="15.75" customHeight="1">
      <c r="M88" s="45"/>
    </row>
    <row r="89" ht="15.75" customHeight="1">
      <c r="M89" s="45"/>
    </row>
    <row r="90" ht="15.75" customHeight="1">
      <c r="M90" s="45"/>
    </row>
    <row r="91" ht="15.75" customHeight="1">
      <c r="M91" s="45"/>
    </row>
    <row r="92" ht="15.75" customHeight="1">
      <c r="M92" s="45"/>
    </row>
    <row r="93" ht="15.75" customHeight="1">
      <c r="M93" s="45"/>
    </row>
    <row r="94" ht="15.75" customHeight="1">
      <c r="M94" s="45"/>
    </row>
    <row r="95" ht="15.75" customHeight="1">
      <c r="M95" s="45"/>
    </row>
    <row r="96" ht="15.75" customHeight="1">
      <c r="M96" s="45"/>
    </row>
    <row r="97" ht="15.75" customHeight="1">
      <c r="M97" s="45"/>
    </row>
    <row r="98" ht="15.75" customHeight="1">
      <c r="M98" s="45"/>
    </row>
    <row r="99" ht="15.75" customHeight="1">
      <c r="M99" s="45"/>
    </row>
    <row r="100" ht="15.75" customHeight="1">
      <c r="M100" s="45"/>
    </row>
    <row r="101" ht="15.75" customHeight="1">
      <c r="M101" s="45"/>
    </row>
    <row r="102" ht="15.75" customHeight="1">
      <c r="M102" s="45"/>
    </row>
    <row r="103" ht="15.75" customHeight="1">
      <c r="M103" s="45"/>
    </row>
    <row r="104" ht="15.75" customHeight="1">
      <c r="M104" s="45"/>
    </row>
    <row r="105" ht="15.75" customHeight="1">
      <c r="M105" s="45"/>
    </row>
    <row r="106" ht="15.75" customHeight="1">
      <c r="M106" s="45"/>
    </row>
    <row r="107" ht="15.75" customHeight="1">
      <c r="M107" s="45"/>
    </row>
    <row r="108" ht="15.75" customHeight="1">
      <c r="M108" s="45"/>
    </row>
    <row r="109" ht="15.75" customHeight="1">
      <c r="M109" s="45"/>
    </row>
    <row r="110" ht="15.75" customHeight="1">
      <c r="M110" s="45"/>
    </row>
    <row r="111" ht="15.75" customHeight="1">
      <c r="M111" s="45"/>
    </row>
    <row r="112" ht="15.75" customHeight="1">
      <c r="M112" s="45"/>
    </row>
    <row r="113" ht="15.75" customHeight="1">
      <c r="M113" s="45"/>
    </row>
    <row r="114" ht="15.75" customHeight="1">
      <c r="M114" s="45"/>
    </row>
    <row r="115" ht="15.75" customHeight="1">
      <c r="M115" s="45"/>
    </row>
    <row r="116" ht="15.75" customHeight="1">
      <c r="M116" s="45"/>
    </row>
    <row r="117" ht="15.75" customHeight="1">
      <c r="M117" s="45"/>
    </row>
    <row r="118" ht="15.75" customHeight="1">
      <c r="M118" s="45"/>
    </row>
    <row r="119" ht="15.75" customHeight="1">
      <c r="M119" s="45"/>
    </row>
    <row r="120" ht="15.75" customHeight="1">
      <c r="M120" s="45"/>
    </row>
    <row r="121" ht="15.75" customHeight="1">
      <c r="M121" s="45"/>
    </row>
    <row r="122" ht="15.75" customHeight="1">
      <c r="M122" s="45"/>
    </row>
    <row r="123" ht="15.75" customHeight="1">
      <c r="M123" s="45"/>
    </row>
    <row r="124" ht="15.75" customHeight="1">
      <c r="M124" s="45"/>
    </row>
    <row r="125" ht="15.75" customHeight="1">
      <c r="M125" s="45"/>
    </row>
    <row r="126" ht="15.75" customHeight="1">
      <c r="M126" s="45"/>
    </row>
    <row r="127" ht="15.75" customHeight="1">
      <c r="M127" s="45"/>
    </row>
    <row r="128" ht="15.75" customHeight="1">
      <c r="M128" s="45"/>
    </row>
    <row r="129" ht="15.75" customHeight="1">
      <c r="M129" s="45"/>
    </row>
    <row r="130" ht="15.75" customHeight="1">
      <c r="M130" s="45"/>
    </row>
    <row r="131" ht="15.75" customHeight="1">
      <c r="M131" s="45"/>
    </row>
    <row r="132" ht="15.75" customHeight="1">
      <c r="M132" s="45"/>
    </row>
    <row r="133" ht="15.75" customHeight="1">
      <c r="M133" s="45"/>
    </row>
    <row r="134" ht="15.75" customHeight="1">
      <c r="M134" s="45"/>
    </row>
    <row r="135" ht="15.75" customHeight="1">
      <c r="M135" s="45"/>
    </row>
    <row r="136" ht="15.75" customHeight="1">
      <c r="M136" s="45"/>
    </row>
    <row r="137" ht="15.75" customHeight="1">
      <c r="M137" s="45"/>
    </row>
    <row r="138" ht="15.75" customHeight="1">
      <c r="M138" s="45"/>
    </row>
    <row r="139" ht="15.75" customHeight="1">
      <c r="M139" s="45"/>
    </row>
    <row r="140" ht="15.75" customHeight="1">
      <c r="M140" s="45"/>
    </row>
    <row r="141" ht="15.75" customHeight="1">
      <c r="M141" s="45"/>
    </row>
    <row r="142" ht="15.75" customHeight="1">
      <c r="M142" s="45"/>
    </row>
    <row r="143" ht="15.75" customHeight="1">
      <c r="M143" s="45"/>
    </row>
    <row r="144" ht="15.75" customHeight="1">
      <c r="M144" s="45"/>
    </row>
    <row r="145" ht="15.75" customHeight="1">
      <c r="M145" s="45"/>
    </row>
    <row r="146" ht="15.75" customHeight="1">
      <c r="M146" s="45"/>
    </row>
    <row r="147" ht="15.75" customHeight="1">
      <c r="M147" s="45"/>
    </row>
    <row r="148" ht="15.75" customHeight="1">
      <c r="M148" s="45"/>
    </row>
    <row r="149" ht="15.75" customHeight="1">
      <c r="M149" s="45"/>
    </row>
    <row r="150" ht="15.75" customHeight="1">
      <c r="M150" s="45"/>
    </row>
    <row r="151" ht="15.75" customHeight="1">
      <c r="M151" s="45"/>
    </row>
    <row r="152" ht="15.75" customHeight="1">
      <c r="M152" s="45"/>
    </row>
    <row r="153" ht="15.75" customHeight="1">
      <c r="M153" s="45"/>
    </row>
    <row r="154" ht="15.75" customHeight="1">
      <c r="M154" s="45"/>
    </row>
    <row r="155" ht="15.75" customHeight="1">
      <c r="M155" s="45"/>
    </row>
    <row r="156" ht="15.75" customHeight="1">
      <c r="M156" s="45"/>
    </row>
    <row r="157" ht="15.75" customHeight="1">
      <c r="M157" s="45"/>
    </row>
    <row r="158" ht="15.75" customHeight="1">
      <c r="M158" s="45"/>
    </row>
    <row r="159" ht="15.75" customHeight="1">
      <c r="M159" s="45"/>
    </row>
    <row r="160" ht="15.75" customHeight="1">
      <c r="M160" s="45"/>
    </row>
    <row r="161" ht="15.75" customHeight="1">
      <c r="M161" s="45"/>
    </row>
    <row r="162" ht="15.75" customHeight="1">
      <c r="M162" s="45"/>
    </row>
    <row r="163" ht="15.75" customHeight="1">
      <c r="M163" s="45"/>
    </row>
    <row r="164" ht="15.75" customHeight="1">
      <c r="M164" s="45"/>
    </row>
    <row r="165" ht="15.75" customHeight="1">
      <c r="M165" s="45"/>
    </row>
    <row r="166" ht="15.75" customHeight="1">
      <c r="M166" s="45"/>
    </row>
    <row r="167" ht="15.75" customHeight="1">
      <c r="M167" s="45"/>
    </row>
    <row r="168" ht="15.75" customHeight="1">
      <c r="M168" s="45"/>
    </row>
    <row r="169" ht="15.75" customHeight="1">
      <c r="M169" s="45"/>
    </row>
    <row r="170" ht="15.75" customHeight="1">
      <c r="M170" s="45"/>
    </row>
    <row r="171" ht="15.75" customHeight="1">
      <c r="M171" s="45"/>
    </row>
    <row r="172" ht="15.75" customHeight="1">
      <c r="M172" s="45"/>
    </row>
    <row r="173" ht="15.75" customHeight="1">
      <c r="M173" s="45"/>
    </row>
    <row r="174" ht="15.75" customHeight="1">
      <c r="M174" s="45"/>
    </row>
    <row r="175" ht="15.75" customHeight="1">
      <c r="M175" s="45"/>
    </row>
    <row r="176" ht="15.75" customHeight="1">
      <c r="M176" s="45"/>
    </row>
    <row r="177" ht="15.75" customHeight="1">
      <c r="M177" s="45"/>
    </row>
    <row r="178" ht="15.75" customHeight="1">
      <c r="M178" s="45"/>
    </row>
    <row r="179" ht="15.75" customHeight="1">
      <c r="M179" s="45"/>
    </row>
    <row r="180" ht="15.75" customHeight="1">
      <c r="M180" s="45"/>
    </row>
    <row r="181" ht="15.75" customHeight="1">
      <c r="M181" s="45"/>
    </row>
    <row r="182" ht="15.75" customHeight="1">
      <c r="M182" s="45"/>
    </row>
    <row r="183" ht="15.75" customHeight="1">
      <c r="M183" s="45"/>
    </row>
    <row r="184" ht="15.75" customHeight="1">
      <c r="M184" s="45"/>
    </row>
    <row r="185" ht="15.75" customHeight="1">
      <c r="M185" s="45"/>
    </row>
    <row r="186" ht="15.75" customHeight="1">
      <c r="M186" s="45"/>
    </row>
    <row r="187" ht="15.75" customHeight="1">
      <c r="M187" s="45"/>
    </row>
    <row r="188" ht="15.75" customHeight="1">
      <c r="M188" s="45"/>
    </row>
    <row r="189" ht="15.75" customHeight="1">
      <c r="M189" s="45"/>
    </row>
    <row r="190" ht="15.75" customHeight="1">
      <c r="M190" s="45"/>
    </row>
    <row r="191" ht="15.75" customHeight="1">
      <c r="M191" s="45"/>
    </row>
    <row r="192" ht="15.75" customHeight="1">
      <c r="M192" s="45"/>
    </row>
    <row r="193" ht="15.75" customHeight="1">
      <c r="M193" s="45"/>
    </row>
    <row r="194" ht="15.75" customHeight="1">
      <c r="M194" s="45"/>
    </row>
    <row r="195" ht="15.75" customHeight="1">
      <c r="M195" s="45"/>
    </row>
    <row r="196" ht="15.75" customHeight="1">
      <c r="M196" s="45"/>
    </row>
    <row r="197" ht="15.75" customHeight="1">
      <c r="M197" s="45"/>
    </row>
    <row r="198" ht="15.75" customHeight="1">
      <c r="M198" s="45"/>
    </row>
    <row r="199" ht="15.75" customHeight="1">
      <c r="M199" s="45"/>
    </row>
    <row r="200" ht="15.75" customHeight="1">
      <c r="M200" s="45"/>
    </row>
    <row r="201" ht="15.75" customHeight="1">
      <c r="M201" s="45"/>
    </row>
    <row r="202" ht="15.75" customHeight="1">
      <c r="M202" s="45"/>
    </row>
    <row r="203" ht="15.75" customHeight="1">
      <c r="M203" s="45"/>
    </row>
    <row r="204" ht="15.75" customHeight="1">
      <c r="M204" s="45"/>
    </row>
    <row r="205" ht="15.75" customHeight="1">
      <c r="M205" s="45"/>
    </row>
    <row r="206" ht="15.75" customHeight="1">
      <c r="M206" s="45"/>
    </row>
    <row r="207" ht="15.75" customHeight="1">
      <c r="M207" s="45"/>
    </row>
    <row r="208" ht="15.75" customHeight="1">
      <c r="M208" s="45"/>
    </row>
    <row r="209" ht="15.75" customHeight="1">
      <c r="M209" s="45"/>
    </row>
    <row r="210" ht="15.75" customHeight="1">
      <c r="M210" s="45"/>
    </row>
    <row r="211" ht="15.75" customHeight="1">
      <c r="M211" s="45"/>
    </row>
    <row r="212" ht="15.75" customHeight="1">
      <c r="M212" s="45"/>
    </row>
    <row r="213" ht="15.75" customHeight="1">
      <c r="M213" s="45"/>
    </row>
    <row r="214" ht="15.75" customHeight="1">
      <c r="M214" s="45"/>
    </row>
    <row r="215" ht="15.75" customHeight="1">
      <c r="M215" s="45"/>
    </row>
    <row r="216" ht="15.75" customHeight="1">
      <c r="M216" s="45"/>
    </row>
    <row r="217" ht="15.75" customHeight="1">
      <c r="M217" s="45"/>
    </row>
    <row r="218" ht="15.75" customHeight="1">
      <c r="M218" s="45"/>
    </row>
    <row r="219" ht="15.75" customHeight="1">
      <c r="M219" s="45"/>
    </row>
    <row r="220" ht="15.75" customHeight="1">
      <c r="M220" s="45"/>
    </row>
    <row r="221" ht="15.75" customHeight="1">
      <c r="M221" s="45"/>
    </row>
    <row r="222" ht="15.75" customHeight="1">
      <c r="M222" s="45"/>
    </row>
    <row r="223" ht="15.75" customHeight="1">
      <c r="M223" s="45"/>
    </row>
    <row r="224" ht="15.75" customHeight="1">
      <c r="M224" s="45"/>
    </row>
    <row r="225" ht="15.75" customHeight="1">
      <c r="M225" s="45"/>
    </row>
    <row r="226" ht="15.75" customHeight="1">
      <c r="M226" s="45"/>
    </row>
    <row r="227" ht="15.75" customHeight="1">
      <c r="M227" s="45"/>
    </row>
    <row r="228" ht="15.75" customHeight="1">
      <c r="M228" s="45"/>
    </row>
    <row r="229" ht="15.75" customHeight="1">
      <c r="M229" s="45"/>
    </row>
    <row r="230" ht="15.75" customHeight="1">
      <c r="M230" s="45"/>
    </row>
    <row r="231" ht="15.75" customHeight="1">
      <c r="M231" s="45"/>
    </row>
    <row r="232" ht="15.75" customHeight="1">
      <c r="M232" s="45"/>
    </row>
    <row r="233" ht="15.75" customHeight="1">
      <c r="M233" s="45"/>
    </row>
    <row r="234" ht="15.75" customHeight="1">
      <c r="M234" s="45"/>
    </row>
    <row r="235" ht="15.75" customHeight="1">
      <c r="M235" s="45"/>
    </row>
    <row r="236" ht="15.75" customHeight="1">
      <c r="M236" s="45"/>
    </row>
    <row r="237" ht="15.75" customHeight="1">
      <c r="M237" s="45"/>
    </row>
    <row r="238" ht="15.75" customHeight="1">
      <c r="M238" s="45"/>
    </row>
    <row r="239" ht="15.75" customHeight="1">
      <c r="M239" s="45"/>
    </row>
    <row r="240" ht="15.75" customHeight="1">
      <c r="M240" s="45"/>
    </row>
    <row r="241" ht="15.75" customHeight="1">
      <c r="M241" s="45"/>
    </row>
    <row r="242" ht="15.75" customHeight="1">
      <c r="M242" s="45"/>
    </row>
    <row r="243" ht="15.75" customHeight="1">
      <c r="M243" s="45"/>
    </row>
    <row r="244" ht="15.75" customHeight="1">
      <c r="M244" s="45"/>
    </row>
    <row r="245" ht="15.75" customHeight="1">
      <c r="M245" s="45"/>
    </row>
    <row r="246" ht="15.75" customHeight="1">
      <c r="M246" s="45"/>
    </row>
    <row r="247" ht="15.75" customHeight="1">
      <c r="M247" s="45"/>
    </row>
    <row r="248" ht="15.75" customHeight="1">
      <c r="M248" s="45"/>
    </row>
    <row r="249" ht="15.75" customHeight="1">
      <c r="M249" s="45"/>
    </row>
    <row r="250" ht="15.75" customHeight="1">
      <c r="M250" s="45"/>
    </row>
    <row r="251" ht="15.75" customHeight="1">
      <c r="M251" s="45"/>
    </row>
    <row r="252" ht="15.75" customHeight="1">
      <c r="M252" s="45"/>
    </row>
    <row r="253" ht="15.75" customHeight="1">
      <c r="M253" s="45"/>
    </row>
    <row r="254" ht="15.75" customHeight="1">
      <c r="M254" s="45"/>
    </row>
    <row r="255" ht="15.75" customHeight="1">
      <c r="M255" s="45"/>
    </row>
    <row r="256" ht="15.75" customHeight="1">
      <c r="M256" s="45"/>
    </row>
    <row r="257" ht="15.75" customHeight="1">
      <c r="M257" s="45"/>
    </row>
    <row r="258" ht="15.75" customHeight="1">
      <c r="M258" s="45"/>
    </row>
    <row r="259" ht="15.75" customHeight="1">
      <c r="M259" s="45"/>
    </row>
    <row r="260" ht="15.75" customHeight="1">
      <c r="M260" s="45"/>
    </row>
    <row r="261" ht="15.75" customHeight="1">
      <c r="M261" s="45"/>
    </row>
    <row r="262" ht="15.75" customHeight="1">
      <c r="M262" s="45"/>
    </row>
    <row r="263" ht="15.75" customHeight="1">
      <c r="M263" s="45"/>
    </row>
    <row r="264" ht="15.75" customHeight="1">
      <c r="M264" s="45"/>
    </row>
    <row r="265" ht="15.75" customHeight="1">
      <c r="M265" s="45"/>
    </row>
    <row r="266" ht="15.75" customHeight="1">
      <c r="M266" s="45"/>
    </row>
    <row r="267" ht="15.75" customHeight="1">
      <c r="M267" s="45"/>
    </row>
    <row r="268" ht="15.75" customHeight="1">
      <c r="M268" s="45"/>
    </row>
    <row r="269" ht="15.75" customHeight="1">
      <c r="M269" s="45"/>
    </row>
    <row r="270" ht="15.75" customHeight="1">
      <c r="M270" s="45"/>
    </row>
    <row r="271" ht="15.75" customHeight="1">
      <c r="M271" s="45"/>
    </row>
    <row r="272" ht="15.75" customHeight="1">
      <c r="M272" s="45"/>
    </row>
    <row r="273" ht="15.75" customHeight="1">
      <c r="M273" s="45"/>
    </row>
    <row r="274" ht="15.75" customHeight="1">
      <c r="M274" s="45"/>
    </row>
    <row r="275" ht="15.75" customHeight="1">
      <c r="M275" s="45"/>
    </row>
    <row r="276" ht="15.75" customHeight="1">
      <c r="M276" s="45"/>
    </row>
    <row r="277" ht="15.75" customHeight="1">
      <c r="M277" s="45"/>
    </row>
    <row r="278" ht="15.75" customHeight="1">
      <c r="M278" s="45"/>
    </row>
    <row r="279" ht="15.75" customHeight="1">
      <c r="M279" s="45"/>
    </row>
    <row r="280" ht="15.75" customHeight="1">
      <c r="M280" s="45"/>
    </row>
    <row r="281" ht="15.75" customHeight="1">
      <c r="M281" s="45"/>
    </row>
    <row r="282" ht="15.75" customHeight="1">
      <c r="M282" s="45"/>
    </row>
    <row r="283" ht="15.75" customHeight="1">
      <c r="M283" s="45"/>
    </row>
    <row r="284" ht="15.75" customHeight="1">
      <c r="M284" s="45"/>
    </row>
    <row r="285" ht="15.75" customHeight="1">
      <c r="M285" s="45"/>
    </row>
    <row r="286" ht="15.75" customHeight="1">
      <c r="M286" s="45"/>
    </row>
    <row r="287" ht="15.75" customHeight="1">
      <c r="M287" s="45"/>
    </row>
    <row r="288" ht="15.75" customHeight="1">
      <c r="M288" s="45"/>
    </row>
    <row r="289" ht="15.75" customHeight="1">
      <c r="M289" s="45"/>
    </row>
    <row r="290" ht="15.75" customHeight="1">
      <c r="M290" s="45"/>
    </row>
    <row r="291" ht="15.75" customHeight="1">
      <c r="M291" s="45"/>
    </row>
    <row r="292" ht="15.75" customHeight="1">
      <c r="M292" s="45"/>
    </row>
    <row r="293" ht="15.75" customHeight="1">
      <c r="M293" s="45"/>
    </row>
    <row r="294" ht="15.75" customHeight="1">
      <c r="M294" s="45"/>
    </row>
    <row r="295" ht="15.75" customHeight="1">
      <c r="M295" s="45"/>
    </row>
    <row r="296" ht="15.75" customHeight="1">
      <c r="M296" s="45"/>
    </row>
    <row r="297" ht="15.75" customHeight="1">
      <c r="M297" s="45"/>
    </row>
    <row r="298" ht="15.75" customHeight="1">
      <c r="M298" s="45"/>
    </row>
    <row r="299" ht="15.75" customHeight="1">
      <c r="M299" s="45"/>
    </row>
    <row r="300" ht="15.75" customHeight="1">
      <c r="M300" s="45"/>
    </row>
    <row r="301" ht="15.75" customHeight="1">
      <c r="M301" s="45"/>
    </row>
    <row r="302" ht="15.75" customHeight="1">
      <c r="M302" s="45"/>
    </row>
    <row r="303" ht="15.75" customHeight="1">
      <c r="M303" s="45"/>
    </row>
    <row r="304" ht="15.75" customHeight="1">
      <c r="M304" s="45"/>
    </row>
    <row r="305" ht="15.75" customHeight="1">
      <c r="M305" s="45"/>
    </row>
    <row r="306" ht="15.75" customHeight="1">
      <c r="M306" s="45"/>
    </row>
    <row r="307" ht="15.75" customHeight="1">
      <c r="M307" s="45"/>
    </row>
    <row r="308" ht="15.75" customHeight="1">
      <c r="M308" s="45"/>
    </row>
    <row r="309" ht="15.75" customHeight="1">
      <c r="M309" s="45"/>
    </row>
    <row r="310" ht="15.75" customHeight="1">
      <c r="M310" s="45"/>
    </row>
    <row r="311" ht="15.75" customHeight="1">
      <c r="M311" s="45"/>
    </row>
    <row r="312" ht="15.75" customHeight="1">
      <c r="M312" s="45"/>
    </row>
    <row r="313" ht="15.75" customHeight="1">
      <c r="M313" s="45"/>
    </row>
    <row r="314" ht="15.75" customHeight="1">
      <c r="M314" s="45"/>
    </row>
    <row r="315" ht="15.75" customHeight="1">
      <c r="M315" s="45"/>
    </row>
    <row r="316" ht="15.75" customHeight="1">
      <c r="M316" s="45"/>
    </row>
    <row r="317" ht="15.75" customHeight="1">
      <c r="M317" s="45"/>
    </row>
    <row r="318" ht="15.75" customHeight="1">
      <c r="M318" s="45"/>
    </row>
    <row r="319" ht="15.75" customHeight="1">
      <c r="M319" s="45"/>
    </row>
    <row r="320" ht="15.75" customHeight="1">
      <c r="M320" s="45"/>
    </row>
    <row r="321" ht="15.75" customHeight="1">
      <c r="M321" s="45"/>
    </row>
    <row r="322" ht="15.75" customHeight="1">
      <c r="M322" s="45"/>
    </row>
    <row r="323" ht="15.75" customHeight="1">
      <c r="M323" s="45"/>
    </row>
    <row r="324" ht="15.75" customHeight="1">
      <c r="M324" s="45"/>
    </row>
    <row r="325" ht="15.75" customHeight="1">
      <c r="M325" s="45"/>
    </row>
    <row r="326" ht="15.75" customHeight="1">
      <c r="M326" s="45"/>
    </row>
    <row r="327" ht="15.75" customHeight="1">
      <c r="M327" s="45"/>
    </row>
    <row r="328" ht="15.75" customHeight="1">
      <c r="M328" s="45"/>
    </row>
    <row r="329" ht="15.75" customHeight="1">
      <c r="M329" s="45"/>
    </row>
    <row r="330" ht="15.75" customHeight="1">
      <c r="M330" s="45"/>
    </row>
    <row r="331" ht="15.75" customHeight="1">
      <c r="M331" s="45"/>
    </row>
    <row r="332" ht="15.75" customHeight="1">
      <c r="M332" s="45"/>
    </row>
    <row r="333" ht="15.75" customHeight="1">
      <c r="M333" s="45"/>
    </row>
    <row r="334" ht="15.75" customHeight="1">
      <c r="M334" s="45"/>
    </row>
    <row r="335" ht="15.75" customHeight="1">
      <c r="M335" s="45"/>
    </row>
    <row r="336" ht="15.75" customHeight="1">
      <c r="M336" s="45"/>
    </row>
    <row r="337" ht="15.75" customHeight="1">
      <c r="M337" s="45"/>
    </row>
    <row r="338" ht="15.75" customHeight="1">
      <c r="M338" s="45"/>
    </row>
    <row r="339" ht="15.75" customHeight="1">
      <c r="M339" s="45"/>
    </row>
    <row r="340" ht="15.75" customHeight="1">
      <c r="M340" s="45"/>
    </row>
    <row r="341" ht="15.75" customHeight="1">
      <c r="M341" s="45"/>
    </row>
    <row r="342" ht="15.75" customHeight="1">
      <c r="M342" s="45"/>
    </row>
    <row r="343" ht="15.75" customHeight="1">
      <c r="M343" s="45"/>
    </row>
    <row r="344" ht="15.75" customHeight="1">
      <c r="M344" s="45"/>
    </row>
    <row r="345" ht="15.75" customHeight="1">
      <c r="M345" s="45"/>
    </row>
    <row r="346" ht="15.75" customHeight="1">
      <c r="M346" s="45"/>
    </row>
    <row r="347" ht="15.75" customHeight="1">
      <c r="M347" s="45"/>
    </row>
    <row r="348" ht="15.75" customHeight="1">
      <c r="M348" s="45"/>
    </row>
    <row r="349" ht="15.75" customHeight="1">
      <c r="M349" s="45"/>
    </row>
    <row r="350" ht="15.75" customHeight="1">
      <c r="M350" s="45"/>
    </row>
    <row r="351" ht="15.75" customHeight="1">
      <c r="M351" s="45"/>
    </row>
    <row r="352" ht="15.75" customHeight="1">
      <c r="M352" s="45"/>
    </row>
    <row r="353" ht="15.75" customHeight="1">
      <c r="M353" s="45"/>
    </row>
    <row r="354" ht="15.75" customHeight="1">
      <c r="M354" s="45"/>
    </row>
    <row r="355" ht="15.75" customHeight="1">
      <c r="M355" s="45"/>
    </row>
    <row r="356" ht="15.75" customHeight="1">
      <c r="M356" s="45"/>
    </row>
    <row r="357" ht="15.75" customHeight="1">
      <c r="M357" s="45"/>
    </row>
    <row r="358" ht="15.75" customHeight="1">
      <c r="M358" s="45"/>
    </row>
    <row r="359" ht="15.75" customHeight="1">
      <c r="M359" s="45"/>
    </row>
    <row r="360" ht="15.75" customHeight="1">
      <c r="M360" s="45"/>
    </row>
    <row r="361" ht="15.75" customHeight="1">
      <c r="M361" s="45"/>
    </row>
    <row r="362" ht="15.75" customHeight="1">
      <c r="M362" s="45"/>
    </row>
    <row r="363" ht="15.75" customHeight="1">
      <c r="M363" s="45"/>
    </row>
    <row r="364" ht="15.75" customHeight="1">
      <c r="M364" s="45"/>
    </row>
    <row r="365" ht="15.75" customHeight="1">
      <c r="M365" s="45"/>
    </row>
    <row r="366" ht="15.75" customHeight="1">
      <c r="M366" s="45"/>
    </row>
    <row r="367" ht="15.75" customHeight="1">
      <c r="M367" s="45"/>
    </row>
    <row r="368" ht="15.75" customHeight="1">
      <c r="M368" s="45"/>
    </row>
    <row r="369" ht="15.75" customHeight="1">
      <c r="M369" s="45"/>
    </row>
    <row r="370" ht="15.75" customHeight="1">
      <c r="M370" s="45"/>
    </row>
    <row r="371" ht="15.75" customHeight="1">
      <c r="M371" s="45"/>
    </row>
    <row r="372" ht="15.75" customHeight="1">
      <c r="M372" s="45"/>
    </row>
    <row r="373" ht="15.75" customHeight="1">
      <c r="M373" s="45"/>
    </row>
    <row r="374" ht="15.75" customHeight="1">
      <c r="M374" s="45"/>
    </row>
    <row r="375" ht="15.75" customHeight="1">
      <c r="M375" s="45"/>
    </row>
    <row r="376" ht="15.75" customHeight="1">
      <c r="M376" s="45"/>
    </row>
    <row r="377" ht="15.75" customHeight="1">
      <c r="M377" s="45"/>
    </row>
    <row r="378" ht="15.75" customHeight="1">
      <c r="M378" s="45"/>
    </row>
    <row r="379" ht="15.75" customHeight="1">
      <c r="M379" s="45"/>
    </row>
    <row r="380" ht="15.75" customHeight="1">
      <c r="M380" s="45"/>
    </row>
    <row r="381" ht="15.75" customHeight="1">
      <c r="M381" s="45"/>
    </row>
    <row r="382" ht="15.75" customHeight="1">
      <c r="M382" s="45"/>
    </row>
    <row r="383" ht="15.75" customHeight="1">
      <c r="M383" s="45"/>
    </row>
    <row r="384" ht="15.75" customHeight="1">
      <c r="M384" s="45"/>
    </row>
    <row r="385" ht="15.75" customHeight="1">
      <c r="M385" s="45"/>
    </row>
    <row r="386" ht="15.75" customHeight="1">
      <c r="M386" s="45"/>
    </row>
    <row r="387" ht="15.75" customHeight="1">
      <c r="M387" s="45"/>
    </row>
    <row r="388" ht="15.75" customHeight="1">
      <c r="M388" s="45"/>
    </row>
    <row r="389" ht="15.75" customHeight="1">
      <c r="M389" s="45"/>
    </row>
    <row r="390" ht="15.75" customHeight="1">
      <c r="M390" s="45"/>
    </row>
    <row r="391" ht="15.75" customHeight="1">
      <c r="M391" s="45"/>
    </row>
    <row r="392" ht="15.75" customHeight="1">
      <c r="M392" s="45"/>
    </row>
    <row r="393" ht="15.75" customHeight="1">
      <c r="M393" s="45"/>
    </row>
    <row r="394" ht="15.75" customHeight="1">
      <c r="M394" s="45"/>
    </row>
    <row r="395" ht="15.75" customHeight="1">
      <c r="M395" s="45"/>
    </row>
    <row r="396" ht="15.75" customHeight="1">
      <c r="M396" s="45"/>
    </row>
    <row r="397" ht="15.75" customHeight="1">
      <c r="M397" s="45"/>
    </row>
    <row r="398" ht="15.75" customHeight="1">
      <c r="M398" s="45"/>
    </row>
    <row r="399" ht="15.75" customHeight="1">
      <c r="M399" s="45"/>
    </row>
    <row r="400" ht="15.75" customHeight="1">
      <c r="M400" s="45"/>
    </row>
    <row r="401" ht="15.75" customHeight="1">
      <c r="M401" s="45"/>
    </row>
    <row r="402" ht="15.75" customHeight="1">
      <c r="M402" s="45"/>
    </row>
    <row r="403" ht="15.75" customHeight="1">
      <c r="M403" s="45"/>
    </row>
    <row r="404" ht="15.75" customHeight="1">
      <c r="M404" s="45"/>
    </row>
    <row r="405" ht="15.75" customHeight="1">
      <c r="M405" s="45"/>
    </row>
    <row r="406" ht="15.75" customHeight="1">
      <c r="M406" s="45"/>
    </row>
    <row r="407" ht="15.75" customHeight="1">
      <c r="M407" s="45"/>
    </row>
    <row r="408" ht="15.75" customHeight="1">
      <c r="M408" s="45"/>
    </row>
    <row r="409" ht="15.75" customHeight="1">
      <c r="M409" s="45"/>
    </row>
    <row r="410" ht="15.75" customHeight="1">
      <c r="M410" s="45"/>
    </row>
    <row r="411" ht="15.75" customHeight="1">
      <c r="M411" s="45"/>
    </row>
    <row r="412" ht="15.75" customHeight="1">
      <c r="M412" s="45"/>
    </row>
    <row r="413" ht="15.75" customHeight="1">
      <c r="M413" s="45"/>
    </row>
    <row r="414" ht="15.75" customHeight="1">
      <c r="M414" s="45"/>
    </row>
    <row r="415" ht="15.75" customHeight="1">
      <c r="M415" s="45"/>
    </row>
    <row r="416" ht="15.75" customHeight="1">
      <c r="M416" s="45"/>
    </row>
    <row r="417" ht="15.75" customHeight="1">
      <c r="M417" s="45"/>
    </row>
    <row r="418" ht="15.75" customHeight="1">
      <c r="M418" s="45"/>
    </row>
    <row r="419" ht="15.75" customHeight="1">
      <c r="M419" s="45"/>
    </row>
    <row r="420" ht="15.75" customHeight="1">
      <c r="M420" s="45"/>
    </row>
    <row r="421" ht="15.75" customHeight="1">
      <c r="M421" s="45"/>
    </row>
    <row r="422" ht="15.75" customHeight="1">
      <c r="M422" s="45"/>
    </row>
    <row r="423" ht="15.75" customHeight="1">
      <c r="M423" s="45"/>
    </row>
    <row r="424" ht="15.75" customHeight="1">
      <c r="M424" s="45"/>
    </row>
    <row r="425" ht="15.75" customHeight="1">
      <c r="M425" s="45"/>
    </row>
    <row r="426" ht="15.75" customHeight="1">
      <c r="M426" s="45"/>
    </row>
    <row r="427" ht="15.75" customHeight="1">
      <c r="M427" s="45"/>
    </row>
    <row r="428" ht="15.75" customHeight="1">
      <c r="M428" s="45"/>
    </row>
    <row r="429" ht="15.75" customHeight="1">
      <c r="M429" s="45"/>
    </row>
    <row r="430" ht="15.75" customHeight="1">
      <c r="M430" s="45"/>
    </row>
    <row r="431" ht="15.75" customHeight="1">
      <c r="M431" s="45"/>
    </row>
    <row r="432" ht="15.75" customHeight="1">
      <c r="M432" s="45"/>
    </row>
    <row r="433" ht="15.75" customHeight="1">
      <c r="M433" s="45"/>
    </row>
    <row r="434" ht="15.75" customHeight="1">
      <c r="M434" s="45"/>
    </row>
    <row r="435" ht="15.75" customHeight="1">
      <c r="M435" s="45"/>
    </row>
    <row r="436" ht="15.75" customHeight="1">
      <c r="M436" s="45"/>
    </row>
    <row r="437" ht="15.75" customHeight="1">
      <c r="M437" s="45"/>
    </row>
    <row r="438" ht="15.75" customHeight="1">
      <c r="M438" s="45"/>
    </row>
    <row r="439" ht="15.75" customHeight="1">
      <c r="M439" s="45"/>
    </row>
    <row r="440" ht="15.75" customHeight="1">
      <c r="M440" s="45"/>
    </row>
    <row r="441" ht="15.75" customHeight="1">
      <c r="M441" s="45"/>
    </row>
    <row r="442" ht="15.75" customHeight="1">
      <c r="M442" s="45"/>
    </row>
    <row r="443" ht="15.75" customHeight="1">
      <c r="M443" s="45"/>
    </row>
    <row r="444" ht="15.75" customHeight="1">
      <c r="M444" s="45"/>
    </row>
    <row r="445" ht="15.75" customHeight="1">
      <c r="M445" s="45"/>
    </row>
    <row r="446" ht="15.75" customHeight="1">
      <c r="M446" s="45"/>
    </row>
    <row r="447" ht="15.75" customHeight="1">
      <c r="M447" s="45"/>
    </row>
    <row r="448" ht="15.75" customHeight="1">
      <c r="M448" s="45"/>
    </row>
    <row r="449" ht="15.75" customHeight="1">
      <c r="M449" s="45"/>
    </row>
    <row r="450" ht="15.75" customHeight="1">
      <c r="M450" s="45"/>
    </row>
    <row r="451" ht="15.75" customHeight="1">
      <c r="M451" s="45"/>
    </row>
    <row r="452" ht="15.75" customHeight="1">
      <c r="M452" s="45"/>
    </row>
    <row r="453" ht="15.75" customHeight="1">
      <c r="M453" s="45"/>
    </row>
    <row r="454" ht="15.75" customHeight="1">
      <c r="M454" s="45"/>
    </row>
    <row r="455" ht="15.75" customHeight="1">
      <c r="M455" s="45"/>
    </row>
    <row r="456" ht="15.75" customHeight="1">
      <c r="M456" s="45"/>
    </row>
    <row r="457" ht="15.75" customHeight="1">
      <c r="M457" s="45"/>
    </row>
    <row r="458" ht="15.75" customHeight="1">
      <c r="M458" s="45"/>
    </row>
    <row r="459" ht="15.75" customHeight="1">
      <c r="M459" s="45"/>
    </row>
    <row r="460" ht="15.75" customHeight="1">
      <c r="M460" s="45"/>
    </row>
    <row r="461" ht="15.75" customHeight="1">
      <c r="M461" s="45"/>
    </row>
    <row r="462" ht="15.75" customHeight="1">
      <c r="M462" s="45"/>
    </row>
    <row r="463" ht="15.75" customHeight="1">
      <c r="M463" s="45"/>
    </row>
    <row r="464" ht="15.75" customHeight="1">
      <c r="M464" s="45"/>
    </row>
    <row r="465" ht="15.75" customHeight="1">
      <c r="M465" s="45"/>
    </row>
    <row r="466" ht="15.75" customHeight="1">
      <c r="M466" s="45"/>
    </row>
    <row r="467" ht="15.75" customHeight="1">
      <c r="M467" s="45"/>
    </row>
    <row r="468" ht="15.75" customHeight="1">
      <c r="M468" s="45"/>
    </row>
    <row r="469" ht="15.75" customHeight="1">
      <c r="M469" s="45"/>
    </row>
    <row r="470" ht="15.75" customHeight="1">
      <c r="M470" s="45"/>
    </row>
    <row r="471" ht="15.75" customHeight="1">
      <c r="M471" s="45"/>
    </row>
    <row r="472" ht="15.75" customHeight="1">
      <c r="M472" s="45"/>
    </row>
    <row r="473" ht="15.75" customHeight="1">
      <c r="M473" s="45"/>
    </row>
    <row r="474" ht="15.75" customHeight="1">
      <c r="M474" s="45"/>
    </row>
    <row r="475" ht="15.75" customHeight="1">
      <c r="M475" s="45"/>
    </row>
    <row r="476" ht="15.75" customHeight="1">
      <c r="M476" s="45"/>
    </row>
    <row r="477" ht="15.75" customHeight="1">
      <c r="M477" s="45"/>
    </row>
    <row r="478" ht="15.75" customHeight="1">
      <c r="M478" s="45"/>
    </row>
    <row r="479" ht="15.75" customHeight="1">
      <c r="M479" s="45"/>
    </row>
    <row r="480" ht="15.75" customHeight="1">
      <c r="M480" s="45"/>
    </row>
    <row r="481" ht="15.75" customHeight="1">
      <c r="M481" s="45"/>
    </row>
    <row r="482" ht="15.75" customHeight="1">
      <c r="M482" s="45"/>
    </row>
    <row r="483" ht="15.75" customHeight="1">
      <c r="M483" s="45"/>
    </row>
    <row r="484" ht="15.75" customHeight="1">
      <c r="M484" s="45"/>
    </row>
    <row r="485" ht="15.75" customHeight="1">
      <c r="M485" s="45"/>
    </row>
    <row r="486" ht="15.75" customHeight="1">
      <c r="M486" s="45"/>
    </row>
    <row r="487" ht="15.75" customHeight="1">
      <c r="M487" s="45"/>
    </row>
    <row r="488" ht="15.75" customHeight="1">
      <c r="M488" s="45"/>
    </row>
    <row r="489" ht="15.75" customHeight="1">
      <c r="M489" s="45"/>
    </row>
    <row r="490" ht="15.75" customHeight="1">
      <c r="M490" s="45"/>
    </row>
    <row r="491" ht="15.75" customHeight="1">
      <c r="M491" s="45"/>
    </row>
    <row r="492" ht="15.75" customHeight="1">
      <c r="M492" s="45"/>
    </row>
    <row r="493" ht="15.75" customHeight="1">
      <c r="M493" s="45"/>
    </row>
    <row r="494" ht="15.75" customHeight="1">
      <c r="M494" s="45"/>
    </row>
    <row r="495" ht="15.75" customHeight="1">
      <c r="M495" s="45"/>
    </row>
    <row r="496" ht="15.75" customHeight="1">
      <c r="M496" s="45"/>
    </row>
    <row r="497" ht="15.75" customHeight="1">
      <c r="M497" s="45"/>
    </row>
    <row r="498" ht="15.75" customHeight="1">
      <c r="M498" s="45"/>
    </row>
    <row r="499" ht="15.75" customHeight="1">
      <c r="M499" s="45"/>
    </row>
    <row r="500" ht="15.75" customHeight="1">
      <c r="M500" s="45"/>
    </row>
    <row r="501" ht="15.75" customHeight="1">
      <c r="M501" s="45"/>
    </row>
    <row r="502" ht="15.75" customHeight="1">
      <c r="M502" s="45"/>
    </row>
    <row r="503" ht="15.75" customHeight="1">
      <c r="M503" s="45"/>
    </row>
    <row r="504" ht="15.75" customHeight="1">
      <c r="M504" s="45"/>
    </row>
    <row r="505" ht="15.75" customHeight="1">
      <c r="M505" s="45"/>
    </row>
    <row r="506" ht="15.75" customHeight="1">
      <c r="M506" s="45"/>
    </row>
    <row r="507" ht="15.75" customHeight="1">
      <c r="M507" s="45"/>
    </row>
    <row r="508" ht="15.75" customHeight="1">
      <c r="M508" s="45"/>
    </row>
    <row r="509" ht="15.75" customHeight="1">
      <c r="M509" s="45"/>
    </row>
    <row r="510" ht="15.75" customHeight="1">
      <c r="M510" s="45"/>
    </row>
    <row r="511" ht="15.75" customHeight="1">
      <c r="M511" s="45"/>
    </row>
    <row r="512" ht="15.75" customHeight="1">
      <c r="M512" s="45"/>
    </row>
    <row r="513" ht="15.75" customHeight="1">
      <c r="M513" s="45"/>
    </row>
    <row r="514" ht="15.75" customHeight="1">
      <c r="M514" s="45"/>
    </row>
    <row r="515" ht="15.75" customHeight="1">
      <c r="M515" s="45"/>
    </row>
    <row r="516" ht="15.75" customHeight="1">
      <c r="M516" s="45"/>
    </row>
    <row r="517" ht="15.75" customHeight="1">
      <c r="M517" s="45"/>
    </row>
    <row r="518" ht="15.75" customHeight="1">
      <c r="M518" s="45"/>
    </row>
    <row r="519" ht="15.75" customHeight="1">
      <c r="M519" s="45"/>
    </row>
    <row r="520" ht="15.75" customHeight="1">
      <c r="M520" s="45"/>
    </row>
    <row r="521" ht="15.75" customHeight="1">
      <c r="M521" s="45"/>
    </row>
    <row r="522" ht="15.75" customHeight="1">
      <c r="M522" s="45"/>
    </row>
    <row r="523" ht="15.75" customHeight="1">
      <c r="M523" s="45"/>
    </row>
    <row r="524" ht="15.75" customHeight="1">
      <c r="M524" s="45"/>
    </row>
    <row r="525" ht="15.75" customHeight="1">
      <c r="M525" s="45"/>
    </row>
    <row r="526" ht="15.75" customHeight="1">
      <c r="M526" s="45"/>
    </row>
    <row r="527" ht="15.75" customHeight="1">
      <c r="M527" s="45"/>
    </row>
    <row r="528" ht="15.75" customHeight="1">
      <c r="M528" s="45"/>
    </row>
    <row r="529" ht="15.75" customHeight="1">
      <c r="M529" s="45"/>
    </row>
    <row r="530" ht="15.75" customHeight="1">
      <c r="M530" s="45"/>
    </row>
    <row r="531" ht="15.75" customHeight="1">
      <c r="M531" s="45"/>
    </row>
    <row r="532" ht="15.75" customHeight="1">
      <c r="M532" s="45"/>
    </row>
    <row r="533" ht="15.75" customHeight="1">
      <c r="M533" s="45"/>
    </row>
    <row r="534" ht="15.75" customHeight="1">
      <c r="M534" s="45"/>
    </row>
    <row r="535" ht="15.75" customHeight="1">
      <c r="M535" s="45"/>
    </row>
    <row r="536" ht="15.75" customHeight="1">
      <c r="M536" s="45"/>
    </row>
    <row r="537" ht="15.75" customHeight="1">
      <c r="M537" s="45"/>
    </row>
    <row r="538" ht="15.75" customHeight="1">
      <c r="M538" s="45"/>
    </row>
    <row r="539" ht="15.75" customHeight="1">
      <c r="M539" s="45"/>
    </row>
    <row r="540" ht="15.75" customHeight="1">
      <c r="M540" s="45"/>
    </row>
    <row r="541" ht="15.75" customHeight="1">
      <c r="M541" s="45"/>
    </row>
    <row r="542" ht="15.75" customHeight="1">
      <c r="M542" s="45"/>
    </row>
    <row r="543" ht="15.75" customHeight="1">
      <c r="M543" s="45"/>
    </row>
    <row r="544" ht="15.75" customHeight="1">
      <c r="M544" s="45"/>
    </row>
    <row r="545" ht="15.75" customHeight="1">
      <c r="M545" s="45"/>
    </row>
    <row r="546" ht="15.75" customHeight="1">
      <c r="M546" s="45"/>
    </row>
    <row r="547" ht="15.75" customHeight="1">
      <c r="M547" s="45"/>
    </row>
    <row r="548" ht="15.75" customHeight="1">
      <c r="M548" s="45"/>
    </row>
    <row r="549" ht="15.75" customHeight="1">
      <c r="M549" s="45"/>
    </row>
    <row r="550" ht="15.75" customHeight="1">
      <c r="M550" s="45"/>
    </row>
    <row r="551" ht="15.75" customHeight="1">
      <c r="M551" s="45"/>
    </row>
    <row r="552" ht="15.75" customHeight="1">
      <c r="M552" s="45"/>
    </row>
    <row r="553" ht="15.75" customHeight="1">
      <c r="M553" s="45"/>
    </row>
    <row r="554" ht="15.75" customHeight="1">
      <c r="M554" s="45"/>
    </row>
    <row r="555" ht="15.75" customHeight="1">
      <c r="M555" s="45"/>
    </row>
    <row r="556" ht="15.75" customHeight="1">
      <c r="M556" s="45"/>
    </row>
    <row r="557" ht="15.75" customHeight="1">
      <c r="M557" s="45"/>
    </row>
    <row r="558" ht="15.75" customHeight="1">
      <c r="M558" s="45"/>
    </row>
    <row r="559" ht="15.75" customHeight="1">
      <c r="M559" s="45"/>
    </row>
    <row r="560" ht="15.75" customHeight="1">
      <c r="M560" s="45"/>
    </row>
    <row r="561" ht="15.75" customHeight="1">
      <c r="M561" s="45"/>
    </row>
    <row r="562" ht="15.75" customHeight="1">
      <c r="M562" s="45"/>
    </row>
    <row r="563" ht="15.75" customHeight="1">
      <c r="M563" s="45"/>
    </row>
    <row r="564" ht="15.75" customHeight="1">
      <c r="M564" s="45"/>
    </row>
    <row r="565" ht="15.75" customHeight="1">
      <c r="M565" s="45"/>
    </row>
    <row r="566" ht="15.75" customHeight="1">
      <c r="M566" s="45"/>
    </row>
    <row r="567" ht="15.75" customHeight="1">
      <c r="M567" s="45"/>
    </row>
    <row r="568" ht="15.75" customHeight="1">
      <c r="M568" s="45"/>
    </row>
    <row r="569" ht="15.75" customHeight="1">
      <c r="M569" s="45"/>
    </row>
    <row r="570" ht="15.75" customHeight="1">
      <c r="M570" s="45"/>
    </row>
    <row r="571" ht="15.75" customHeight="1">
      <c r="M571" s="45"/>
    </row>
    <row r="572" ht="15.75" customHeight="1">
      <c r="M572" s="45"/>
    </row>
    <row r="573" ht="15.75" customHeight="1">
      <c r="M573" s="45"/>
    </row>
    <row r="574" ht="15.75" customHeight="1">
      <c r="M574" s="45"/>
    </row>
    <row r="575" ht="15.75" customHeight="1">
      <c r="M575" s="45"/>
    </row>
    <row r="576" ht="15.75" customHeight="1">
      <c r="M576" s="45"/>
    </row>
    <row r="577" ht="15.75" customHeight="1">
      <c r="M577" s="45"/>
    </row>
    <row r="578" ht="15.75" customHeight="1">
      <c r="M578" s="45"/>
    </row>
    <row r="579" ht="15.75" customHeight="1">
      <c r="M579" s="45"/>
    </row>
    <row r="580" ht="15.75" customHeight="1">
      <c r="M580" s="45"/>
    </row>
    <row r="581" ht="15.75" customHeight="1">
      <c r="M581" s="45"/>
    </row>
    <row r="582" ht="15.75" customHeight="1">
      <c r="M582" s="45"/>
    </row>
    <row r="583" ht="15.75" customHeight="1">
      <c r="M583" s="45"/>
    </row>
    <row r="584" ht="15.75" customHeight="1">
      <c r="M584" s="45"/>
    </row>
    <row r="585" ht="15.75" customHeight="1">
      <c r="M585" s="45"/>
    </row>
    <row r="586" ht="15.75" customHeight="1">
      <c r="M586" s="45"/>
    </row>
    <row r="587" ht="15.75" customHeight="1">
      <c r="M587" s="45"/>
    </row>
    <row r="588" ht="15.75" customHeight="1">
      <c r="M588" s="45"/>
    </row>
    <row r="589" ht="15.75" customHeight="1">
      <c r="M589" s="45"/>
    </row>
    <row r="590" ht="15.75" customHeight="1">
      <c r="M590" s="45"/>
    </row>
    <row r="591" ht="15.75" customHeight="1">
      <c r="M591" s="45"/>
    </row>
    <row r="592" ht="15.75" customHeight="1">
      <c r="M592" s="45"/>
    </row>
    <row r="593" ht="15.75" customHeight="1">
      <c r="M593" s="45"/>
    </row>
    <row r="594" ht="15.75" customHeight="1">
      <c r="M594" s="45"/>
    </row>
    <row r="595" ht="15.75" customHeight="1">
      <c r="M595" s="45"/>
    </row>
    <row r="596" ht="15.75" customHeight="1">
      <c r="M596" s="45"/>
    </row>
    <row r="597" ht="15.75" customHeight="1">
      <c r="M597" s="45"/>
    </row>
    <row r="598" ht="15.75" customHeight="1">
      <c r="M598" s="45"/>
    </row>
    <row r="599" ht="15.75" customHeight="1">
      <c r="M599" s="45"/>
    </row>
    <row r="600" ht="15.75" customHeight="1">
      <c r="M600" s="45"/>
    </row>
    <row r="601" ht="15.75" customHeight="1">
      <c r="M601" s="45"/>
    </row>
    <row r="602" ht="15.75" customHeight="1">
      <c r="M602" s="45"/>
    </row>
    <row r="603" ht="15.75" customHeight="1">
      <c r="M603" s="45"/>
    </row>
    <row r="604" ht="15.75" customHeight="1">
      <c r="M604" s="45"/>
    </row>
    <row r="605" ht="15.75" customHeight="1">
      <c r="M605" s="45"/>
    </row>
    <row r="606" ht="15.75" customHeight="1">
      <c r="M606" s="45"/>
    </row>
    <row r="607" ht="15.75" customHeight="1">
      <c r="M607" s="45"/>
    </row>
    <row r="608" ht="15.75" customHeight="1">
      <c r="M608" s="45"/>
    </row>
    <row r="609" ht="15.75" customHeight="1">
      <c r="M609" s="45"/>
    </row>
    <row r="610" ht="15.75" customHeight="1">
      <c r="M610" s="45"/>
    </row>
    <row r="611" ht="15.75" customHeight="1">
      <c r="M611" s="45"/>
    </row>
    <row r="612" ht="15.75" customHeight="1">
      <c r="M612" s="45"/>
    </row>
    <row r="613" ht="15.75" customHeight="1">
      <c r="M613" s="45"/>
    </row>
    <row r="614" ht="15.75" customHeight="1">
      <c r="M614" s="45"/>
    </row>
    <row r="615" ht="15.75" customHeight="1">
      <c r="M615" s="45"/>
    </row>
    <row r="616" ht="15.75" customHeight="1">
      <c r="M616" s="45"/>
    </row>
    <row r="617" ht="15.75" customHeight="1">
      <c r="M617" s="45"/>
    </row>
    <row r="618" ht="15.75" customHeight="1">
      <c r="M618" s="45"/>
    </row>
    <row r="619" ht="15.75" customHeight="1">
      <c r="M619" s="45"/>
    </row>
    <row r="620" ht="15.75" customHeight="1">
      <c r="M620" s="45"/>
    </row>
    <row r="621" ht="15.75" customHeight="1">
      <c r="M621" s="45"/>
    </row>
    <row r="622" ht="15.75" customHeight="1">
      <c r="M622" s="45"/>
    </row>
    <row r="623" ht="15.75" customHeight="1">
      <c r="M623" s="45"/>
    </row>
    <row r="624" ht="15.75" customHeight="1">
      <c r="M624" s="45"/>
    </row>
    <row r="625" ht="15.75" customHeight="1">
      <c r="M625" s="45"/>
    </row>
    <row r="626" ht="15.75" customHeight="1">
      <c r="M626" s="45"/>
    </row>
    <row r="627" ht="15.75" customHeight="1">
      <c r="M627" s="45"/>
    </row>
    <row r="628" ht="15.75" customHeight="1">
      <c r="M628" s="45"/>
    </row>
    <row r="629" ht="15.75" customHeight="1">
      <c r="M629" s="45"/>
    </row>
    <row r="630" ht="15.75" customHeight="1">
      <c r="M630" s="45"/>
    </row>
    <row r="631" ht="15.75" customHeight="1">
      <c r="M631" s="45"/>
    </row>
    <row r="632" ht="15.75" customHeight="1">
      <c r="M632" s="45"/>
    </row>
    <row r="633" ht="15.75" customHeight="1">
      <c r="M633" s="45"/>
    </row>
    <row r="634" ht="15.75" customHeight="1">
      <c r="M634" s="45"/>
    </row>
    <row r="635" ht="15.75" customHeight="1">
      <c r="M635" s="45"/>
    </row>
    <row r="636" ht="15.75" customHeight="1">
      <c r="M636" s="45"/>
    </row>
    <row r="637" ht="15.75" customHeight="1">
      <c r="M637" s="45"/>
    </row>
    <row r="638" ht="15.75" customHeight="1">
      <c r="M638" s="45"/>
    </row>
    <row r="639" ht="15.75" customHeight="1">
      <c r="M639" s="45"/>
    </row>
    <row r="640" ht="15.75" customHeight="1">
      <c r="M640" s="45"/>
    </row>
    <row r="641" ht="15.75" customHeight="1">
      <c r="M641" s="45"/>
    </row>
    <row r="642" ht="15.75" customHeight="1">
      <c r="M642" s="45"/>
    </row>
    <row r="643" ht="15.75" customHeight="1">
      <c r="M643" s="45"/>
    </row>
    <row r="644" ht="15.75" customHeight="1">
      <c r="M644" s="45"/>
    </row>
    <row r="645" ht="15.75" customHeight="1">
      <c r="M645" s="45"/>
    </row>
    <row r="646" ht="15.75" customHeight="1">
      <c r="M646" s="45"/>
    </row>
    <row r="647" ht="15.75" customHeight="1">
      <c r="M647" s="45"/>
    </row>
    <row r="648" ht="15.75" customHeight="1">
      <c r="M648" s="45"/>
    </row>
    <row r="649" ht="15.75" customHeight="1">
      <c r="M649" s="45"/>
    </row>
    <row r="650" ht="15.75" customHeight="1">
      <c r="M650" s="45"/>
    </row>
    <row r="651" ht="15.75" customHeight="1">
      <c r="M651" s="45"/>
    </row>
    <row r="652" ht="15.75" customHeight="1">
      <c r="M652" s="45"/>
    </row>
    <row r="653" ht="15.75" customHeight="1">
      <c r="M653" s="45"/>
    </row>
    <row r="654" ht="15.75" customHeight="1">
      <c r="M654" s="45"/>
    </row>
    <row r="655" ht="15.75" customHeight="1">
      <c r="M655" s="45"/>
    </row>
    <row r="656" ht="15.75" customHeight="1">
      <c r="M656" s="45"/>
    </row>
    <row r="657" ht="15.75" customHeight="1">
      <c r="M657" s="45"/>
    </row>
    <row r="658" ht="15.75" customHeight="1">
      <c r="M658" s="45"/>
    </row>
    <row r="659" ht="15.75" customHeight="1">
      <c r="M659" s="45"/>
    </row>
    <row r="660" ht="15.75" customHeight="1">
      <c r="M660" s="45"/>
    </row>
    <row r="661" ht="15.75" customHeight="1">
      <c r="M661" s="45"/>
    </row>
    <row r="662" ht="15.75" customHeight="1">
      <c r="M662" s="45"/>
    </row>
    <row r="663" ht="15.75" customHeight="1">
      <c r="M663" s="45"/>
    </row>
    <row r="664" ht="15.75" customHeight="1">
      <c r="M664" s="45"/>
    </row>
    <row r="665" ht="15.75" customHeight="1">
      <c r="M665" s="45"/>
    </row>
    <row r="666" ht="15.75" customHeight="1">
      <c r="M666" s="45"/>
    </row>
    <row r="667" ht="15.75" customHeight="1">
      <c r="M667" s="45"/>
    </row>
    <row r="668" ht="15.75" customHeight="1">
      <c r="M668" s="45"/>
    </row>
    <row r="669" ht="15.75" customHeight="1">
      <c r="M669" s="45"/>
    </row>
    <row r="670" ht="15.75" customHeight="1">
      <c r="M670" s="45"/>
    </row>
    <row r="671" ht="15.75" customHeight="1">
      <c r="M671" s="45"/>
    </row>
    <row r="672" ht="15.75" customHeight="1">
      <c r="M672" s="45"/>
    </row>
    <row r="673" ht="15.75" customHeight="1">
      <c r="M673" s="45"/>
    </row>
    <row r="674" ht="15.75" customHeight="1">
      <c r="M674" s="45"/>
    </row>
    <row r="675" ht="15.75" customHeight="1">
      <c r="M675" s="45"/>
    </row>
    <row r="676" ht="15.75" customHeight="1">
      <c r="M676" s="45"/>
    </row>
    <row r="677" ht="15.75" customHeight="1">
      <c r="M677" s="45"/>
    </row>
    <row r="678" ht="15.75" customHeight="1">
      <c r="M678" s="45"/>
    </row>
    <row r="679" ht="15.75" customHeight="1">
      <c r="M679" s="45"/>
    </row>
    <row r="680" ht="15.75" customHeight="1">
      <c r="M680" s="45"/>
    </row>
    <row r="681" ht="15.75" customHeight="1">
      <c r="M681" s="45"/>
    </row>
    <row r="682" ht="15.75" customHeight="1">
      <c r="M682" s="45"/>
    </row>
    <row r="683" ht="15.75" customHeight="1">
      <c r="M683" s="45"/>
    </row>
    <row r="684" ht="15.75" customHeight="1">
      <c r="M684" s="45"/>
    </row>
    <row r="685" ht="15.75" customHeight="1">
      <c r="M685" s="45"/>
    </row>
    <row r="686" ht="15.75" customHeight="1">
      <c r="M686" s="45"/>
    </row>
    <row r="687" ht="15.75" customHeight="1">
      <c r="M687" s="45"/>
    </row>
    <row r="688" ht="15.75" customHeight="1">
      <c r="M688" s="45"/>
    </row>
    <row r="689" ht="15.75" customHeight="1">
      <c r="M689" s="45"/>
    </row>
    <row r="690" ht="15.75" customHeight="1">
      <c r="M690" s="45"/>
    </row>
    <row r="691" ht="15.75" customHeight="1">
      <c r="M691" s="45"/>
    </row>
    <row r="692" ht="15.75" customHeight="1">
      <c r="M692" s="45"/>
    </row>
    <row r="693" ht="15.75" customHeight="1">
      <c r="M693" s="45"/>
    </row>
    <row r="694" ht="15.75" customHeight="1">
      <c r="M694" s="45"/>
    </row>
    <row r="695" ht="15.75" customHeight="1">
      <c r="M695" s="45"/>
    </row>
    <row r="696" ht="15.75" customHeight="1">
      <c r="M696" s="45"/>
    </row>
    <row r="697" ht="15.75" customHeight="1">
      <c r="M697" s="45"/>
    </row>
    <row r="698" ht="15.75" customHeight="1">
      <c r="M698" s="45"/>
    </row>
    <row r="699" ht="15.75" customHeight="1">
      <c r="M699" s="45"/>
    </row>
    <row r="700" ht="15.75" customHeight="1">
      <c r="M700" s="45"/>
    </row>
    <row r="701" ht="15.75" customHeight="1">
      <c r="M701" s="45"/>
    </row>
    <row r="702" ht="15.75" customHeight="1">
      <c r="M702" s="45"/>
    </row>
    <row r="703" ht="15.75" customHeight="1">
      <c r="M703" s="45"/>
    </row>
    <row r="704" ht="15.75" customHeight="1">
      <c r="M704" s="45"/>
    </row>
    <row r="705" ht="15.75" customHeight="1">
      <c r="M705" s="45"/>
    </row>
    <row r="706" ht="15.75" customHeight="1">
      <c r="M706" s="45"/>
    </row>
    <row r="707" ht="15.75" customHeight="1">
      <c r="M707" s="45"/>
    </row>
    <row r="708" ht="15.75" customHeight="1">
      <c r="M708" s="45"/>
    </row>
    <row r="709" ht="15.75" customHeight="1">
      <c r="M709" s="45"/>
    </row>
    <row r="710" ht="15.75" customHeight="1">
      <c r="M710" s="45"/>
    </row>
    <row r="711" ht="15.75" customHeight="1">
      <c r="M711" s="45"/>
    </row>
    <row r="712" ht="15.75" customHeight="1">
      <c r="M712" s="45"/>
    </row>
    <row r="713" ht="15.75" customHeight="1">
      <c r="M713" s="45"/>
    </row>
    <row r="714" ht="15.75" customHeight="1">
      <c r="M714" s="45"/>
    </row>
    <row r="715" ht="15.75" customHeight="1">
      <c r="M715" s="45"/>
    </row>
    <row r="716" ht="15.75" customHeight="1">
      <c r="M716" s="45"/>
    </row>
    <row r="717" ht="15.75" customHeight="1">
      <c r="M717" s="45"/>
    </row>
    <row r="718" ht="15.75" customHeight="1">
      <c r="M718" s="45"/>
    </row>
    <row r="719" ht="15.75" customHeight="1">
      <c r="M719" s="45"/>
    </row>
    <row r="720" ht="15.75" customHeight="1">
      <c r="M720" s="45"/>
    </row>
    <row r="721" ht="15.75" customHeight="1">
      <c r="M721" s="45"/>
    </row>
    <row r="722" ht="15.75" customHeight="1">
      <c r="M722" s="45"/>
    </row>
    <row r="723" ht="15.75" customHeight="1">
      <c r="M723" s="45"/>
    </row>
    <row r="724" ht="15.75" customHeight="1">
      <c r="M724" s="45"/>
    </row>
    <row r="725" ht="15.75" customHeight="1">
      <c r="M725" s="45"/>
    </row>
    <row r="726" ht="15.75" customHeight="1">
      <c r="M726" s="45"/>
    </row>
    <row r="727" ht="15.75" customHeight="1">
      <c r="M727" s="45"/>
    </row>
    <row r="728" ht="15.75" customHeight="1">
      <c r="M728" s="45"/>
    </row>
    <row r="729" ht="15.75" customHeight="1">
      <c r="M729" s="45"/>
    </row>
    <row r="730" ht="15.75" customHeight="1">
      <c r="M730" s="45"/>
    </row>
    <row r="731" ht="15.75" customHeight="1">
      <c r="M731" s="45"/>
    </row>
    <row r="732" ht="15.75" customHeight="1">
      <c r="M732" s="45"/>
    </row>
    <row r="733" ht="15.75" customHeight="1">
      <c r="M733" s="45"/>
    </row>
    <row r="734" ht="15.75" customHeight="1">
      <c r="M734" s="45"/>
    </row>
    <row r="735" ht="15.75" customHeight="1">
      <c r="M735" s="45"/>
    </row>
    <row r="736" ht="15.75" customHeight="1">
      <c r="M736" s="45"/>
    </row>
    <row r="737" ht="15.75" customHeight="1">
      <c r="M737" s="45"/>
    </row>
    <row r="738" ht="15.75" customHeight="1">
      <c r="M738" s="45"/>
    </row>
    <row r="739" ht="15.75" customHeight="1">
      <c r="M739" s="45"/>
    </row>
    <row r="740" ht="15.75" customHeight="1">
      <c r="M740" s="45"/>
    </row>
    <row r="741" ht="15.75" customHeight="1">
      <c r="M741" s="45"/>
    </row>
    <row r="742" ht="15.75" customHeight="1">
      <c r="M742" s="45"/>
    </row>
    <row r="743" ht="15.75" customHeight="1">
      <c r="M743" s="45"/>
    </row>
    <row r="744" ht="15.75" customHeight="1">
      <c r="M744" s="45"/>
    </row>
    <row r="745" ht="15.75" customHeight="1">
      <c r="M745" s="45"/>
    </row>
    <row r="746" ht="15.75" customHeight="1">
      <c r="M746" s="45"/>
    </row>
    <row r="747" ht="15.75" customHeight="1">
      <c r="M747" s="45"/>
    </row>
    <row r="748" ht="15.75" customHeight="1">
      <c r="M748" s="45"/>
    </row>
    <row r="749" ht="15.75" customHeight="1">
      <c r="M749" s="45"/>
    </row>
    <row r="750" ht="15.75" customHeight="1">
      <c r="M750" s="45"/>
    </row>
    <row r="751" ht="15.75" customHeight="1">
      <c r="M751" s="45"/>
    </row>
    <row r="752" ht="15.75" customHeight="1">
      <c r="M752" s="45"/>
    </row>
    <row r="753" ht="15.75" customHeight="1">
      <c r="M753" s="45"/>
    </row>
    <row r="754" ht="15.75" customHeight="1">
      <c r="M754" s="45"/>
    </row>
    <row r="755" ht="15.75" customHeight="1">
      <c r="M755" s="45"/>
    </row>
    <row r="756" ht="15.75" customHeight="1">
      <c r="M756" s="45"/>
    </row>
    <row r="757" ht="15.75" customHeight="1">
      <c r="M757" s="45"/>
    </row>
    <row r="758" ht="15.75" customHeight="1">
      <c r="M758" s="45"/>
    </row>
    <row r="759" ht="15.75" customHeight="1">
      <c r="M759" s="45"/>
    </row>
    <row r="760" ht="15.75" customHeight="1">
      <c r="M760" s="45"/>
    </row>
    <row r="761" ht="15.75" customHeight="1">
      <c r="M761" s="45"/>
    </row>
    <row r="762" ht="15.75" customHeight="1">
      <c r="M762" s="45"/>
    </row>
    <row r="763" ht="15.75" customHeight="1">
      <c r="M763" s="45"/>
    </row>
    <row r="764" ht="15.75" customHeight="1">
      <c r="M764" s="45"/>
    </row>
    <row r="765" ht="15.75" customHeight="1">
      <c r="M765" s="45"/>
    </row>
    <row r="766" ht="15.75" customHeight="1">
      <c r="M766" s="45"/>
    </row>
    <row r="767" ht="15.75" customHeight="1">
      <c r="M767" s="45"/>
    </row>
    <row r="768" ht="15.75" customHeight="1">
      <c r="M768" s="45"/>
    </row>
    <row r="769" ht="15.75" customHeight="1">
      <c r="M769" s="45"/>
    </row>
    <row r="770" ht="15.75" customHeight="1">
      <c r="M770" s="45"/>
    </row>
    <row r="771" ht="15.75" customHeight="1">
      <c r="M771" s="45"/>
    </row>
    <row r="772" ht="15.75" customHeight="1">
      <c r="M772" s="45"/>
    </row>
    <row r="773" ht="15.75" customHeight="1">
      <c r="M773" s="45"/>
    </row>
    <row r="774" ht="15.75" customHeight="1">
      <c r="M774" s="45"/>
    </row>
    <row r="775" ht="15.75" customHeight="1">
      <c r="M775" s="45"/>
    </row>
    <row r="776" ht="15.75" customHeight="1">
      <c r="M776" s="45"/>
    </row>
    <row r="777" ht="15.75" customHeight="1">
      <c r="M777" s="45"/>
    </row>
    <row r="778" ht="15.75" customHeight="1">
      <c r="M778" s="45"/>
    </row>
    <row r="779" ht="15.75" customHeight="1">
      <c r="M779" s="45"/>
    </row>
    <row r="780" ht="15.75" customHeight="1">
      <c r="M780" s="45"/>
    </row>
    <row r="781" ht="15.75" customHeight="1">
      <c r="M781" s="45"/>
    </row>
    <row r="782" ht="15.75" customHeight="1">
      <c r="M782" s="45"/>
    </row>
    <row r="783" ht="15.75" customHeight="1">
      <c r="M783" s="45"/>
    </row>
    <row r="784" ht="15.75" customHeight="1">
      <c r="M784" s="45"/>
    </row>
    <row r="785" ht="15.75" customHeight="1">
      <c r="M785" s="45"/>
    </row>
    <row r="786" ht="15.75" customHeight="1">
      <c r="M786" s="45"/>
    </row>
    <row r="787" ht="15.75" customHeight="1">
      <c r="M787" s="45"/>
    </row>
    <row r="788" ht="15.75" customHeight="1">
      <c r="M788" s="45"/>
    </row>
    <row r="789" ht="15.75" customHeight="1">
      <c r="M789" s="45"/>
    </row>
    <row r="790" ht="15.75" customHeight="1">
      <c r="M790" s="45"/>
    </row>
    <row r="791" ht="15.75" customHeight="1">
      <c r="M791" s="45"/>
    </row>
    <row r="792" ht="15.75" customHeight="1">
      <c r="M792" s="45"/>
    </row>
    <row r="793" ht="15.75" customHeight="1">
      <c r="M793" s="45"/>
    </row>
    <row r="794" ht="15.75" customHeight="1">
      <c r="M794" s="45"/>
    </row>
    <row r="795" ht="15.75" customHeight="1">
      <c r="M795" s="45"/>
    </row>
    <row r="796" ht="15.75" customHeight="1">
      <c r="M796" s="45"/>
    </row>
    <row r="797" ht="15.75" customHeight="1">
      <c r="M797" s="45"/>
    </row>
    <row r="798" ht="15.75" customHeight="1">
      <c r="M798" s="45"/>
    </row>
    <row r="799" ht="15.75" customHeight="1">
      <c r="M799" s="45"/>
    </row>
    <row r="800" ht="15.75" customHeight="1">
      <c r="M800" s="45"/>
    </row>
    <row r="801" ht="15.75" customHeight="1">
      <c r="M801" s="45"/>
    </row>
    <row r="802" ht="15.75" customHeight="1">
      <c r="M802" s="45"/>
    </row>
    <row r="803" ht="15.75" customHeight="1">
      <c r="M803" s="45"/>
    </row>
    <row r="804" ht="15.75" customHeight="1">
      <c r="M804" s="45"/>
    </row>
    <row r="805" ht="15.75" customHeight="1">
      <c r="M805" s="45"/>
    </row>
    <row r="806" ht="15.75" customHeight="1">
      <c r="M806" s="45"/>
    </row>
    <row r="807" ht="15.75" customHeight="1">
      <c r="M807" s="45"/>
    </row>
    <row r="808" ht="15.75" customHeight="1">
      <c r="M808" s="45"/>
    </row>
    <row r="809" ht="15.75" customHeight="1">
      <c r="M809" s="45"/>
    </row>
    <row r="810" ht="15.75" customHeight="1">
      <c r="M810" s="45"/>
    </row>
    <row r="811" ht="15.75" customHeight="1">
      <c r="M811" s="45"/>
    </row>
    <row r="812" ht="15.75" customHeight="1">
      <c r="M812" s="45"/>
    </row>
    <row r="813" ht="15.75" customHeight="1">
      <c r="M813" s="45"/>
    </row>
    <row r="814" ht="15.75" customHeight="1">
      <c r="M814" s="45"/>
    </row>
    <row r="815" ht="15.75" customHeight="1">
      <c r="M815" s="45"/>
    </row>
    <row r="816" ht="15.75" customHeight="1">
      <c r="M816" s="45"/>
    </row>
    <row r="817" ht="15.75" customHeight="1">
      <c r="M817" s="45"/>
    </row>
    <row r="818" ht="15.75" customHeight="1">
      <c r="M818" s="45"/>
    </row>
    <row r="819" ht="15.75" customHeight="1">
      <c r="M819" s="45"/>
    </row>
    <row r="820" ht="15.75" customHeight="1">
      <c r="M820" s="45"/>
    </row>
    <row r="821" ht="15.75" customHeight="1">
      <c r="M821" s="45"/>
    </row>
    <row r="822" ht="15.75" customHeight="1">
      <c r="M822" s="45"/>
    </row>
    <row r="823" ht="15.75" customHeight="1">
      <c r="M823" s="45"/>
    </row>
    <row r="824" ht="15.75" customHeight="1">
      <c r="M824" s="45"/>
    </row>
    <row r="825" ht="15.75" customHeight="1">
      <c r="M825" s="45"/>
    </row>
    <row r="826" ht="15.75" customHeight="1">
      <c r="M826" s="45"/>
    </row>
    <row r="827" ht="15.75" customHeight="1">
      <c r="M827" s="45"/>
    </row>
    <row r="828" ht="15.75" customHeight="1">
      <c r="M828" s="45"/>
    </row>
    <row r="829" ht="15.75" customHeight="1">
      <c r="M829" s="45"/>
    </row>
    <row r="830" ht="15.75" customHeight="1">
      <c r="M830" s="45"/>
    </row>
    <row r="831" ht="15.75" customHeight="1">
      <c r="M831" s="45"/>
    </row>
    <row r="832" ht="15.75" customHeight="1">
      <c r="M832" s="45"/>
    </row>
    <row r="833" ht="15.75" customHeight="1">
      <c r="M833" s="45"/>
    </row>
    <row r="834" ht="15.75" customHeight="1">
      <c r="M834" s="45"/>
    </row>
    <row r="835" ht="15.75" customHeight="1">
      <c r="M835" s="45"/>
    </row>
    <row r="836" ht="15.75" customHeight="1">
      <c r="M836" s="45"/>
    </row>
    <row r="837" ht="15.75" customHeight="1">
      <c r="M837" s="45"/>
    </row>
    <row r="838" ht="15.75" customHeight="1">
      <c r="M838" s="45"/>
    </row>
    <row r="839" ht="15.75" customHeight="1">
      <c r="M839" s="45"/>
    </row>
    <row r="840" ht="15.75" customHeight="1">
      <c r="M840" s="45"/>
    </row>
    <row r="841" ht="15.75" customHeight="1">
      <c r="M841" s="45"/>
    </row>
    <row r="842" ht="15.75" customHeight="1">
      <c r="M842" s="45"/>
    </row>
    <row r="843" ht="15.75" customHeight="1">
      <c r="M843" s="45"/>
    </row>
    <row r="844" ht="15.75" customHeight="1">
      <c r="M844" s="45"/>
    </row>
    <row r="845" ht="15.75" customHeight="1">
      <c r="M845" s="45"/>
    </row>
    <row r="846" ht="15.75" customHeight="1">
      <c r="M846" s="45"/>
    </row>
    <row r="847" ht="15.75" customHeight="1">
      <c r="M847" s="45"/>
    </row>
    <row r="848" ht="15.75" customHeight="1">
      <c r="M848" s="45"/>
    </row>
    <row r="849" ht="15.75" customHeight="1">
      <c r="M849" s="45"/>
    </row>
    <row r="850" ht="15.75" customHeight="1">
      <c r="M850" s="45"/>
    </row>
    <row r="851" ht="15.75" customHeight="1">
      <c r="M851" s="45"/>
    </row>
    <row r="852" ht="15.75" customHeight="1">
      <c r="M852" s="45"/>
    </row>
    <row r="853" ht="15.75" customHeight="1">
      <c r="M853" s="45"/>
    </row>
    <row r="854" ht="15.75" customHeight="1">
      <c r="M854" s="45"/>
    </row>
    <row r="855" ht="15.75" customHeight="1">
      <c r="M855" s="45"/>
    </row>
    <row r="856" ht="15.75" customHeight="1">
      <c r="M856" s="45"/>
    </row>
    <row r="857" ht="15.75" customHeight="1">
      <c r="M857" s="45"/>
    </row>
    <row r="858" ht="15.75" customHeight="1">
      <c r="M858" s="45"/>
    </row>
    <row r="859" ht="15.75" customHeight="1">
      <c r="M859" s="45"/>
    </row>
    <row r="860" ht="15.75" customHeight="1">
      <c r="M860" s="45"/>
    </row>
    <row r="861" ht="15.75" customHeight="1">
      <c r="M861" s="45"/>
    </row>
    <row r="862" ht="15.75" customHeight="1">
      <c r="M862" s="45"/>
    </row>
    <row r="863" ht="15.75" customHeight="1">
      <c r="M863" s="45"/>
    </row>
    <row r="864" ht="15.75" customHeight="1">
      <c r="M864" s="45"/>
    </row>
    <row r="865" ht="15.75" customHeight="1">
      <c r="M865" s="45"/>
    </row>
    <row r="866" ht="15.75" customHeight="1">
      <c r="M866" s="45"/>
    </row>
    <row r="867" ht="15.75" customHeight="1">
      <c r="M867" s="45"/>
    </row>
    <row r="868" ht="15.75" customHeight="1">
      <c r="M868" s="45"/>
    </row>
    <row r="869" ht="15.75" customHeight="1">
      <c r="M869" s="45"/>
    </row>
    <row r="870" ht="15.75" customHeight="1">
      <c r="M870" s="45"/>
    </row>
    <row r="871" ht="15.75" customHeight="1">
      <c r="M871" s="45"/>
    </row>
    <row r="872" ht="15.75" customHeight="1">
      <c r="M872" s="45"/>
    </row>
    <row r="873" ht="15.75" customHeight="1">
      <c r="M873" s="45"/>
    </row>
    <row r="874" ht="15.75" customHeight="1">
      <c r="M874" s="45"/>
    </row>
    <row r="875" ht="15.75" customHeight="1">
      <c r="M875" s="45"/>
    </row>
    <row r="876" ht="15.75" customHeight="1">
      <c r="M876" s="45"/>
    </row>
    <row r="877" ht="15.75" customHeight="1">
      <c r="M877" s="45"/>
    </row>
    <row r="878" ht="15.75" customHeight="1">
      <c r="M878" s="45"/>
    </row>
    <row r="879" ht="15.75" customHeight="1">
      <c r="M879" s="45"/>
    </row>
    <row r="880" ht="15.75" customHeight="1">
      <c r="M880" s="45"/>
    </row>
    <row r="881" ht="15.75" customHeight="1">
      <c r="M881" s="45"/>
    </row>
    <row r="882" ht="15.75" customHeight="1">
      <c r="M882" s="45"/>
    </row>
    <row r="883" ht="15.75" customHeight="1">
      <c r="M883" s="45"/>
    </row>
    <row r="884" ht="15.75" customHeight="1">
      <c r="M884" s="45"/>
    </row>
    <row r="885" ht="15.75" customHeight="1">
      <c r="M885" s="45"/>
    </row>
    <row r="886" ht="15.75" customHeight="1">
      <c r="M886" s="45"/>
    </row>
    <row r="887" ht="15.75" customHeight="1">
      <c r="M887" s="45"/>
    </row>
    <row r="888" ht="15.75" customHeight="1">
      <c r="M888" s="45"/>
    </row>
    <row r="889" ht="15.75" customHeight="1">
      <c r="M889" s="45"/>
    </row>
    <row r="890" ht="15.75" customHeight="1">
      <c r="M890" s="45"/>
    </row>
    <row r="891" ht="15.75" customHeight="1">
      <c r="M891" s="45"/>
    </row>
    <row r="892" ht="15.75" customHeight="1">
      <c r="M892" s="45"/>
    </row>
    <row r="893" ht="15.75" customHeight="1">
      <c r="M893" s="45"/>
    </row>
    <row r="894" ht="15.75" customHeight="1">
      <c r="M894" s="45"/>
    </row>
    <row r="895" ht="15.75" customHeight="1">
      <c r="M895" s="45"/>
    </row>
    <row r="896" ht="15.75" customHeight="1">
      <c r="M896" s="45"/>
    </row>
    <row r="897" ht="15.75" customHeight="1">
      <c r="M897" s="45"/>
    </row>
    <row r="898" ht="15.75" customHeight="1">
      <c r="M898" s="45"/>
    </row>
    <row r="899" ht="15.75" customHeight="1">
      <c r="M899" s="45"/>
    </row>
    <row r="900" ht="15.75" customHeight="1">
      <c r="M900" s="45"/>
    </row>
    <row r="901" ht="15.75" customHeight="1">
      <c r="M901" s="45"/>
    </row>
    <row r="902" ht="15.75" customHeight="1">
      <c r="M902" s="45"/>
    </row>
    <row r="903" ht="15.75" customHeight="1">
      <c r="M903" s="45"/>
    </row>
    <row r="904" ht="15.75" customHeight="1">
      <c r="M904" s="45"/>
    </row>
    <row r="905" ht="15.75" customHeight="1">
      <c r="M905" s="45"/>
    </row>
    <row r="906" ht="15.75" customHeight="1">
      <c r="M906" s="45"/>
    </row>
    <row r="907" ht="15.75" customHeight="1">
      <c r="M907" s="45"/>
    </row>
    <row r="908" ht="15.75" customHeight="1">
      <c r="M908" s="45"/>
    </row>
    <row r="909" ht="15.75" customHeight="1">
      <c r="M909" s="45"/>
    </row>
    <row r="910" ht="15.75" customHeight="1">
      <c r="M910" s="45"/>
    </row>
    <row r="911" ht="15.75" customHeight="1">
      <c r="M911" s="45"/>
    </row>
    <row r="912" ht="15.75" customHeight="1">
      <c r="M912" s="45"/>
    </row>
    <row r="913" ht="15.75" customHeight="1">
      <c r="M913" s="45"/>
    </row>
    <row r="914" ht="15.75" customHeight="1">
      <c r="M914" s="45"/>
    </row>
    <row r="915" ht="15.75" customHeight="1">
      <c r="M915" s="45"/>
    </row>
    <row r="916" ht="15.75" customHeight="1">
      <c r="M916" s="45"/>
    </row>
    <row r="917" ht="15.75" customHeight="1">
      <c r="M917" s="45"/>
    </row>
    <row r="918" ht="15.75" customHeight="1">
      <c r="M918" s="45"/>
    </row>
    <row r="919" ht="15.75" customHeight="1">
      <c r="M919" s="45"/>
    </row>
    <row r="920" ht="15.75" customHeight="1">
      <c r="M920" s="45"/>
    </row>
    <row r="921" ht="15.75" customHeight="1">
      <c r="M921" s="45"/>
    </row>
    <row r="922" ht="15.75" customHeight="1">
      <c r="M922" s="45"/>
    </row>
    <row r="923" ht="15.75" customHeight="1">
      <c r="M923" s="45"/>
    </row>
    <row r="924" ht="15.75" customHeight="1">
      <c r="M924" s="45"/>
    </row>
    <row r="925" ht="15.75" customHeight="1">
      <c r="M925" s="45"/>
    </row>
    <row r="926" ht="15.75" customHeight="1">
      <c r="M926" s="45"/>
    </row>
    <row r="927" ht="15.75" customHeight="1">
      <c r="M927" s="45"/>
    </row>
    <row r="928" ht="15.75" customHeight="1">
      <c r="M928" s="45"/>
    </row>
    <row r="929" ht="15.75" customHeight="1">
      <c r="M929" s="45"/>
    </row>
    <row r="930" ht="15.75" customHeight="1">
      <c r="M930" s="45"/>
    </row>
    <row r="931" ht="15.75" customHeight="1">
      <c r="M931" s="45"/>
    </row>
    <row r="932" ht="15.75" customHeight="1">
      <c r="M932" s="45"/>
    </row>
    <row r="933" ht="15.75" customHeight="1">
      <c r="M933" s="45"/>
    </row>
    <row r="934" ht="15.75" customHeight="1">
      <c r="M934" s="45"/>
    </row>
    <row r="935" ht="15.75" customHeight="1">
      <c r="M935" s="45"/>
    </row>
    <row r="936" ht="15.75" customHeight="1">
      <c r="M936" s="45"/>
    </row>
    <row r="937" ht="15.75" customHeight="1">
      <c r="M937" s="45"/>
    </row>
    <row r="938" ht="15.75" customHeight="1">
      <c r="M938" s="45"/>
    </row>
    <row r="939" ht="15.75" customHeight="1">
      <c r="M939" s="45"/>
    </row>
    <row r="940" ht="15.75" customHeight="1">
      <c r="M940" s="45"/>
    </row>
    <row r="941" ht="15.75" customHeight="1">
      <c r="M941" s="45"/>
    </row>
    <row r="942" ht="15.75" customHeight="1">
      <c r="M942" s="45"/>
    </row>
    <row r="943" ht="15.75" customHeight="1">
      <c r="M943" s="45"/>
    </row>
    <row r="944" ht="15.75" customHeight="1">
      <c r="M944" s="45"/>
    </row>
    <row r="945" ht="15.75" customHeight="1">
      <c r="M945" s="45"/>
    </row>
    <row r="946" ht="15.75" customHeight="1">
      <c r="M946" s="45"/>
    </row>
    <row r="947" ht="15.75" customHeight="1">
      <c r="M947" s="45"/>
    </row>
    <row r="948" ht="15.75" customHeight="1">
      <c r="M948" s="45"/>
    </row>
    <row r="949" ht="15.75" customHeight="1">
      <c r="M949" s="45"/>
    </row>
    <row r="950" ht="15.75" customHeight="1">
      <c r="M950" s="45"/>
    </row>
    <row r="951" ht="15.75" customHeight="1">
      <c r="M951" s="45"/>
    </row>
    <row r="952" ht="15.75" customHeight="1">
      <c r="M952" s="45"/>
    </row>
    <row r="953" ht="15.75" customHeight="1">
      <c r="M953" s="45"/>
    </row>
    <row r="954" ht="15.75" customHeight="1">
      <c r="M954" s="45"/>
    </row>
    <row r="955" ht="15.75" customHeight="1">
      <c r="M955" s="45"/>
    </row>
    <row r="956" ht="15.75" customHeight="1">
      <c r="M956" s="45"/>
    </row>
    <row r="957" ht="15.75" customHeight="1">
      <c r="M957" s="45"/>
    </row>
    <row r="958" ht="15.75" customHeight="1">
      <c r="M958" s="45"/>
    </row>
    <row r="959" ht="15.75" customHeight="1">
      <c r="M959" s="45"/>
    </row>
    <row r="960" ht="15.75" customHeight="1">
      <c r="M960" s="45"/>
    </row>
    <row r="961" ht="15.75" customHeight="1">
      <c r="M961" s="45"/>
    </row>
    <row r="962" ht="15.75" customHeight="1">
      <c r="M962" s="45"/>
    </row>
    <row r="963" ht="15.75" customHeight="1">
      <c r="M963" s="45"/>
    </row>
    <row r="964" ht="15.75" customHeight="1">
      <c r="M964" s="45"/>
    </row>
    <row r="965" ht="15.75" customHeight="1">
      <c r="M965" s="45"/>
    </row>
    <row r="966" ht="15.75" customHeight="1">
      <c r="M966" s="45"/>
    </row>
    <row r="967" ht="15.75" customHeight="1">
      <c r="M967" s="45"/>
    </row>
    <row r="968" ht="15.75" customHeight="1">
      <c r="M968" s="45"/>
    </row>
    <row r="969" ht="15.75" customHeight="1">
      <c r="M969" s="45"/>
    </row>
    <row r="970" ht="15.75" customHeight="1">
      <c r="M970" s="45"/>
    </row>
    <row r="971" ht="15.75" customHeight="1">
      <c r="M971" s="45"/>
    </row>
    <row r="972" ht="15.75" customHeight="1">
      <c r="M972" s="45"/>
    </row>
    <row r="973" ht="15.75" customHeight="1">
      <c r="M973" s="45"/>
    </row>
    <row r="974" ht="15.75" customHeight="1">
      <c r="M974" s="45"/>
    </row>
    <row r="975" ht="15.75" customHeight="1">
      <c r="M975" s="45"/>
    </row>
    <row r="976" ht="15.75" customHeight="1">
      <c r="M976" s="45"/>
    </row>
    <row r="977" ht="15.75" customHeight="1">
      <c r="M977" s="45"/>
    </row>
    <row r="978" ht="15.75" customHeight="1">
      <c r="M978" s="45"/>
    </row>
    <row r="979" ht="15.75" customHeight="1">
      <c r="M979" s="45"/>
    </row>
    <row r="980" ht="15.75" customHeight="1">
      <c r="M980" s="45"/>
    </row>
    <row r="981" ht="15.75" customHeight="1">
      <c r="M981" s="45"/>
    </row>
    <row r="982" ht="15.75" customHeight="1">
      <c r="M982" s="45"/>
    </row>
    <row r="983" ht="15.75" customHeight="1">
      <c r="M983" s="45"/>
    </row>
    <row r="984" ht="15.75" customHeight="1">
      <c r="M984" s="45"/>
    </row>
    <row r="985" ht="15.75" customHeight="1">
      <c r="M985" s="45"/>
    </row>
    <row r="986" ht="15.75" customHeight="1">
      <c r="M986" s="45"/>
    </row>
    <row r="987" ht="15.75" customHeight="1">
      <c r="M987" s="45"/>
    </row>
    <row r="988" ht="15.75" customHeight="1">
      <c r="M988" s="45"/>
    </row>
    <row r="989" ht="15.75" customHeight="1">
      <c r="M989" s="45"/>
    </row>
    <row r="990" ht="15.75" customHeight="1">
      <c r="M990" s="45"/>
    </row>
    <row r="991" ht="15.75" customHeight="1">
      <c r="M991" s="45"/>
    </row>
    <row r="992" ht="15.75" customHeight="1">
      <c r="M992" s="45"/>
    </row>
    <row r="993" ht="15.75" customHeight="1">
      <c r="M993" s="45"/>
    </row>
    <row r="994" ht="15.75" customHeight="1">
      <c r="M994" s="45"/>
    </row>
    <row r="995" ht="15.75" customHeight="1">
      <c r="M995" s="45"/>
    </row>
    <row r="996" ht="15.75" customHeight="1">
      <c r="M996" s="45"/>
    </row>
    <row r="997" ht="15.75" customHeight="1">
      <c r="M997" s="45"/>
    </row>
    <row r="998" ht="15.75" customHeight="1">
      <c r="M998" s="45"/>
    </row>
    <row r="999" ht="15.75" customHeight="1">
      <c r="M999" s="45"/>
    </row>
    <row r="1000" ht="15.75" customHeight="1">
      <c r="M1000" s="45"/>
    </row>
  </sheetData>
  <hyperlinks>
    <hyperlink r:id="rId2" ref="N11"/>
    <hyperlink r:id="rId3" ref="N12"/>
    <hyperlink r:id="rId4" ref="N20"/>
    <hyperlink r:id="rId5" ref="N21"/>
    <hyperlink r:id="rId6" ref="N22"/>
    <hyperlink r:id="rId7" ref="N23"/>
    <hyperlink r:id="rId8" ref="N24"/>
    <hyperlink r:id="rId9" ref="N26"/>
    <hyperlink r:id="rId10" ref="N27"/>
    <hyperlink r:id="rId11" ref="N28"/>
    <hyperlink r:id="rId12" ref="N29"/>
    <hyperlink r:id="rId13" ref="N30"/>
    <hyperlink r:id="rId14" ref="N31"/>
    <hyperlink r:id="rId15" ref="P31"/>
    <hyperlink r:id="rId16" ref="N32"/>
    <hyperlink r:id="rId17" ref="N33"/>
    <hyperlink r:id="rId18" ref="N34"/>
    <hyperlink r:id="rId19" ref="N35"/>
    <hyperlink r:id="rId20" ref="N43"/>
    <hyperlink r:id="rId21" ref="N44"/>
  </hyperlinks>
  <drawing r:id="rId22"/>
  <legacyDrawing r:id="rId2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7.38"/>
  </cols>
  <sheetData>
    <row r="1">
      <c r="A1" s="3" t="s">
        <v>6055</v>
      </c>
      <c r="B1" s="47" t="s">
        <v>5585</v>
      </c>
      <c r="C1" s="47" t="s">
        <v>9</v>
      </c>
      <c r="D1" s="5" t="s">
        <v>10</v>
      </c>
      <c r="E1" s="5" t="s">
        <v>11</v>
      </c>
      <c r="F1" s="5" t="s">
        <v>12</v>
      </c>
    </row>
    <row r="2">
      <c r="A2" s="10" t="s">
        <v>5588</v>
      </c>
      <c r="B2" s="11" t="s">
        <v>133</v>
      </c>
      <c r="C2" s="11">
        <v>3.0</v>
      </c>
      <c r="D2" s="11">
        <v>3.0</v>
      </c>
      <c r="E2" s="11">
        <v>3.0</v>
      </c>
      <c r="F2" s="11">
        <v>3.0</v>
      </c>
    </row>
    <row r="3">
      <c r="A3" s="10" t="s">
        <v>6056</v>
      </c>
      <c r="B3" s="11" t="s">
        <v>133</v>
      </c>
      <c r="C3" s="11">
        <v>3.0</v>
      </c>
      <c r="D3" s="11">
        <v>3.0</v>
      </c>
      <c r="E3" s="11">
        <v>3.0</v>
      </c>
      <c r="F3" s="11">
        <v>3.0</v>
      </c>
    </row>
    <row r="4">
      <c r="A4" s="10" t="s">
        <v>5590</v>
      </c>
      <c r="B4" s="11" t="s">
        <v>133</v>
      </c>
      <c r="C4" s="11">
        <v>3.0</v>
      </c>
      <c r="D4" s="11">
        <v>3.0</v>
      </c>
      <c r="E4" s="11">
        <v>3.0</v>
      </c>
      <c r="F4" s="11">
        <v>3.0</v>
      </c>
    </row>
    <row r="5">
      <c r="A5" s="10" t="s">
        <v>5591</v>
      </c>
      <c r="B5" s="11" t="s">
        <v>54</v>
      </c>
      <c r="C5" s="11">
        <v>3.0</v>
      </c>
      <c r="D5" s="11">
        <v>3.0</v>
      </c>
      <c r="E5" s="11">
        <v>3.0</v>
      </c>
      <c r="F5" s="11">
        <v>3.0</v>
      </c>
    </row>
    <row r="6">
      <c r="A6" s="10" t="s">
        <v>6057</v>
      </c>
      <c r="B6" s="11" t="s">
        <v>133</v>
      </c>
      <c r="C6" s="11">
        <v>3.0</v>
      </c>
      <c r="D6" s="11">
        <v>3.0</v>
      </c>
      <c r="E6" s="11">
        <v>3.0</v>
      </c>
      <c r="F6" s="11">
        <v>3.0</v>
      </c>
    </row>
    <row r="7">
      <c r="A7" s="10" t="s">
        <v>5593</v>
      </c>
      <c r="B7" s="11" t="s">
        <v>133</v>
      </c>
      <c r="C7" s="11">
        <v>3.0</v>
      </c>
      <c r="D7" s="11">
        <v>3.0</v>
      </c>
      <c r="E7" s="11">
        <v>3.0</v>
      </c>
      <c r="F7" s="11">
        <v>3.0</v>
      </c>
    </row>
    <row r="8">
      <c r="A8" s="10" t="s">
        <v>6058</v>
      </c>
      <c r="B8" s="11" t="s">
        <v>133</v>
      </c>
      <c r="C8" s="11">
        <v>3.0</v>
      </c>
      <c r="D8" s="11">
        <v>3.0</v>
      </c>
      <c r="E8" s="11">
        <v>3.0</v>
      </c>
      <c r="F8" s="11">
        <v>3.0</v>
      </c>
    </row>
    <row r="9">
      <c r="A9" s="10" t="s">
        <v>6059</v>
      </c>
      <c r="B9" s="11" t="s">
        <v>133</v>
      </c>
      <c r="C9" s="11">
        <v>3.0</v>
      </c>
      <c r="D9" s="11">
        <v>3.0</v>
      </c>
      <c r="E9" s="11">
        <v>3.0</v>
      </c>
      <c r="F9" s="11">
        <v>3.0</v>
      </c>
    </row>
    <row r="10">
      <c r="A10" s="10" t="s">
        <v>6060</v>
      </c>
      <c r="B10" s="11" t="s">
        <v>133</v>
      </c>
      <c r="C10" s="11">
        <v>3.0</v>
      </c>
      <c r="D10" s="11">
        <v>3.0</v>
      </c>
      <c r="E10" s="11">
        <v>3.0</v>
      </c>
      <c r="F10" s="11">
        <v>3.0</v>
      </c>
    </row>
    <row r="11">
      <c r="A11" s="10" t="s">
        <v>5596</v>
      </c>
      <c r="B11" s="11" t="s">
        <v>133</v>
      </c>
      <c r="C11" s="11">
        <v>3.0</v>
      </c>
      <c r="D11" s="11">
        <v>3.0</v>
      </c>
      <c r="E11" s="11">
        <v>3.0</v>
      </c>
      <c r="F11" s="11">
        <v>3.0</v>
      </c>
    </row>
    <row r="12">
      <c r="A12" s="10" t="s">
        <v>6061</v>
      </c>
      <c r="B12" s="11" t="s">
        <v>133</v>
      </c>
      <c r="C12" s="11">
        <v>3.0</v>
      </c>
      <c r="D12" s="11">
        <v>3.0</v>
      </c>
      <c r="E12" s="11">
        <v>3.0</v>
      </c>
      <c r="F12" s="11">
        <v>3.0</v>
      </c>
    </row>
    <row r="13">
      <c r="A13" s="10" t="s">
        <v>6062</v>
      </c>
      <c r="B13" s="11" t="s">
        <v>133</v>
      </c>
      <c r="C13" s="11">
        <v>3.0</v>
      </c>
      <c r="D13" s="11">
        <v>3.0</v>
      </c>
      <c r="E13" s="11">
        <v>3.0</v>
      </c>
      <c r="F13" s="11">
        <v>3.0</v>
      </c>
    </row>
    <row r="14">
      <c r="A14" s="10" t="s">
        <v>5600</v>
      </c>
      <c r="B14" s="11" t="s">
        <v>133</v>
      </c>
      <c r="C14" s="11">
        <v>3.0</v>
      </c>
      <c r="D14" s="11">
        <v>3.0</v>
      </c>
      <c r="E14" s="11">
        <v>3.0</v>
      </c>
      <c r="F14" s="11">
        <v>3.0</v>
      </c>
    </row>
    <row r="15">
      <c r="A15" s="10" t="s">
        <v>6063</v>
      </c>
      <c r="B15" s="11" t="s">
        <v>133</v>
      </c>
      <c r="C15" s="11">
        <v>3.0</v>
      </c>
      <c r="D15" s="11">
        <v>3.0</v>
      </c>
      <c r="E15" s="11">
        <v>3.0</v>
      </c>
      <c r="F15" s="11">
        <v>3.0</v>
      </c>
    </row>
    <row r="16">
      <c r="A16" s="10" t="s">
        <v>5608</v>
      </c>
      <c r="B16" s="11" t="s">
        <v>133</v>
      </c>
      <c r="C16" s="11">
        <v>3.0</v>
      </c>
      <c r="D16" s="11">
        <v>3.0</v>
      </c>
      <c r="E16" s="11">
        <v>3.0</v>
      </c>
      <c r="F16" s="11">
        <v>3.0</v>
      </c>
    </row>
    <row r="17">
      <c r="A17" s="10" t="s">
        <v>5609</v>
      </c>
      <c r="B17" s="11" t="s">
        <v>133</v>
      </c>
      <c r="C17" s="11">
        <v>3.0</v>
      </c>
      <c r="D17" s="11">
        <v>3.0</v>
      </c>
      <c r="E17" s="11">
        <v>3.0</v>
      </c>
      <c r="F17" s="11">
        <v>3.0</v>
      </c>
    </row>
    <row r="18">
      <c r="A18" s="10" t="s">
        <v>5610</v>
      </c>
      <c r="B18" s="11" t="s">
        <v>54</v>
      </c>
      <c r="C18" s="11">
        <v>3.0</v>
      </c>
      <c r="D18" s="11">
        <v>3.0</v>
      </c>
      <c r="E18" s="11">
        <v>3.0</v>
      </c>
      <c r="F18" s="11">
        <v>3.0</v>
      </c>
    </row>
    <row r="19">
      <c r="A19" s="10" t="s">
        <v>5611</v>
      </c>
      <c r="B19" s="11" t="s">
        <v>133</v>
      </c>
      <c r="C19" s="11">
        <v>3.0</v>
      </c>
      <c r="D19" s="11">
        <v>3.0</v>
      </c>
      <c r="E19" s="11">
        <v>3.0</v>
      </c>
      <c r="F19" s="11">
        <v>3.0</v>
      </c>
    </row>
    <row r="20">
      <c r="A20" s="10" t="s">
        <v>5612</v>
      </c>
      <c r="B20" s="11" t="s">
        <v>54</v>
      </c>
      <c r="C20" s="11">
        <v>3.0</v>
      </c>
      <c r="D20" s="11">
        <v>3.0</v>
      </c>
      <c r="E20" s="11">
        <v>3.0</v>
      </c>
      <c r="F20" s="11">
        <v>3.0</v>
      </c>
    </row>
    <row r="21">
      <c r="A21" s="10" t="s">
        <v>5613</v>
      </c>
      <c r="B21" s="11" t="s">
        <v>133</v>
      </c>
      <c r="C21" s="11">
        <v>3.0</v>
      </c>
      <c r="D21" s="11">
        <v>3.0</v>
      </c>
      <c r="E21" s="11">
        <v>3.0</v>
      </c>
      <c r="F21" s="11">
        <v>3.0</v>
      </c>
    </row>
    <row r="22">
      <c r="A22" s="10" t="s">
        <v>6064</v>
      </c>
      <c r="B22" s="11" t="s">
        <v>133</v>
      </c>
      <c r="C22" s="11">
        <v>3.0</v>
      </c>
      <c r="D22" s="11">
        <v>3.0</v>
      </c>
      <c r="E22" s="11">
        <v>3.0</v>
      </c>
      <c r="F22" s="11">
        <v>3.0</v>
      </c>
    </row>
    <row r="23">
      <c r="A23" s="10" t="s">
        <v>5617</v>
      </c>
      <c r="B23" s="11" t="s">
        <v>133</v>
      </c>
      <c r="C23" s="11">
        <v>3.0</v>
      </c>
      <c r="D23" s="11">
        <v>3.0</v>
      </c>
      <c r="E23" s="11">
        <v>3.0</v>
      </c>
      <c r="F23" s="11">
        <v>3.0</v>
      </c>
    </row>
    <row r="24">
      <c r="A24" s="10" t="s">
        <v>5618</v>
      </c>
      <c r="B24" s="11" t="s">
        <v>133</v>
      </c>
      <c r="C24" s="11">
        <v>3.0</v>
      </c>
      <c r="D24" s="11">
        <v>3.0</v>
      </c>
      <c r="E24" s="11">
        <v>3.0</v>
      </c>
      <c r="F24" s="11">
        <v>3.0</v>
      </c>
    </row>
    <row r="25">
      <c r="A25" s="10" t="s">
        <v>5619</v>
      </c>
      <c r="B25" s="11" t="s">
        <v>133</v>
      </c>
      <c r="C25" s="11">
        <v>3.0</v>
      </c>
      <c r="D25" s="11">
        <v>3.0</v>
      </c>
      <c r="E25" s="11">
        <v>3.0</v>
      </c>
      <c r="F25" s="11">
        <v>3.0</v>
      </c>
    </row>
    <row r="26">
      <c r="A26" s="10" t="s">
        <v>5620</v>
      </c>
      <c r="B26" s="11" t="s">
        <v>54</v>
      </c>
      <c r="C26" s="11">
        <v>3.0</v>
      </c>
      <c r="D26" s="11">
        <v>3.0</v>
      </c>
      <c r="E26" s="11">
        <v>3.0</v>
      </c>
      <c r="F26" s="11">
        <v>3.0</v>
      </c>
    </row>
    <row r="27">
      <c r="A27" s="10" t="s">
        <v>5621</v>
      </c>
      <c r="B27" s="11" t="s">
        <v>54</v>
      </c>
      <c r="C27" s="11">
        <v>3.0</v>
      </c>
      <c r="D27" s="11">
        <v>3.0</v>
      </c>
      <c r="E27" s="11">
        <v>3.0</v>
      </c>
      <c r="F27" s="11">
        <v>3.0</v>
      </c>
    </row>
    <row r="28">
      <c r="A28" s="10" t="s">
        <v>5622</v>
      </c>
      <c r="B28" s="11" t="s">
        <v>54</v>
      </c>
      <c r="C28" s="11">
        <v>3.0</v>
      </c>
      <c r="D28" s="11">
        <v>3.0</v>
      </c>
      <c r="E28" s="11">
        <v>3.0</v>
      </c>
      <c r="F28" s="11">
        <v>3.0</v>
      </c>
    </row>
    <row r="29">
      <c r="A29" s="10" t="s">
        <v>5623</v>
      </c>
      <c r="B29" s="11" t="s">
        <v>133</v>
      </c>
      <c r="C29" s="11">
        <v>3.0</v>
      </c>
      <c r="D29" s="11">
        <v>3.0</v>
      </c>
      <c r="E29" s="11">
        <v>3.0</v>
      </c>
      <c r="F29" s="11">
        <v>3.0</v>
      </c>
    </row>
    <row r="30">
      <c r="A30" s="10" t="s">
        <v>5624</v>
      </c>
      <c r="B30" s="11" t="s">
        <v>133</v>
      </c>
      <c r="C30" s="11">
        <v>3.0</v>
      </c>
      <c r="D30" s="11">
        <v>3.0</v>
      </c>
      <c r="E30" s="11">
        <v>3.0</v>
      </c>
      <c r="F30" s="11">
        <v>3.0</v>
      </c>
    </row>
    <row r="31">
      <c r="A31" s="10" t="s">
        <v>5625</v>
      </c>
      <c r="B31" s="11" t="s">
        <v>133</v>
      </c>
      <c r="C31" s="11">
        <v>3.0</v>
      </c>
      <c r="D31" s="11">
        <v>3.0</v>
      </c>
      <c r="E31" s="11">
        <v>3.0</v>
      </c>
      <c r="F31" s="11">
        <v>3.0</v>
      </c>
    </row>
    <row r="32">
      <c r="A32" s="10" t="s">
        <v>5626</v>
      </c>
      <c r="B32" s="11" t="s">
        <v>133</v>
      </c>
      <c r="C32" s="11">
        <v>3.0</v>
      </c>
      <c r="D32" s="11">
        <v>3.0</v>
      </c>
      <c r="E32" s="11">
        <v>3.0</v>
      </c>
      <c r="F32" s="11">
        <v>3.0</v>
      </c>
    </row>
    <row r="33">
      <c r="A33" s="10" t="s">
        <v>5627</v>
      </c>
      <c r="B33" s="11" t="s">
        <v>133</v>
      </c>
      <c r="C33" s="11">
        <v>3.0</v>
      </c>
      <c r="D33" s="11">
        <v>3.0</v>
      </c>
      <c r="E33" s="11">
        <v>3.0</v>
      </c>
      <c r="F33" s="11">
        <v>3.0</v>
      </c>
    </row>
    <row r="34">
      <c r="A34" s="10" t="s">
        <v>5628</v>
      </c>
      <c r="B34" s="11" t="s">
        <v>54</v>
      </c>
      <c r="C34" s="11">
        <v>3.0</v>
      </c>
      <c r="D34" s="11">
        <v>3.0</v>
      </c>
      <c r="E34" s="11">
        <v>3.0</v>
      </c>
      <c r="F34" s="11">
        <v>3.0</v>
      </c>
    </row>
    <row r="35">
      <c r="A35" s="10" t="s">
        <v>5629</v>
      </c>
      <c r="B35" s="11" t="s">
        <v>133</v>
      </c>
      <c r="C35" s="11">
        <v>3.0</v>
      </c>
      <c r="D35" s="11">
        <v>3.0</v>
      </c>
      <c r="E35" s="11">
        <v>3.0</v>
      </c>
      <c r="F35" s="11">
        <v>3.0</v>
      </c>
    </row>
    <row r="36">
      <c r="A36" s="10" t="s">
        <v>5630</v>
      </c>
      <c r="B36" s="11" t="s">
        <v>133</v>
      </c>
      <c r="C36" s="11">
        <v>3.0</v>
      </c>
      <c r="D36" s="11">
        <v>3.0</v>
      </c>
      <c r="E36" s="11">
        <v>3.0</v>
      </c>
      <c r="F36" s="11">
        <v>3.0</v>
      </c>
    </row>
    <row r="37">
      <c r="A37" s="10" t="s">
        <v>6065</v>
      </c>
      <c r="B37" s="11" t="s">
        <v>133</v>
      </c>
      <c r="C37" s="11">
        <v>3.0</v>
      </c>
      <c r="D37" s="11">
        <v>3.0</v>
      </c>
      <c r="E37" s="11">
        <v>3.0</v>
      </c>
      <c r="F37" s="11">
        <v>3.0</v>
      </c>
    </row>
    <row r="38">
      <c r="A38" s="10" t="s">
        <v>5631</v>
      </c>
      <c r="B38" s="11" t="s">
        <v>133</v>
      </c>
      <c r="C38" s="11">
        <v>3.0</v>
      </c>
      <c r="D38" s="11">
        <v>3.0</v>
      </c>
      <c r="E38" s="11">
        <v>3.0</v>
      </c>
      <c r="F38" s="11">
        <v>3.0</v>
      </c>
    </row>
    <row r="39">
      <c r="A39" s="10" t="s">
        <v>6066</v>
      </c>
      <c r="B39" s="11" t="s">
        <v>133</v>
      </c>
      <c r="C39" s="11">
        <v>3.0</v>
      </c>
      <c r="D39" s="11">
        <v>3.0</v>
      </c>
      <c r="E39" s="11">
        <v>3.0</v>
      </c>
      <c r="F39" s="11">
        <v>3.0</v>
      </c>
    </row>
    <row r="40">
      <c r="A40" s="10" t="s">
        <v>5633</v>
      </c>
      <c r="B40" s="11" t="s">
        <v>133</v>
      </c>
      <c r="C40" s="11">
        <v>3.0</v>
      </c>
      <c r="D40" s="11">
        <v>3.0</v>
      </c>
      <c r="E40" s="11">
        <v>3.0</v>
      </c>
      <c r="F40" s="11">
        <v>3.0</v>
      </c>
    </row>
    <row r="41">
      <c r="A41" s="10" t="s">
        <v>6067</v>
      </c>
      <c r="B41" s="11" t="s">
        <v>133</v>
      </c>
      <c r="C41" s="11">
        <v>3.0</v>
      </c>
      <c r="D41" s="11">
        <v>3.0</v>
      </c>
      <c r="E41" s="11">
        <v>3.0</v>
      </c>
      <c r="F41" s="11">
        <v>3.0</v>
      </c>
    </row>
    <row r="42">
      <c r="A42" s="10" t="s">
        <v>5636</v>
      </c>
      <c r="B42" s="11" t="s">
        <v>133</v>
      </c>
      <c r="C42" s="11">
        <v>3.0</v>
      </c>
      <c r="D42" s="11">
        <v>3.0</v>
      </c>
      <c r="E42" s="11">
        <v>3.0</v>
      </c>
      <c r="F42" s="11">
        <v>3.0</v>
      </c>
    </row>
    <row r="43">
      <c r="A43" s="10" t="s">
        <v>6068</v>
      </c>
      <c r="B43" s="11" t="s">
        <v>133</v>
      </c>
      <c r="C43" s="11">
        <v>3.0</v>
      </c>
      <c r="D43" s="11">
        <v>3.0</v>
      </c>
      <c r="E43" s="11">
        <v>3.0</v>
      </c>
      <c r="F43" s="11">
        <v>3.0</v>
      </c>
    </row>
    <row r="44">
      <c r="A44" s="10" t="s">
        <v>6069</v>
      </c>
      <c r="B44" s="11" t="s">
        <v>133</v>
      </c>
      <c r="C44" s="11">
        <v>3.0</v>
      </c>
      <c r="D44" s="11">
        <v>3.0</v>
      </c>
      <c r="E44" s="11">
        <v>3.0</v>
      </c>
      <c r="F44" s="11">
        <v>3.0</v>
      </c>
    </row>
    <row r="45">
      <c r="A45" s="10" t="s">
        <v>6070</v>
      </c>
      <c r="B45" s="11" t="s">
        <v>133</v>
      </c>
      <c r="C45" s="11">
        <v>3.0</v>
      </c>
      <c r="D45" s="11">
        <v>3.0</v>
      </c>
      <c r="E45" s="11">
        <v>3.0</v>
      </c>
      <c r="F45" s="11">
        <v>3.0</v>
      </c>
    </row>
    <row r="46">
      <c r="A46" s="10" t="s">
        <v>5640</v>
      </c>
      <c r="B46" s="11" t="s">
        <v>133</v>
      </c>
      <c r="C46" s="11">
        <v>3.0</v>
      </c>
      <c r="D46" s="11">
        <v>3.0</v>
      </c>
      <c r="E46" s="11">
        <v>3.0</v>
      </c>
      <c r="F46" s="11">
        <v>3.0</v>
      </c>
    </row>
    <row r="47">
      <c r="A47" s="10" t="s">
        <v>6071</v>
      </c>
      <c r="B47" s="11" t="s">
        <v>133</v>
      </c>
      <c r="C47" s="11">
        <v>3.0</v>
      </c>
      <c r="D47" s="11">
        <v>3.0</v>
      </c>
      <c r="E47" s="11">
        <v>3.0</v>
      </c>
      <c r="F47" s="11">
        <v>3.0</v>
      </c>
    </row>
    <row r="48">
      <c r="A48" s="10" t="s">
        <v>5642</v>
      </c>
      <c r="B48" s="11" t="s">
        <v>133</v>
      </c>
      <c r="C48" s="11">
        <v>3.0</v>
      </c>
      <c r="D48" s="11">
        <v>3.0</v>
      </c>
      <c r="E48" s="11">
        <v>3.0</v>
      </c>
      <c r="F48" s="11">
        <v>3.0</v>
      </c>
    </row>
    <row r="49">
      <c r="A49" s="10" t="s">
        <v>6072</v>
      </c>
      <c r="B49" s="11" t="s">
        <v>133</v>
      </c>
      <c r="C49" s="11">
        <v>3.0</v>
      </c>
      <c r="D49" s="11">
        <v>3.0</v>
      </c>
      <c r="E49" s="11">
        <v>3.0</v>
      </c>
      <c r="F49" s="11">
        <v>3.0</v>
      </c>
    </row>
    <row r="50">
      <c r="A50" s="10" t="s">
        <v>6073</v>
      </c>
      <c r="B50" s="11" t="s">
        <v>133</v>
      </c>
      <c r="C50" s="11">
        <v>3.0</v>
      </c>
      <c r="D50" s="11">
        <v>3.0</v>
      </c>
      <c r="E50" s="11">
        <v>3.0</v>
      </c>
      <c r="F50" s="11">
        <v>3.0</v>
      </c>
    </row>
    <row r="51">
      <c r="A51" s="10" t="s">
        <v>6074</v>
      </c>
      <c r="B51" s="11" t="s">
        <v>133</v>
      </c>
      <c r="C51" s="11">
        <v>3.0</v>
      </c>
      <c r="D51" s="11">
        <v>3.0</v>
      </c>
      <c r="E51" s="11">
        <v>3.0</v>
      </c>
      <c r="F51" s="11">
        <v>3.0</v>
      </c>
    </row>
    <row r="52">
      <c r="A52" s="10" t="s">
        <v>6075</v>
      </c>
      <c r="B52" s="11" t="s">
        <v>133</v>
      </c>
      <c r="C52" s="11">
        <v>3.0</v>
      </c>
      <c r="D52" s="11">
        <v>3.0</v>
      </c>
      <c r="E52" s="11">
        <v>3.0</v>
      </c>
      <c r="F52" s="11">
        <v>3.0</v>
      </c>
    </row>
    <row r="53">
      <c r="A53" s="10" t="s">
        <v>6076</v>
      </c>
      <c r="B53" s="11" t="s">
        <v>133</v>
      </c>
      <c r="C53" s="11">
        <v>3.0</v>
      </c>
      <c r="D53" s="11">
        <v>3.0</v>
      </c>
      <c r="E53" s="11">
        <v>3.0</v>
      </c>
      <c r="F53" s="11">
        <v>3.0</v>
      </c>
    </row>
    <row r="54">
      <c r="A54" s="10" t="s">
        <v>6077</v>
      </c>
      <c r="B54" s="11" t="s">
        <v>133</v>
      </c>
      <c r="C54" s="11">
        <v>3.0</v>
      </c>
      <c r="D54" s="11">
        <v>3.0</v>
      </c>
      <c r="E54" s="11">
        <v>3.0</v>
      </c>
      <c r="F54" s="11">
        <v>3.0</v>
      </c>
    </row>
    <row r="55">
      <c r="A55" s="10" t="s">
        <v>6078</v>
      </c>
      <c r="B55" s="11" t="s">
        <v>133</v>
      </c>
      <c r="C55" s="11">
        <v>3.0</v>
      </c>
      <c r="D55" s="11">
        <v>3.0</v>
      </c>
      <c r="E55" s="11">
        <v>3.0</v>
      </c>
      <c r="F55" s="11">
        <v>3.0</v>
      </c>
    </row>
    <row r="56">
      <c r="A56" s="10" t="s">
        <v>5651</v>
      </c>
      <c r="B56" s="11" t="s">
        <v>133</v>
      </c>
      <c r="C56" s="11">
        <v>3.0</v>
      </c>
      <c r="D56" s="11">
        <v>3.0</v>
      </c>
      <c r="E56" s="11">
        <v>3.0</v>
      </c>
      <c r="F56" s="11">
        <v>3.0</v>
      </c>
    </row>
    <row r="57">
      <c r="A57" s="10" t="s">
        <v>5652</v>
      </c>
      <c r="B57" s="11" t="s">
        <v>133</v>
      </c>
      <c r="C57" s="11">
        <v>3.0</v>
      </c>
      <c r="D57" s="11">
        <v>3.0</v>
      </c>
      <c r="E57" s="11">
        <v>3.0</v>
      </c>
      <c r="F57" s="11">
        <v>3.0</v>
      </c>
    </row>
    <row r="58">
      <c r="A58" s="10" t="s">
        <v>5653</v>
      </c>
      <c r="B58" s="11" t="s">
        <v>133</v>
      </c>
      <c r="C58" s="11">
        <v>3.0</v>
      </c>
      <c r="D58" s="11">
        <v>3.0</v>
      </c>
      <c r="E58" s="11">
        <v>3.0</v>
      </c>
      <c r="F58" s="11">
        <v>3.0</v>
      </c>
    </row>
    <row r="59">
      <c r="A59" s="10" t="s">
        <v>5654</v>
      </c>
      <c r="B59" s="11" t="s">
        <v>133</v>
      </c>
      <c r="C59" s="11">
        <v>3.0</v>
      </c>
      <c r="D59" s="11">
        <v>3.0</v>
      </c>
      <c r="E59" s="11">
        <v>3.0</v>
      </c>
      <c r="F59" s="11">
        <v>3.0</v>
      </c>
    </row>
    <row r="60">
      <c r="A60" s="10" t="s">
        <v>6079</v>
      </c>
      <c r="B60" s="11" t="s">
        <v>133</v>
      </c>
      <c r="C60" s="11">
        <v>3.0</v>
      </c>
      <c r="D60" s="11">
        <v>3.0</v>
      </c>
      <c r="E60" s="11">
        <v>3.0</v>
      </c>
      <c r="F60" s="11">
        <v>3.0</v>
      </c>
    </row>
    <row r="61">
      <c r="A61" s="10" t="s">
        <v>6080</v>
      </c>
      <c r="B61" s="11" t="s">
        <v>133</v>
      </c>
      <c r="C61" s="11">
        <v>3.0</v>
      </c>
      <c r="D61" s="11">
        <v>3.0</v>
      </c>
      <c r="E61" s="11">
        <v>3.0</v>
      </c>
      <c r="F61" s="11">
        <v>3.0</v>
      </c>
    </row>
    <row r="62">
      <c r="A62" s="10" t="s">
        <v>6081</v>
      </c>
      <c r="B62" s="11" t="s">
        <v>133</v>
      </c>
      <c r="C62" s="11">
        <v>3.0</v>
      </c>
      <c r="D62" s="11">
        <v>3.0</v>
      </c>
      <c r="E62" s="11">
        <v>3.0</v>
      </c>
      <c r="F62" s="11">
        <v>3.0</v>
      </c>
    </row>
    <row r="63">
      <c r="A63" s="10" t="s">
        <v>6082</v>
      </c>
      <c r="B63" s="11" t="s">
        <v>133</v>
      </c>
      <c r="C63" s="11">
        <v>3.0</v>
      </c>
      <c r="D63" s="11">
        <v>3.0</v>
      </c>
      <c r="E63" s="11">
        <v>3.0</v>
      </c>
      <c r="F63" s="11">
        <v>3.0</v>
      </c>
    </row>
    <row r="64">
      <c r="A64" s="10" t="s">
        <v>6083</v>
      </c>
      <c r="B64" s="11" t="s">
        <v>133</v>
      </c>
      <c r="C64" s="11">
        <v>3.0</v>
      </c>
      <c r="D64" s="11">
        <v>3.0</v>
      </c>
      <c r="E64" s="11">
        <v>3.0</v>
      </c>
      <c r="F64" s="11">
        <v>3.0</v>
      </c>
    </row>
    <row r="65">
      <c r="A65" s="10" t="s">
        <v>5660</v>
      </c>
      <c r="B65" s="11" t="s">
        <v>133</v>
      </c>
      <c r="C65" s="11">
        <v>3.0</v>
      </c>
      <c r="D65" s="11">
        <v>3.0</v>
      </c>
      <c r="E65" s="11">
        <v>3.0</v>
      </c>
      <c r="F65" s="11">
        <v>3.0</v>
      </c>
    </row>
    <row r="66">
      <c r="A66" s="10" t="s">
        <v>5661</v>
      </c>
      <c r="B66" s="11" t="s">
        <v>133</v>
      </c>
      <c r="C66" s="11">
        <v>3.0</v>
      </c>
      <c r="D66" s="11">
        <v>3.0</v>
      </c>
      <c r="E66" s="11">
        <v>3.0</v>
      </c>
      <c r="F66" s="11">
        <v>3.0</v>
      </c>
    </row>
    <row r="67">
      <c r="A67" s="10" t="s">
        <v>6084</v>
      </c>
      <c r="B67" s="11" t="s">
        <v>133</v>
      </c>
      <c r="C67" s="11">
        <v>3.0</v>
      </c>
      <c r="D67" s="11">
        <v>3.0</v>
      </c>
      <c r="E67" s="11">
        <v>3.0</v>
      </c>
      <c r="F67" s="11">
        <v>3.0</v>
      </c>
    </row>
    <row r="68">
      <c r="A68" s="10" t="s">
        <v>6085</v>
      </c>
      <c r="B68" s="11" t="s">
        <v>133</v>
      </c>
      <c r="C68" s="11">
        <v>3.0</v>
      </c>
      <c r="D68" s="11">
        <v>3.0</v>
      </c>
      <c r="E68" s="11">
        <v>3.0</v>
      </c>
      <c r="F68" s="11">
        <v>3.0</v>
      </c>
    </row>
    <row r="69">
      <c r="A69" s="10" t="s">
        <v>6086</v>
      </c>
      <c r="B69" s="11" t="s">
        <v>133</v>
      </c>
      <c r="C69" s="11">
        <v>3.0</v>
      </c>
      <c r="D69" s="11">
        <v>3.0</v>
      </c>
      <c r="E69" s="11">
        <v>3.0</v>
      </c>
      <c r="F69" s="11">
        <v>3.0</v>
      </c>
    </row>
    <row r="70">
      <c r="A70" s="10" t="s">
        <v>5664</v>
      </c>
      <c r="B70" s="11" t="s">
        <v>133</v>
      </c>
      <c r="C70" s="11">
        <v>3.0</v>
      </c>
      <c r="D70" s="11">
        <v>3.0</v>
      </c>
      <c r="E70" s="11">
        <v>3.0</v>
      </c>
      <c r="F70" s="11">
        <v>3.0</v>
      </c>
    </row>
    <row r="71">
      <c r="A71" s="10" t="s">
        <v>5666</v>
      </c>
      <c r="B71" s="11" t="s">
        <v>133</v>
      </c>
      <c r="C71" s="11">
        <v>3.0</v>
      </c>
      <c r="D71" s="11">
        <v>3.0</v>
      </c>
      <c r="E71" s="11">
        <v>3.0</v>
      </c>
      <c r="F71" s="11">
        <v>3.0</v>
      </c>
    </row>
    <row r="72">
      <c r="A72" s="10" t="s">
        <v>6087</v>
      </c>
      <c r="B72" s="11" t="s">
        <v>133</v>
      </c>
      <c r="C72" s="11">
        <v>3.0</v>
      </c>
      <c r="D72" s="11">
        <v>3.0</v>
      </c>
      <c r="E72" s="11">
        <v>3.0</v>
      </c>
      <c r="F72" s="11">
        <v>3.0</v>
      </c>
    </row>
    <row r="73">
      <c r="A73" s="10" t="s">
        <v>5669</v>
      </c>
      <c r="B73" s="11" t="s">
        <v>133</v>
      </c>
      <c r="C73" s="11">
        <v>3.0</v>
      </c>
      <c r="D73" s="11">
        <v>3.0</v>
      </c>
      <c r="E73" s="11">
        <v>3.0</v>
      </c>
      <c r="F73" s="11">
        <v>3.0</v>
      </c>
    </row>
    <row r="74">
      <c r="A74" s="10" t="s">
        <v>5670</v>
      </c>
      <c r="B74" s="11" t="s">
        <v>133</v>
      </c>
      <c r="C74" s="11">
        <v>3.0</v>
      </c>
      <c r="D74" s="11">
        <v>3.0</v>
      </c>
      <c r="E74" s="11">
        <v>3.0</v>
      </c>
      <c r="F74" s="11">
        <v>3.0</v>
      </c>
    </row>
    <row r="75">
      <c r="A75" s="10" t="s">
        <v>5671</v>
      </c>
      <c r="B75" s="11" t="s">
        <v>133</v>
      </c>
      <c r="C75" s="11">
        <v>3.0</v>
      </c>
      <c r="D75" s="11">
        <v>3.0</v>
      </c>
      <c r="E75" s="11">
        <v>3.0</v>
      </c>
      <c r="F75" s="11">
        <v>3.0</v>
      </c>
    </row>
    <row r="76">
      <c r="A76" s="10" t="s">
        <v>6088</v>
      </c>
      <c r="B76" s="11" t="s">
        <v>133</v>
      </c>
      <c r="C76" s="11">
        <v>3.0</v>
      </c>
      <c r="D76" s="11">
        <v>3.0</v>
      </c>
      <c r="E76" s="11">
        <v>3.0</v>
      </c>
      <c r="F76" s="11">
        <v>3.0</v>
      </c>
    </row>
    <row r="77">
      <c r="A77" s="10" t="s">
        <v>5675</v>
      </c>
      <c r="B77" s="11" t="s">
        <v>133</v>
      </c>
      <c r="C77" s="11">
        <v>3.0</v>
      </c>
      <c r="D77" s="11">
        <v>3.0</v>
      </c>
      <c r="E77" s="11">
        <v>3.0</v>
      </c>
      <c r="F77" s="11">
        <v>3.0</v>
      </c>
    </row>
    <row r="78">
      <c r="A78" s="10" t="s">
        <v>5676</v>
      </c>
      <c r="B78" s="11" t="s">
        <v>133</v>
      </c>
      <c r="C78" s="11">
        <v>3.0</v>
      </c>
      <c r="D78" s="11">
        <v>3.0</v>
      </c>
      <c r="E78" s="11">
        <v>3.0</v>
      </c>
      <c r="F78" s="11">
        <v>3.0</v>
      </c>
    </row>
    <row r="79">
      <c r="A79" s="10" t="s">
        <v>6089</v>
      </c>
      <c r="B79" s="11" t="s">
        <v>133</v>
      </c>
      <c r="C79" s="11">
        <v>3.0</v>
      </c>
      <c r="D79" s="11">
        <v>3.0</v>
      </c>
      <c r="E79" s="11">
        <v>3.0</v>
      </c>
      <c r="F79" s="11">
        <v>3.0</v>
      </c>
    </row>
    <row r="80">
      <c r="A80" s="10" t="s">
        <v>5679</v>
      </c>
      <c r="B80" s="11" t="s">
        <v>133</v>
      </c>
      <c r="C80" s="11">
        <v>3.0</v>
      </c>
      <c r="D80" s="11">
        <v>3.0</v>
      </c>
      <c r="E80" s="11">
        <v>3.0</v>
      </c>
      <c r="F80" s="11">
        <v>3.0</v>
      </c>
    </row>
    <row r="81">
      <c r="A81" s="10" t="s">
        <v>5680</v>
      </c>
      <c r="B81" s="11" t="s">
        <v>133</v>
      </c>
      <c r="C81" s="11">
        <v>3.0</v>
      </c>
      <c r="D81" s="11">
        <v>3.0</v>
      </c>
      <c r="E81" s="11">
        <v>3.0</v>
      </c>
      <c r="F81" s="11">
        <v>3.0</v>
      </c>
    </row>
    <row r="82">
      <c r="A82" s="10" t="s">
        <v>5681</v>
      </c>
      <c r="B82" s="11" t="s">
        <v>54</v>
      </c>
      <c r="C82" s="11">
        <v>3.0</v>
      </c>
      <c r="D82" s="11">
        <v>3.0</v>
      </c>
      <c r="E82" s="11">
        <v>3.0</v>
      </c>
      <c r="F82" s="11">
        <v>3.0</v>
      </c>
    </row>
    <row r="83">
      <c r="A83" s="10" t="s">
        <v>6090</v>
      </c>
      <c r="B83" s="11" t="s">
        <v>133</v>
      </c>
      <c r="C83" s="11">
        <v>3.0</v>
      </c>
      <c r="D83" s="11">
        <v>3.0</v>
      </c>
      <c r="E83" s="11">
        <v>3.0</v>
      </c>
      <c r="F83" s="11">
        <v>3.0</v>
      </c>
    </row>
    <row r="84">
      <c r="A84" s="10" t="s">
        <v>933</v>
      </c>
      <c r="B84" s="11" t="s">
        <v>133</v>
      </c>
      <c r="C84" s="11">
        <v>3.0</v>
      </c>
      <c r="D84" s="11">
        <v>3.0</v>
      </c>
      <c r="E84" s="11">
        <v>3.0</v>
      </c>
      <c r="F84" s="11">
        <v>3.0</v>
      </c>
    </row>
    <row r="85">
      <c r="A85" s="10" t="s">
        <v>935</v>
      </c>
      <c r="B85" s="11" t="s">
        <v>133</v>
      </c>
      <c r="C85" s="11">
        <v>3.0</v>
      </c>
      <c r="D85" s="11">
        <v>3.0</v>
      </c>
      <c r="E85" s="11">
        <v>3.0</v>
      </c>
      <c r="F85" s="11">
        <v>3.0</v>
      </c>
    </row>
    <row r="86">
      <c r="A86" s="10" t="s">
        <v>6091</v>
      </c>
      <c r="B86" s="11" t="s">
        <v>133</v>
      </c>
      <c r="C86" s="11">
        <v>3.0</v>
      </c>
      <c r="D86" s="11">
        <v>3.0</v>
      </c>
      <c r="E86" s="11">
        <v>3.0</v>
      </c>
      <c r="F86" s="11">
        <v>3.0</v>
      </c>
    </row>
    <row r="87">
      <c r="A87" s="10" t="s">
        <v>6092</v>
      </c>
      <c r="B87" s="11" t="s">
        <v>133</v>
      </c>
      <c r="C87" s="11">
        <v>3.0</v>
      </c>
      <c r="D87" s="11">
        <v>3.0</v>
      </c>
      <c r="E87" s="11">
        <v>3.0</v>
      </c>
      <c r="F87" s="11">
        <v>3.0</v>
      </c>
    </row>
    <row r="88">
      <c r="A88" s="10" t="s">
        <v>6093</v>
      </c>
      <c r="B88" s="11" t="s">
        <v>133</v>
      </c>
      <c r="C88" s="11">
        <v>3.0</v>
      </c>
      <c r="D88" s="11">
        <v>3.0</v>
      </c>
      <c r="E88" s="11">
        <v>3.0</v>
      </c>
      <c r="F88" s="11">
        <v>3.0</v>
      </c>
    </row>
    <row r="89">
      <c r="A89" s="10" t="s">
        <v>5687</v>
      </c>
      <c r="B89" s="11" t="s">
        <v>133</v>
      </c>
      <c r="C89" s="11">
        <v>3.0</v>
      </c>
      <c r="D89" s="11">
        <v>3.0</v>
      </c>
      <c r="E89" s="11">
        <v>3.0</v>
      </c>
      <c r="F89" s="11">
        <v>3.0</v>
      </c>
    </row>
    <row r="90">
      <c r="A90" s="10" t="s">
        <v>6094</v>
      </c>
      <c r="B90" s="11" t="s">
        <v>133</v>
      </c>
      <c r="C90" s="11">
        <v>3.0</v>
      </c>
      <c r="D90" s="11">
        <v>3.0</v>
      </c>
      <c r="E90" s="11">
        <v>3.0</v>
      </c>
      <c r="F90" s="11">
        <v>3.0</v>
      </c>
    </row>
    <row r="91">
      <c r="A91" s="10" t="s">
        <v>5689</v>
      </c>
      <c r="B91" s="11" t="s">
        <v>133</v>
      </c>
      <c r="C91" s="11">
        <v>3.0</v>
      </c>
      <c r="D91" s="11">
        <v>3.0</v>
      </c>
      <c r="E91" s="11">
        <v>3.0</v>
      </c>
      <c r="F91" s="11">
        <v>3.0</v>
      </c>
    </row>
    <row r="92">
      <c r="A92" s="10" t="s">
        <v>6095</v>
      </c>
      <c r="B92" s="11" t="s">
        <v>133</v>
      </c>
      <c r="C92" s="11">
        <v>3.0</v>
      </c>
      <c r="D92" s="11">
        <v>3.0</v>
      </c>
      <c r="E92" s="11">
        <v>3.0</v>
      </c>
      <c r="F92" s="11">
        <v>3.0</v>
      </c>
    </row>
    <row r="93">
      <c r="A93" s="10" t="s">
        <v>6096</v>
      </c>
      <c r="B93" s="11" t="s">
        <v>133</v>
      </c>
      <c r="C93" s="11">
        <v>3.0</v>
      </c>
      <c r="D93" s="11">
        <v>3.0</v>
      </c>
      <c r="E93" s="11">
        <v>3.0</v>
      </c>
      <c r="F93" s="11">
        <v>3.0</v>
      </c>
    </row>
    <row r="94">
      <c r="A94" s="10" t="s">
        <v>6097</v>
      </c>
      <c r="B94" s="11" t="s">
        <v>133</v>
      </c>
      <c r="C94" s="11">
        <v>3.0</v>
      </c>
      <c r="D94" s="11">
        <v>3.0</v>
      </c>
      <c r="E94" s="11">
        <v>3.0</v>
      </c>
      <c r="F94" s="11">
        <v>3.0</v>
      </c>
    </row>
    <row r="95">
      <c r="A95" s="10" t="s">
        <v>6098</v>
      </c>
      <c r="B95" s="11" t="s">
        <v>133</v>
      </c>
      <c r="C95" s="11">
        <v>3.0</v>
      </c>
      <c r="D95" s="11">
        <v>3.0</v>
      </c>
      <c r="E95" s="11">
        <v>3.0</v>
      </c>
      <c r="F95" s="11">
        <v>3.0</v>
      </c>
    </row>
    <row r="96">
      <c r="A96" s="10" t="s">
        <v>6099</v>
      </c>
      <c r="B96" s="11" t="s">
        <v>133</v>
      </c>
      <c r="C96" s="11">
        <v>3.0</v>
      </c>
      <c r="D96" s="11">
        <v>3.0</v>
      </c>
      <c r="E96" s="11">
        <v>3.0</v>
      </c>
      <c r="F96" s="11">
        <v>3.0</v>
      </c>
    </row>
    <row r="97">
      <c r="A97" s="10" t="s">
        <v>6100</v>
      </c>
      <c r="B97" s="11" t="s">
        <v>133</v>
      </c>
      <c r="C97" s="11">
        <v>3.0</v>
      </c>
      <c r="D97" s="11">
        <v>3.0</v>
      </c>
      <c r="E97" s="11">
        <v>3.0</v>
      </c>
      <c r="F97" s="11">
        <v>3.0</v>
      </c>
    </row>
    <row r="98">
      <c r="A98" s="10" t="s">
        <v>5694</v>
      </c>
      <c r="B98" s="11" t="s">
        <v>133</v>
      </c>
      <c r="C98" s="11">
        <v>3.0</v>
      </c>
      <c r="D98" s="11">
        <v>3.0</v>
      </c>
      <c r="E98" s="11">
        <v>3.0</v>
      </c>
      <c r="F98" s="11">
        <v>3.0</v>
      </c>
    </row>
    <row r="99">
      <c r="A99" s="10" t="s">
        <v>6101</v>
      </c>
      <c r="B99" s="11" t="s">
        <v>133</v>
      </c>
      <c r="C99" s="11">
        <v>3.0</v>
      </c>
      <c r="D99" s="11">
        <v>3.0</v>
      </c>
      <c r="E99" s="11">
        <v>3.0</v>
      </c>
      <c r="F99" s="11">
        <v>3.0</v>
      </c>
    </row>
    <row r="100">
      <c r="A100" s="10" t="s">
        <v>6102</v>
      </c>
      <c r="B100" s="11" t="s">
        <v>133</v>
      </c>
      <c r="C100" s="11">
        <v>3.0</v>
      </c>
      <c r="D100" s="11">
        <v>3.0</v>
      </c>
      <c r="E100" s="11">
        <v>3.0</v>
      </c>
      <c r="F100" s="11">
        <v>3.0</v>
      </c>
    </row>
    <row r="101">
      <c r="A101" s="10" t="s">
        <v>6103</v>
      </c>
      <c r="B101" s="11" t="s">
        <v>133</v>
      </c>
      <c r="C101" s="11">
        <v>3.0</v>
      </c>
      <c r="D101" s="11">
        <v>3.0</v>
      </c>
      <c r="E101" s="11">
        <v>3.0</v>
      </c>
      <c r="F101" s="11">
        <v>3.0</v>
      </c>
    </row>
    <row r="102">
      <c r="A102" s="10" t="s">
        <v>5696</v>
      </c>
      <c r="B102" s="11" t="s">
        <v>133</v>
      </c>
      <c r="C102" s="11">
        <v>3.0</v>
      </c>
      <c r="D102" s="11">
        <v>3.0</v>
      </c>
      <c r="E102" s="11">
        <v>3.0</v>
      </c>
      <c r="F102" s="11">
        <v>3.0</v>
      </c>
    </row>
    <row r="103">
      <c r="A103" s="10" t="s">
        <v>6104</v>
      </c>
      <c r="B103" s="11" t="s">
        <v>133</v>
      </c>
      <c r="C103" s="11">
        <v>3.0</v>
      </c>
      <c r="D103" s="11">
        <v>3.0</v>
      </c>
      <c r="E103" s="11">
        <v>3.0</v>
      </c>
      <c r="F103" s="11">
        <v>3.0</v>
      </c>
    </row>
    <row r="104">
      <c r="A104" s="10" t="s">
        <v>5698</v>
      </c>
      <c r="B104" s="11" t="s">
        <v>54</v>
      </c>
      <c r="C104" s="11">
        <v>3.0</v>
      </c>
      <c r="D104" s="11">
        <v>3.0</v>
      </c>
      <c r="E104" s="11">
        <v>3.0</v>
      </c>
      <c r="F104" s="11">
        <v>3.0</v>
      </c>
    </row>
    <row r="105">
      <c r="A105" s="10" t="s">
        <v>6105</v>
      </c>
      <c r="B105" s="11" t="s">
        <v>133</v>
      </c>
      <c r="C105" s="11">
        <v>3.0</v>
      </c>
      <c r="D105" s="11">
        <v>3.0</v>
      </c>
      <c r="E105" s="11">
        <v>3.0</v>
      </c>
      <c r="F105" s="11">
        <v>3.0</v>
      </c>
    </row>
    <row r="106">
      <c r="A106" s="10" t="s">
        <v>6106</v>
      </c>
      <c r="B106" s="11" t="s">
        <v>133</v>
      </c>
      <c r="C106" s="11">
        <v>3.0</v>
      </c>
      <c r="D106" s="11">
        <v>3.0</v>
      </c>
      <c r="E106" s="11">
        <v>3.0</v>
      </c>
      <c r="F106" s="11">
        <v>3.0</v>
      </c>
    </row>
    <row r="107">
      <c r="A107" s="10" t="s">
        <v>5701</v>
      </c>
      <c r="B107" s="11" t="s">
        <v>133</v>
      </c>
      <c r="C107" s="11">
        <v>3.0</v>
      </c>
      <c r="D107" s="11">
        <v>3.0</v>
      </c>
      <c r="E107" s="11">
        <v>3.0</v>
      </c>
      <c r="F107" s="11">
        <v>3.0</v>
      </c>
    </row>
    <row r="108">
      <c r="A108" s="10" t="s">
        <v>5702</v>
      </c>
      <c r="B108" s="11" t="s">
        <v>133</v>
      </c>
      <c r="C108" s="11">
        <v>3.0</v>
      </c>
      <c r="D108" s="11">
        <v>3.0</v>
      </c>
      <c r="E108" s="11">
        <v>3.0</v>
      </c>
      <c r="F108" s="11">
        <v>3.0</v>
      </c>
    </row>
    <row r="109">
      <c r="A109" s="10" t="s">
        <v>6107</v>
      </c>
      <c r="B109" s="11" t="s">
        <v>133</v>
      </c>
      <c r="C109" s="11">
        <v>3.0</v>
      </c>
      <c r="D109" s="11">
        <v>3.0</v>
      </c>
      <c r="E109" s="11">
        <v>3.0</v>
      </c>
      <c r="F109" s="11">
        <v>3.0</v>
      </c>
    </row>
    <row r="110">
      <c r="A110" s="10" t="s">
        <v>5706</v>
      </c>
      <c r="B110" s="11" t="s">
        <v>133</v>
      </c>
      <c r="C110" s="11">
        <v>3.0</v>
      </c>
      <c r="D110" s="11">
        <v>3.0</v>
      </c>
      <c r="E110" s="11">
        <v>3.0</v>
      </c>
      <c r="F110" s="11">
        <v>3.0</v>
      </c>
    </row>
    <row r="111">
      <c r="A111" s="10" t="s">
        <v>5707</v>
      </c>
      <c r="B111" s="11" t="s">
        <v>133</v>
      </c>
      <c r="C111" s="11">
        <v>3.0</v>
      </c>
      <c r="D111" s="11">
        <v>3.0</v>
      </c>
      <c r="E111" s="11">
        <v>3.0</v>
      </c>
      <c r="F111" s="11">
        <v>3.0</v>
      </c>
    </row>
    <row r="112">
      <c r="A112" s="10" t="s">
        <v>1264</v>
      </c>
      <c r="B112" s="11" t="s">
        <v>133</v>
      </c>
      <c r="C112" s="11">
        <v>3.0</v>
      </c>
      <c r="D112" s="11">
        <v>3.0</v>
      </c>
      <c r="E112" s="11">
        <v>3.0</v>
      </c>
      <c r="F112" s="11">
        <v>3.0</v>
      </c>
    </row>
    <row r="113">
      <c r="A113" s="10" t="s">
        <v>1266</v>
      </c>
      <c r="B113" s="11" t="s">
        <v>133</v>
      </c>
      <c r="C113" s="11">
        <v>3.0</v>
      </c>
      <c r="D113" s="11">
        <v>3.0</v>
      </c>
      <c r="E113" s="11">
        <v>3.0</v>
      </c>
      <c r="F113" s="11">
        <v>3.0</v>
      </c>
    </row>
    <row r="114">
      <c r="A114" s="10" t="s">
        <v>1268</v>
      </c>
      <c r="B114" s="11" t="s">
        <v>133</v>
      </c>
      <c r="C114" s="11">
        <v>3.0</v>
      </c>
      <c r="D114" s="11">
        <v>3.0</v>
      </c>
      <c r="E114" s="11">
        <v>3.0</v>
      </c>
      <c r="F114" s="11">
        <v>3.0</v>
      </c>
    </row>
    <row r="115">
      <c r="A115" s="10" t="s">
        <v>6108</v>
      </c>
      <c r="B115" s="11" t="s">
        <v>133</v>
      </c>
      <c r="C115" s="11">
        <v>3.0</v>
      </c>
      <c r="D115" s="11">
        <v>3.0</v>
      </c>
      <c r="E115" s="11">
        <v>3.0</v>
      </c>
      <c r="F115" s="11">
        <v>3.0</v>
      </c>
    </row>
    <row r="116">
      <c r="A116" s="10" t="s">
        <v>6109</v>
      </c>
      <c r="B116" s="11" t="s">
        <v>133</v>
      </c>
      <c r="C116" s="11">
        <v>3.0</v>
      </c>
      <c r="D116" s="11">
        <v>3.0</v>
      </c>
      <c r="E116" s="11">
        <v>3.0</v>
      </c>
      <c r="F116" s="11">
        <v>3.0</v>
      </c>
    </row>
    <row r="117">
      <c r="A117" s="10" t="s">
        <v>5711</v>
      </c>
      <c r="B117" s="11" t="s">
        <v>133</v>
      </c>
      <c r="C117" s="11">
        <v>3.0</v>
      </c>
      <c r="D117" s="11">
        <v>3.0</v>
      </c>
      <c r="E117" s="11">
        <v>3.0</v>
      </c>
      <c r="F117" s="11">
        <v>3.0</v>
      </c>
    </row>
    <row r="118">
      <c r="A118" s="10" t="s">
        <v>5712</v>
      </c>
      <c r="B118" s="11" t="s">
        <v>133</v>
      </c>
      <c r="C118" s="11">
        <v>3.0</v>
      </c>
      <c r="D118" s="11">
        <v>3.0</v>
      </c>
      <c r="E118" s="11">
        <v>3.0</v>
      </c>
      <c r="F118" s="11">
        <v>3.0</v>
      </c>
    </row>
    <row r="119">
      <c r="A119" s="10" t="s">
        <v>5713</v>
      </c>
      <c r="B119" s="11" t="s">
        <v>133</v>
      </c>
      <c r="C119" s="11">
        <v>3.0</v>
      </c>
      <c r="D119" s="11">
        <v>3.0</v>
      </c>
      <c r="E119" s="11">
        <v>3.0</v>
      </c>
      <c r="F119" s="11">
        <v>3.0</v>
      </c>
    </row>
    <row r="120">
      <c r="A120" s="10" t="s">
        <v>6110</v>
      </c>
      <c r="B120" s="11" t="s">
        <v>133</v>
      </c>
      <c r="C120" s="11">
        <v>3.0</v>
      </c>
      <c r="D120" s="11">
        <v>3.0</v>
      </c>
      <c r="E120" s="11">
        <v>3.0</v>
      </c>
      <c r="F120" s="11">
        <v>3.0</v>
      </c>
    </row>
    <row r="121">
      <c r="A121" s="10" t="s">
        <v>5715</v>
      </c>
      <c r="B121" s="11" t="s">
        <v>133</v>
      </c>
      <c r="C121" s="11">
        <v>3.0</v>
      </c>
      <c r="D121" s="11">
        <v>3.0</v>
      </c>
      <c r="E121" s="11">
        <v>3.0</v>
      </c>
      <c r="F121" s="11">
        <v>3.0</v>
      </c>
    </row>
    <row r="122">
      <c r="A122" s="10" t="s">
        <v>5716</v>
      </c>
      <c r="B122" s="11" t="s">
        <v>133</v>
      </c>
      <c r="C122" s="11">
        <v>3.0</v>
      </c>
      <c r="D122" s="11">
        <v>3.0</v>
      </c>
      <c r="E122" s="11">
        <v>3.0</v>
      </c>
      <c r="F122" s="11">
        <v>3.0</v>
      </c>
    </row>
    <row r="123">
      <c r="A123" s="10" t="s">
        <v>6111</v>
      </c>
      <c r="B123" s="11" t="s">
        <v>133</v>
      </c>
      <c r="C123" s="11">
        <v>3.0</v>
      </c>
      <c r="D123" s="11">
        <v>3.0</v>
      </c>
      <c r="E123" s="11">
        <v>3.0</v>
      </c>
      <c r="F123" s="11">
        <v>3.0</v>
      </c>
    </row>
    <row r="124">
      <c r="A124" s="10" t="s">
        <v>5718</v>
      </c>
      <c r="B124" s="11" t="s">
        <v>133</v>
      </c>
      <c r="C124" s="11">
        <v>3.0</v>
      </c>
      <c r="D124" s="11">
        <v>3.0</v>
      </c>
      <c r="E124" s="11">
        <v>3.0</v>
      </c>
      <c r="F124" s="11">
        <v>3.0</v>
      </c>
    </row>
    <row r="125">
      <c r="A125" s="10" t="s">
        <v>6112</v>
      </c>
      <c r="B125" s="11" t="s">
        <v>133</v>
      </c>
      <c r="C125" s="11">
        <v>3.0</v>
      </c>
      <c r="D125" s="11">
        <v>3.0</v>
      </c>
      <c r="E125" s="11">
        <v>3.0</v>
      </c>
      <c r="F125" s="11">
        <v>3.0</v>
      </c>
    </row>
    <row r="126">
      <c r="A126" s="10" t="s">
        <v>6113</v>
      </c>
      <c r="B126" s="11" t="s">
        <v>133</v>
      </c>
      <c r="C126" s="11">
        <v>3.0</v>
      </c>
      <c r="D126" s="11">
        <v>3.0</v>
      </c>
      <c r="E126" s="11">
        <v>3.0</v>
      </c>
      <c r="F126" s="11">
        <v>3.0</v>
      </c>
    </row>
    <row r="127">
      <c r="A127" s="10" t="s">
        <v>6114</v>
      </c>
      <c r="B127" s="11" t="s">
        <v>133</v>
      </c>
      <c r="C127" s="11">
        <v>3.0</v>
      </c>
      <c r="D127" s="11">
        <v>3.0</v>
      </c>
      <c r="E127" s="11">
        <v>3.0</v>
      </c>
      <c r="F127" s="11">
        <v>3.0</v>
      </c>
    </row>
    <row r="128">
      <c r="A128" s="10" t="s">
        <v>6115</v>
      </c>
      <c r="B128" s="11" t="s">
        <v>133</v>
      </c>
      <c r="C128" s="11">
        <v>3.0</v>
      </c>
      <c r="D128" s="11">
        <v>3.0</v>
      </c>
      <c r="E128" s="11">
        <v>3.0</v>
      </c>
      <c r="F128" s="11">
        <v>3.0</v>
      </c>
    </row>
    <row r="129">
      <c r="A129" s="10" t="s">
        <v>6116</v>
      </c>
      <c r="B129" s="11" t="s">
        <v>133</v>
      </c>
      <c r="C129" s="11">
        <v>3.0</v>
      </c>
      <c r="D129" s="11">
        <v>3.0</v>
      </c>
      <c r="E129" s="11">
        <v>3.0</v>
      </c>
      <c r="F129" s="11">
        <v>3.0</v>
      </c>
    </row>
    <row r="130">
      <c r="A130" s="10" t="s">
        <v>5720</v>
      </c>
      <c r="B130" s="11" t="s">
        <v>133</v>
      </c>
      <c r="C130" s="11">
        <v>3.0</v>
      </c>
      <c r="D130" s="11">
        <v>3.0</v>
      </c>
      <c r="E130" s="11">
        <v>3.0</v>
      </c>
      <c r="F130" s="11">
        <v>3.0</v>
      </c>
    </row>
    <row r="131">
      <c r="A131" s="10" t="s">
        <v>5721</v>
      </c>
      <c r="B131" s="11" t="s">
        <v>133</v>
      </c>
      <c r="C131" s="11">
        <v>3.0</v>
      </c>
      <c r="D131" s="11">
        <v>3.0</v>
      </c>
      <c r="E131" s="11">
        <v>3.0</v>
      </c>
      <c r="F131" s="11">
        <v>3.0</v>
      </c>
    </row>
    <row r="132">
      <c r="A132" s="10" t="s">
        <v>5722</v>
      </c>
      <c r="B132" s="11" t="s">
        <v>133</v>
      </c>
      <c r="C132" s="11">
        <v>3.0</v>
      </c>
      <c r="D132" s="11">
        <v>3.0</v>
      </c>
      <c r="E132" s="11">
        <v>3.0</v>
      </c>
      <c r="F132" s="11">
        <v>3.0</v>
      </c>
    </row>
    <row r="133">
      <c r="A133" s="10" t="s">
        <v>5723</v>
      </c>
      <c r="B133" s="11" t="s">
        <v>133</v>
      </c>
      <c r="C133" s="11">
        <v>3.0</v>
      </c>
      <c r="D133" s="11">
        <v>3.0</v>
      </c>
      <c r="E133" s="11">
        <v>3.0</v>
      </c>
      <c r="F133" s="11">
        <v>3.0</v>
      </c>
    </row>
    <row r="134">
      <c r="A134" s="10" t="s">
        <v>5724</v>
      </c>
      <c r="B134" s="11" t="s">
        <v>133</v>
      </c>
      <c r="C134" s="11">
        <v>3.0</v>
      </c>
      <c r="D134" s="11">
        <v>3.0</v>
      </c>
      <c r="E134" s="11">
        <v>3.0</v>
      </c>
      <c r="F134" s="11">
        <v>3.0</v>
      </c>
    </row>
    <row r="135">
      <c r="A135" s="10" t="s">
        <v>5725</v>
      </c>
      <c r="B135" s="11" t="s">
        <v>133</v>
      </c>
      <c r="C135" s="11">
        <v>3.0</v>
      </c>
      <c r="D135" s="11">
        <v>3.0</v>
      </c>
      <c r="E135" s="11">
        <v>3.0</v>
      </c>
      <c r="F135" s="11">
        <v>3.0</v>
      </c>
    </row>
    <row r="136">
      <c r="A136" s="10" t="s">
        <v>6117</v>
      </c>
      <c r="B136" s="11" t="s">
        <v>133</v>
      </c>
      <c r="C136" s="11">
        <v>3.0</v>
      </c>
      <c r="D136" s="11">
        <v>3.0</v>
      </c>
      <c r="E136" s="11">
        <v>3.0</v>
      </c>
      <c r="F136" s="11">
        <v>3.0</v>
      </c>
    </row>
    <row r="137">
      <c r="A137" s="10" t="s">
        <v>6118</v>
      </c>
      <c r="B137" s="11" t="s">
        <v>133</v>
      </c>
      <c r="C137" s="11">
        <v>3.0</v>
      </c>
      <c r="D137" s="11">
        <v>3.0</v>
      </c>
      <c r="E137" s="11">
        <v>3.0</v>
      </c>
      <c r="F137" s="11">
        <v>3.0</v>
      </c>
    </row>
    <row r="138">
      <c r="A138" s="10" t="s">
        <v>6119</v>
      </c>
      <c r="B138" s="11" t="s">
        <v>133</v>
      </c>
      <c r="C138" s="11">
        <v>3.0</v>
      </c>
      <c r="D138" s="11">
        <v>3.0</v>
      </c>
      <c r="E138" s="11">
        <v>3.0</v>
      </c>
      <c r="F138" s="11">
        <v>3.0</v>
      </c>
    </row>
    <row r="139">
      <c r="A139" s="10" t="s">
        <v>6120</v>
      </c>
      <c r="B139" s="11" t="s">
        <v>133</v>
      </c>
      <c r="C139" s="11">
        <v>3.0</v>
      </c>
      <c r="D139" s="11">
        <v>3.0</v>
      </c>
      <c r="E139" s="11">
        <v>3.0</v>
      </c>
      <c r="F139" s="11">
        <v>3.0</v>
      </c>
    </row>
    <row r="140">
      <c r="A140" s="10" t="s">
        <v>6121</v>
      </c>
      <c r="B140" s="11" t="s">
        <v>133</v>
      </c>
      <c r="C140" s="11">
        <v>3.0</v>
      </c>
      <c r="D140" s="11">
        <v>3.0</v>
      </c>
      <c r="E140" s="11">
        <v>3.0</v>
      </c>
      <c r="F140" s="11">
        <v>3.0</v>
      </c>
    </row>
    <row r="141">
      <c r="A141" s="10" t="s">
        <v>6122</v>
      </c>
      <c r="B141" s="11" t="s">
        <v>133</v>
      </c>
      <c r="C141" s="11">
        <v>3.0</v>
      </c>
      <c r="D141" s="11">
        <v>3.0</v>
      </c>
      <c r="E141" s="11">
        <v>3.0</v>
      </c>
      <c r="F141" s="11">
        <v>3.0</v>
      </c>
    </row>
    <row r="142">
      <c r="A142" s="10" t="s">
        <v>6123</v>
      </c>
      <c r="B142" s="11" t="s">
        <v>133</v>
      </c>
      <c r="C142" s="11">
        <v>3.0</v>
      </c>
      <c r="D142" s="11">
        <v>3.0</v>
      </c>
      <c r="E142" s="11">
        <v>3.0</v>
      </c>
      <c r="F142" s="11">
        <v>3.0</v>
      </c>
    </row>
    <row r="143">
      <c r="A143" s="10" t="s">
        <v>6124</v>
      </c>
      <c r="B143" s="11" t="s">
        <v>133</v>
      </c>
      <c r="C143" s="11">
        <v>3.0</v>
      </c>
      <c r="D143" s="11">
        <v>3.0</v>
      </c>
      <c r="E143" s="11">
        <v>3.0</v>
      </c>
      <c r="F143" s="11">
        <v>3.0</v>
      </c>
    </row>
    <row r="144">
      <c r="A144" s="10" t="s">
        <v>6125</v>
      </c>
      <c r="B144" s="11" t="s">
        <v>133</v>
      </c>
      <c r="C144" s="11">
        <v>3.0</v>
      </c>
      <c r="D144" s="11">
        <v>3.0</v>
      </c>
      <c r="E144" s="11">
        <v>3.0</v>
      </c>
      <c r="F144" s="11">
        <v>3.0</v>
      </c>
    </row>
    <row r="145">
      <c r="A145" s="10" t="s">
        <v>6126</v>
      </c>
      <c r="B145" s="11" t="s">
        <v>133</v>
      </c>
      <c r="C145" s="11">
        <v>3.0</v>
      </c>
      <c r="D145" s="11">
        <v>3.0</v>
      </c>
      <c r="E145" s="11">
        <v>3.0</v>
      </c>
      <c r="F145" s="11">
        <v>3.0</v>
      </c>
    </row>
    <row r="146">
      <c r="A146" s="10" t="s">
        <v>6127</v>
      </c>
      <c r="B146" s="11" t="s">
        <v>133</v>
      </c>
      <c r="C146" s="11">
        <v>3.0</v>
      </c>
      <c r="D146" s="11">
        <v>3.0</v>
      </c>
      <c r="E146" s="11">
        <v>3.0</v>
      </c>
      <c r="F146" s="11">
        <v>3.0</v>
      </c>
    </row>
    <row r="147">
      <c r="A147" s="10" t="s">
        <v>5739</v>
      </c>
      <c r="B147" s="11" t="s">
        <v>133</v>
      </c>
      <c r="C147" s="11">
        <v>3.0</v>
      </c>
      <c r="D147" s="11">
        <v>3.0</v>
      </c>
      <c r="E147" s="11">
        <v>3.0</v>
      </c>
      <c r="F147" s="11">
        <v>3.0</v>
      </c>
    </row>
    <row r="148">
      <c r="A148" s="10" t="s">
        <v>6128</v>
      </c>
      <c r="B148" s="11" t="s">
        <v>133</v>
      </c>
      <c r="C148" s="11">
        <v>3.0</v>
      </c>
      <c r="D148" s="11">
        <v>3.0</v>
      </c>
      <c r="E148" s="11">
        <v>3.0</v>
      </c>
      <c r="F148" s="11">
        <v>3.0</v>
      </c>
    </row>
    <row r="149">
      <c r="A149" s="10" t="s">
        <v>5741</v>
      </c>
      <c r="B149" s="11" t="s">
        <v>133</v>
      </c>
      <c r="C149" s="11">
        <v>3.0</v>
      </c>
      <c r="D149" s="11">
        <v>3.0</v>
      </c>
      <c r="E149" s="11">
        <v>3.0</v>
      </c>
      <c r="F149" s="11">
        <v>3.0</v>
      </c>
    </row>
    <row r="150">
      <c r="A150" s="10" t="s">
        <v>5742</v>
      </c>
      <c r="B150" s="11" t="s">
        <v>133</v>
      </c>
      <c r="C150" s="11">
        <v>3.0</v>
      </c>
      <c r="D150" s="11">
        <v>3.0</v>
      </c>
      <c r="E150" s="11">
        <v>3.0</v>
      </c>
      <c r="F150" s="11">
        <v>3.0</v>
      </c>
    </row>
    <row r="151">
      <c r="A151" s="10" t="s">
        <v>6129</v>
      </c>
      <c r="B151" s="11" t="s">
        <v>54</v>
      </c>
      <c r="C151" s="11">
        <v>3.0</v>
      </c>
      <c r="D151" s="11">
        <v>3.0</v>
      </c>
      <c r="E151" s="11">
        <v>3.0</v>
      </c>
      <c r="F151" s="11">
        <v>3.0</v>
      </c>
    </row>
    <row r="152">
      <c r="A152" s="10" t="s">
        <v>5746</v>
      </c>
      <c r="B152" s="11" t="s">
        <v>133</v>
      </c>
      <c r="C152" s="11">
        <v>3.0</v>
      </c>
      <c r="D152" s="11">
        <v>3.0</v>
      </c>
      <c r="E152" s="11">
        <v>3.0</v>
      </c>
      <c r="F152" s="11">
        <v>3.0</v>
      </c>
    </row>
    <row r="153">
      <c r="A153" s="10" t="s">
        <v>5747</v>
      </c>
      <c r="B153" s="11" t="s">
        <v>133</v>
      </c>
      <c r="C153" s="11">
        <v>3.0</v>
      </c>
      <c r="D153" s="11">
        <v>3.0</v>
      </c>
      <c r="E153" s="11">
        <v>3.0</v>
      </c>
      <c r="F153" s="11">
        <v>3.0</v>
      </c>
    </row>
    <row r="154">
      <c r="A154" s="10" t="s">
        <v>5748</v>
      </c>
      <c r="B154" s="11" t="s">
        <v>133</v>
      </c>
      <c r="C154" s="11">
        <v>3.0</v>
      </c>
      <c r="D154" s="11">
        <v>3.0</v>
      </c>
      <c r="E154" s="11">
        <v>3.0</v>
      </c>
      <c r="F154" s="11">
        <v>3.0</v>
      </c>
    </row>
    <row r="155">
      <c r="A155" s="10" t="s">
        <v>5749</v>
      </c>
      <c r="B155" s="11" t="s">
        <v>133</v>
      </c>
      <c r="C155" s="11">
        <v>3.0</v>
      </c>
      <c r="D155" s="11">
        <v>3.0</v>
      </c>
      <c r="E155" s="11">
        <v>3.0</v>
      </c>
      <c r="F155" s="11">
        <v>3.0</v>
      </c>
    </row>
    <row r="156">
      <c r="A156" s="10" t="s">
        <v>5750</v>
      </c>
      <c r="B156" s="11" t="s">
        <v>133</v>
      </c>
      <c r="C156" s="11">
        <v>3.0</v>
      </c>
      <c r="D156" s="11">
        <v>3.0</v>
      </c>
      <c r="E156" s="11">
        <v>3.0</v>
      </c>
      <c r="F156" s="11">
        <v>3.0</v>
      </c>
    </row>
    <row r="157">
      <c r="A157" s="10" t="s">
        <v>6130</v>
      </c>
      <c r="B157" s="11" t="s">
        <v>133</v>
      </c>
      <c r="C157" s="11">
        <v>3.0</v>
      </c>
      <c r="D157" s="11">
        <v>3.0</v>
      </c>
      <c r="E157" s="11">
        <v>3.0</v>
      </c>
      <c r="F157" s="11">
        <v>3.0</v>
      </c>
    </row>
    <row r="158">
      <c r="A158" s="10" t="s">
        <v>6131</v>
      </c>
      <c r="B158" s="11" t="s">
        <v>133</v>
      </c>
      <c r="C158" s="11">
        <v>3.0</v>
      </c>
      <c r="D158" s="11">
        <v>3.0</v>
      </c>
      <c r="E158" s="11">
        <v>3.0</v>
      </c>
      <c r="F158" s="11">
        <v>3.0</v>
      </c>
    </row>
    <row r="159">
      <c r="A159" s="10" t="s">
        <v>5755</v>
      </c>
      <c r="B159" s="11" t="s">
        <v>133</v>
      </c>
      <c r="C159" s="11">
        <v>3.0</v>
      </c>
      <c r="D159" s="11">
        <v>3.0</v>
      </c>
      <c r="E159" s="11">
        <v>3.0</v>
      </c>
      <c r="F159" s="11">
        <v>3.0</v>
      </c>
    </row>
    <row r="160">
      <c r="A160" s="10" t="s">
        <v>5756</v>
      </c>
      <c r="B160" s="11" t="s">
        <v>133</v>
      </c>
      <c r="C160" s="11">
        <v>3.0</v>
      </c>
      <c r="D160" s="11">
        <v>3.0</v>
      </c>
      <c r="E160" s="11">
        <v>3.0</v>
      </c>
      <c r="F160" s="11">
        <v>3.0</v>
      </c>
    </row>
    <row r="161">
      <c r="A161" s="10" t="s">
        <v>6132</v>
      </c>
      <c r="B161" s="11" t="s">
        <v>133</v>
      </c>
      <c r="C161" s="11">
        <v>3.0</v>
      </c>
      <c r="D161" s="11">
        <v>3.0</v>
      </c>
      <c r="E161" s="11">
        <v>3.0</v>
      </c>
      <c r="F161" s="11">
        <v>3.0</v>
      </c>
    </row>
    <row r="162">
      <c r="A162" s="10" t="s">
        <v>5758</v>
      </c>
      <c r="B162" s="11" t="s">
        <v>133</v>
      </c>
      <c r="C162" s="11">
        <v>3.0</v>
      </c>
      <c r="D162" s="11">
        <v>3.0</v>
      </c>
      <c r="E162" s="11">
        <v>3.0</v>
      </c>
      <c r="F162" s="11">
        <v>3.0</v>
      </c>
    </row>
    <row r="163">
      <c r="A163" s="10" t="s">
        <v>6133</v>
      </c>
      <c r="B163" s="11" t="s">
        <v>133</v>
      </c>
      <c r="C163" s="11">
        <v>3.0</v>
      </c>
      <c r="D163" s="11">
        <v>3.0</v>
      </c>
      <c r="E163" s="11">
        <v>3.0</v>
      </c>
      <c r="F163" s="11">
        <v>3.0</v>
      </c>
    </row>
    <row r="164">
      <c r="A164" s="10" t="s">
        <v>5760</v>
      </c>
      <c r="B164" s="11" t="s">
        <v>133</v>
      </c>
      <c r="C164" s="11">
        <v>3.0</v>
      </c>
      <c r="D164" s="11">
        <v>3.0</v>
      </c>
      <c r="E164" s="11">
        <v>3.0</v>
      </c>
      <c r="F164" s="11">
        <v>3.0</v>
      </c>
    </row>
    <row r="165">
      <c r="A165" s="10" t="s">
        <v>5761</v>
      </c>
      <c r="B165" s="11" t="s">
        <v>133</v>
      </c>
      <c r="C165" s="11">
        <v>3.0</v>
      </c>
      <c r="D165" s="11">
        <v>3.0</v>
      </c>
      <c r="E165" s="11">
        <v>3.0</v>
      </c>
      <c r="F165" s="11">
        <v>3.0</v>
      </c>
    </row>
    <row r="166">
      <c r="A166" s="10" t="s">
        <v>5762</v>
      </c>
      <c r="B166" s="11" t="s">
        <v>133</v>
      </c>
      <c r="C166" s="11">
        <v>3.0</v>
      </c>
      <c r="D166" s="11">
        <v>3.0</v>
      </c>
      <c r="E166" s="11">
        <v>3.0</v>
      </c>
      <c r="F166" s="11">
        <v>3.0</v>
      </c>
    </row>
    <row r="167">
      <c r="A167" s="10" t="s">
        <v>5763</v>
      </c>
      <c r="B167" s="11" t="s">
        <v>133</v>
      </c>
      <c r="C167" s="11">
        <v>3.0</v>
      </c>
      <c r="D167" s="11">
        <v>3.0</v>
      </c>
      <c r="E167" s="11">
        <v>3.0</v>
      </c>
      <c r="F167" s="11">
        <v>3.0</v>
      </c>
    </row>
    <row r="168">
      <c r="A168" s="10" t="s">
        <v>5764</v>
      </c>
      <c r="B168" s="11" t="s">
        <v>133</v>
      </c>
      <c r="C168" s="11">
        <v>3.0</v>
      </c>
      <c r="D168" s="11">
        <v>3.0</v>
      </c>
      <c r="E168" s="11">
        <v>3.0</v>
      </c>
      <c r="F168" s="11">
        <v>3.0</v>
      </c>
    </row>
    <row r="169">
      <c r="A169" s="10" t="s">
        <v>5765</v>
      </c>
      <c r="B169" s="11" t="s">
        <v>133</v>
      </c>
      <c r="C169" s="11">
        <v>3.0</v>
      </c>
      <c r="D169" s="11">
        <v>3.0</v>
      </c>
      <c r="E169" s="11">
        <v>3.0</v>
      </c>
      <c r="F169" s="11">
        <v>3.0</v>
      </c>
    </row>
    <row r="170">
      <c r="A170" s="10" t="s">
        <v>5766</v>
      </c>
      <c r="B170" s="11" t="s">
        <v>133</v>
      </c>
      <c r="C170" s="11">
        <v>3.0</v>
      </c>
      <c r="D170" s="11">
        <v>3.0</v>
      </c>
      <c r="E170" s="11">
        <v>3.0</v>
      </c>
      <c r="F170" s="11">
        <v>3.0</v>
      </c>
    </row>
    <row r="171">
      <c r="A171" s="10" t="s">
        <v>6134</v>
      </c>
      <c r="B171" s="11" t="s">
        <v>133</v>
      </c>
      <c r="C171" s="11">
        <v>3.0</v>
      </c>
      <c r="D171" s="11">
        <v>3.0</v>
      </c>
      <c r="E171" s="11">
        <v>3.0</v>
      </c>
      <c r="F171" s="11">
        <v>3.0</v>
      </c>
    </row>
    <row r="172">
      <c r="A172" s="10" t="s">
        <v>6135</v>
      </c>
      <c r="B172" s="11" t="s">
        <v>133</v>
      </c>
      <c r="C172" s="11">
        <v>3.0</v>
      </c>
      <c r="D172" s="11">
        <v>3.0</v>
      </c>
      <c r="E172" s="11">
        <v>3.0</v>
      </c>
      <c r="F172" s="11">
        <v>3.0</v>
      </c>
    </row>
    <row r="173">
      <c r="A173" s="10" t="s">
        <v>6136</v>
      </c>
      <c r="B173" s="11" t="s">
        <v>133</v>
      </c>
      <c r="C173" s="11">
        <v>3.0</v>
      </c>
      <c r="D173" s="11">
        <v>3.0</v>
      </c>
      <c r="E173" s="11">
        <v>3.0</v>
      </c>
      <c r="F173" s="11">
        <v>3.0</v>
      </c>
    </row>
    <row r="174">
      <c r="A174" s="10" t="s">
        <v>6137</v>
      </c>
      <c r="B174" s="11" t="s">
        <v>133</v>
      </c>
      <c r="C174" s="11">
        <v>3.0</v>
      </c>
      <c r="D174" s="11">
        <v>3.0</v>
      </c>
      <c r="E174" s="11">
        <v>3.0</v>
      </c>
      <c r="F174" s="11">
        <v>3.0</v>
      </c>
    </row>
    <row r="175">
      <c r="A175" s="10" t="s">
        <v>6138</v>
      </c>
      <c r="B175" s="11" t="s">
        <v>133</v>
      </c>
      <c r="C175" s="11">
        <v>3.0</v>
      </c>
      <c r="D175" s="11">
        <v>3.0</v>
      </c>
      <c r="E175" s="11">
        <v>3.0</v>
      </c>
      <c r="F175" s="11">
        <v>3.0</v>
      </c>
    </row>
    <row r="176">
      <c r="A176" s="10" t="s">
        <v>5771</v>
      </c>
      <c r="B176" s="11" t="s">
        <v>133</v>
      </c>
      <c r="C176" s="11">
        <v>3.0</v>
      </c>
      <c r="D176" s="11">
        <v>3.0</v>
      </c>
      <c r="E176" s="11">
        <v>3.0</v>
      </c>
      <c r="F176" s="11">
        <v>3.0</v>
      </c>
    </row>
    <row r="177">
      <c r="A177" s="10" t="s">
        <v>5772</v>
      </c>
      <c r="B177" s="11" t="s">
        <v>133</v>
      </c>
      <c r="C177" s="11">
        <v>3.0</v>
      </c>
      <c r="D177" s="11">
        <v>3.0</v>
      </c>
      <c r="E177" s="11">
        <v>3.0</v>
      </c>
      <c r="F177" s="11">
        <v>3.0</v>
      </c>
    </row>
    <row r="178">
      <c r="A178" s="10" t="s">
        <v>5773</v>
      </c>
      <c r="B178" s="11" t="s">
        <v>133</v>
      </c>
      <c r="C178" s="11">
        <v>3.0</v>
      </c>
      <c r="D178" s="11">
        <v>3.0</v>
      </c>
      <c r="E178" s="11">
        <v>3.0</v>
      </c>
      <c r="F178" s="11">
        <v>3.0</v>
      </c>
    </row>
    <row r="179">
      <c r="A179" s="10" t="s">
        <v>6139</v>
      </c>
      <c r="B179" s="11" t="s">
        <v>133</v>
      </c>
      <c r="C179" s="11">
        <v>3.0</v>
      </c>
      <c r="D179" s="11">
        <v>3.0</v>
      </c>
      <c r="E179" s="11">
        <v>3.0</v>
      </c>
      <c r="F179" s="11">
        <v>3.0</v>
      </c>
    </row>
    <row r="180">
      <c r="A180" s="10" t="s">
        <v>6140</v>
      </c>
      <c r="B180" s="11" t="s">
        <v>133</v>
      </c>
      <c r="C180" s="11">
        <v>3.0</v>
      </c>
      <c r="D180" s="11">
        <v>3.0</v>
      </c>
      <c r="E180" s="11">
        <v>3.0</v>
      </c>
      <c r="F180" s="11">
        <v>3.0</v>
      </c>
    </row>
    <row r="181">
      <c r="A181" s="10" t="s">
        <v>5775</v>
      </c>
      <c r="B181" s="11" t="s">
        <v>133</v>
      </c>
      <c r="C181" s="11">
        <v>3.0</v>
      </c>
      <c r="D181" s="11">
        <v>3.0</v>
      </c>
      <c r="E181" s="11">
        <v>3.0</v>
      </c>
      <c r="F181" s="11">
        <v>3.0</v>
      </c>
    </row>
    <row r="182">
      <c r="A182" s="10" t="s">
        <v>5776</v>
      </c>
      <c r="B182" s="11" t="s">
        <v>133</v>
      </c>
      <c r="C182" s="11">
        <v>3.0</v>
      </c>
      <c r="D182" s="11">
        <v>3.0</v>
      </c>
      <c r="E182" s="11">
        <v>3.0</v>
      </c>
      <c r="F182" s="11">
        <v>3.0</v>
      </c>
    </row>
    <row r="183">
      <c r="A183" s="10" t="s">
        <v>6141</v>
      </c>
      <c r="B183" s="11" t="s">
        <v>133</v>
      </c>
      <c r="C183" s="11">
        <v>3.0</v>
      </c>
      <c r="D183" s="11">
        <v>3.0</v>
      </c>
      <c r="E183" s="11">
        <v>3.0</v>
      </c>
      <c r="F183" s="11">
        <v>3.0</v>
      </c>
    </row>
    <row r="184">
      <c r="A184" s="10" t="s">
        <v>6142</v>
      </c>
      <c r="B184" s="11" t="s">
        <v>133</v>
      </c>
      <c r="C184" s="11">
        <v>3.0</v>
      </c>
      <c r="D184" s="11">
        <v>3.0</v>
      </c>
      <c r="E184" s="11">
        <v>3.0</v>
      </c>
      <c r="F184" s="11">
        <v>3.0</v>
      </c>
    </row>
    <row r="185">
      <c r="A185" s="10" t="s">
        <v>6143</v>
      </c>
      <c r="B185" s="11" t="s">
        <v>133</v>
      </c>
      <c r="C185" s="11">
        <v>3.0</v>
      </c>
      <c r="D185" s="11">
        <v>3.0</v>
      </c>
      <c r="E185" s="11">
        <v>3.0</v>
      </c>
      <c r="F185" s="11">
        <v>3.0</v>
      </c>
    </row>
    <row r="186">
      <c r="A186" s="10" t="s">
        <v>6144</v>
      </c>
      <c r="B186" s="11" t="s">
        <v>133</v>
      </c>
      <c r="C186" s="11">
        <v>3.0</v>
      </c>
      <c r="D186" s="11">
        <v>3.0</v>
      </c>
      <c r="E186" s="11">
        <v>3.0</v>
      </c>
      <c r="F186" s="11">
        <v>3.0</v>
      </c>
    </row>
    <row r="187">
      <c r="A187" s="10" t="s">
        <v>6145</v>
      </c>
      <c r="B187" s="11" t="s">
        <v>133</v>
      </c>
      <c r="C187" s="11">
        <v>3.0</v>
      </c>
      <c r="D187" s="11">
        <v>3.0</v>
      </c>
      <c r="E187" s="11">
        <v>3.0</v>
      </c>
      <c r="F187" s="11">
        <v>3.0</v>
      </c>
    </row>
    <row r="188">
      <c r="A188" s="10" t="s">
        <v>6146</v>
      </c>
      <c r="B188" s="11" t="s">
        <v>133</v>
      </c>
      <c r="C188" s="11">
        <v>3.0</v>
      </c>
      <c r="D188" s="11">
        <v>3.0</v>
      </c>
      <c r="E188" s="11">
        <v>3.0</v>
      </c>
      <c r="F188" s="11">
        <v>3.0</v>
      </c>
    </row>
    <row r="189">
      <c r="A189" s="10" t="s">
        <v>6147</v>
      </c>
      <c r="B189" s="11" t="s">
        <v>133</v>
      </c>
      <c r="C189" s="11">
        <v>3.0</v>
      </c>
      <c r="D189" s="11">
        <v>3.0</v>
      </c>
      <c r="E189" s="11">
        <v>3.0</v>
      </c>
      <c r="F189" s="11">
        <v>3.0</v>
      </c>
    </row>
    <row r="190">
      <c r="A190" s="10" t="s">
        <v>6148</v>
      </c>
      <c r="B190" s="11" t="s">
        <v>133</v>
      </c>
      <c r="C190" s="11">
        <v>3.0</v>
      </c>
      <c r="D190" s="11">
        <v>3.0</v>
      </c>
      <c r="E190" s="11">
        <v>3.0</v>
      </c>
      <c r="F190" s="11">
        <v>3.0</v>
      </c>
    </row>
    <row r="191">
      <c r="A191" s="10" t="s">
        <v>5779</v>
      </c>
      <c r="B191" s="11" t="s">
        <v>54</v>
      </c>
      <c r="C191" s="11">
        <v>3.0</v>
      </c>
      <c r="D191" s="11">
        <v>3.0</v>
      </c>
      <c r="E191" s="11">
        <v>3.0</v>
      </c>
      <c r="F191" s="11">
        <v>3.0</v>
      </c>
    </row>
    <row r="192">
      <c r="A192" s="10" t="s">
        <v>6149</v>
      </c>
      <c r="B192" s="11" t="s">
        <v>133</v>
      </c>
      <c r="C192" s="11">
        <v>3.0</v>
      </c>
      <c r="D192" s="11">
        <v>3.0</v>
      </c>
      <c r="E192" s="11">
        <v>3.0</v>
      </c>
      <c r="F192" s="11">
        <v>3.0</v>
      </c>
    </row>
    <row r="193">
      <c r="A193" s="10" t="s">
        <v>6150</v>
      </c>
      <c r="B193" s="11" t="s">
        <v>133</v>
      </c>
      <c r="C193" s="11">
        <v>3.0</v>
      </c>
      <c r="D193" s="11">
        <v>3.0</v>
      </c>
      <c r="E193" s="11">
        <v>3.0</v>
      </c>
      <c r="F193" s="11">
        <v>3.0</v>
      </c>
    </row>
    <row r="194">
      <c r="A194" s="10" t="s">
        <v>6151</v>
      </c>
      <c r="B194" s="11" t="s">
        <v>133</v>
      </c>
      <c r="C194" s="11">
        <v>3.0</v>
      </c>
      <c r="D194" s="11">
        <v>3.0</v>
      </c>
      <c r="E194" s="11">
        <v>3.0</v>
      </c>
      <c r="F194" s="11">
        <v>3.0</v>
      </c>
    </row>
    <row r="195">
      <c r="A195" s="10" t="s">
        <v>5784</v>
      </c>
      <c r="B195" s="11" t="s">
        <v>133</v>
      </c>
      <c r="C195" s="11">
        <v>3.0</v>
      </c>
      <c r="D195" s="11">
        <v>3.0</v>
      </c>
      <c r="E195" s="11">
        <v>3.0</v>
      </c>
      <c r="F195" s="11">
        <v>3.0</v>
      </c>
    </row>
    <row r="196">
      <c r="A196" s="10" t="s">
        <v>6152</v>
      </c>
      <c r="B196" s="11" t="s">
        <v>133</v>
      </c>
      <c r="C196" s="11">
        <v>3.0</v>
      </c>
      <c r="D196" s="11">
        <v>3.0</v>
      </c>
      <c r="E196" s="11">
        <v>3.0</v>
      </c>
      <c r="F196" s="11">
        <v>3.0</v>
      </c>
    </row>
    <row r="197">
      <c r="A197" s="10" t="s">
        <v>6153</v>
      </c>
      <c r="B197" s="11" t="s">
        <v>133</v>
      </c>
      <c r="C197" s="11">
        <v>3.0</v>
      </c>
      <c r="D197" s="11">
        <v>3.0</v>
      </c>
      <c r="E197" s="11">
        <v>3.0</v>
      </c>
      <c r="F197" s="11">
        <v>3.0</v>
      </c>
    </row>
    <row r="198">
      <c r="A198" s="10" t="s">
        <v>6154</v>
      </c>
      <c r="B198" s="11" t="s">
        <v>133</v>
      </c>
      <c r="C198" s="11">
        <v>3.0</v>
      </c>
      <c r="D198" s="11">
        <v>3.0</v>
      </c>
      <c r="E198" s="11">
        <v>3.0</v>
      </c>
      <c r="F198" s="11">
        <v>3.0</v>
      </c>
    </row>
    <row r="199">
      <c r="A199" s="10" t="s">
        <v>6155</v>
      </c>
      <c r="B199" s="11" t="s">
        <v>133</v>
      </c>
      <c r="C199" s="11">
        <v>3.0</v>
      </c>
      <c r="D199" s="11">
        <v>3.0</v>
      </c>
      <c r="E199" s="11">
        <v>3.0</v>
      </c>
      <c r="F199" s="11">
        <v>3.0</v>
      </c>
    </row>
    <row r="200">
      <c r="A200" s="10" t="s">
        <v>6156</v>
      </c>
      <c r="B200" s="11" t="s">
        <v>133</v>
      </c>
      <c r="C200" s="11">
        <v>3.0</v>
      </c>
      <c r="D200" s="11">
        <v>3.0</v>
      </c>
      <c r="E200" s="11">
        <v>3.0</v>
      </c>
      <c r="F200" s="11">
        <v>3.0</v>
      </c>
    </row>
    <row r="201">
      <c r="A201" s="10" t="s">
        <v>5790</v>
      </c>
      <c r="B201" s="11" t="s">
        <v>54</v>
      </c>
      <c r="C201" s="11">
        <v>3.0</v>
      </c>
      <c r="D201" s="11">
        <v>3.0</v>
      </c>
      <c r="E201" s="11">
        <v>3.0</v>
      </c>
      <c r="F201" s="11">
        <v>3.0</v>
      </c>
    </row>
    <row r="202">
      <c r="A202" s="10" t="s">
        <v>6157</v>
      </c>
      <c r="B202" s="11" t="s">
        <v>133</v>
      </c>
      <c r="C202" s="11">
        <v>3.0</v>
      </c>
      <c r="D202" s="11">
        <v>3.0</v>
      </c>
      <c r="E202" s="11">
        <v>3.0</v>
      </c>
      <c r="F202" s="11">
        <v>3.0</v>
      </c>
    </row>
    <row r="203">
      <c r="A203" s="10" t="s">
        <v>6158</v>
      </c>
      <c r="B203" s="11" t="s">
        <v>133</v>
      </c>
      <c r="C203" s="11">
        <v>3.0</v>
      </c>
      <c r="D203" s="11">
        <v>3.0</v>
      </c>
      <c r="E203" s="11">
        <v>3.0</v>
      </c>
      <c r="F203" s="11">
        <v>3.0</v>
      </c>
    </row>
    <row r="204">
      <c r="A204" s="10" t="s">
        <v>5793</v>
      </c>
      <c r="B204" s="11" t="s">
        <v>133</v>
      </c>
      <c r="C204" s="11">
        <v>3.0</v>
      </c>
      <c r="D204" s="11">
        <v>3.0</v>
      </c>
      <c r="E204" s="11">
        <v>3.0</v>
      </c>
      <c r="F204" s="11">
        <v>3.0</v>
      </c>
    </row>
    <row r="205">
      <c r="A205" s="10" t="s">
        <v>6159</v>
      </c>
      <c r="B205" s="11" t="s">
        <v>133</v>
      </c>
      <c r="C205" s="11">
        <v>3.0</v>
      </c>
      <c r="D205" s="11">
        <v>3.0</v>
      </c>
      <c r="E205" s="11">
        <v>3.0</v>
      </c>
      <c r="F205" s="11">
        <v>3.0</v>
      </c>
    </row>
    <row r="206">
      <c r="A206" s="10" t="s">
        <v>5795</v>
      </c>
      <c r="B206" s="11" t="s">
        <v>133</v>
      </c>
      <c r="C206" s="11">
        <v>3.0</v>
      </c>
      <c r="D206" s="11">
        <v>3.0</v>
      </c>
      <c r="E206" s="11">
        <v>3.0</v>
      </c>
      <c r="F206" s="11">
        <v>3.0</v>
      </c>
    </row>
    <row r="207">
      <c r="A207" s="10" t="s">
        <v>5796</v>
      </c>
      <c r="B207" s="11" t="s">
        <v>133</v>
      </c>
      <c r="C207" s="11">
        <v>3.0</v>
      </c>
      <c r="D207" s="11">
        <v>3.0</v>
      </c>
      <c r="E207" s="11">
        <v>3.0</v>
      </c>
      <c r="F207" s="11">
        <v>3.0</v>
      </c>
    </row>
    <row r="208">
      <c r="A208" s="10" t="s">
        <v>5797</v>
      </c>
      <c r="B208" s="11" t="s">
        <v>133</v>
      </c>
      <c r="C208" s="11">
        <v>3.0</v>
      </c>
      <c r="D208" s="11">
        <v>3.0</v>
      </c>
      <c r="E208" s="11">
        <v>3.0</v>
      </c>
      <c r="F208" s="11">
        <v>3.0</v>
      </c>
    </row>
    <row r="209">
      <c r="A209" s="10" t="s">
        <v>5798</v>
      </c>
      <c r="B209" s="11" t="s">
        <v>133</v>
      </c>
      <c r="C209" s="11">
        <v>3.0</v>
      </c>
      <c r="D209" s="11">
        <v>3.0</v>
      </c>
      <c r="E209" s="11">
        <v>3.0</v>
      </c>
      <c r="F209" s="11">
        <v>3.0</v>
      </c>
    </row>
    <row r="210">
      <c r="A210" s="10" t="s">
        <v>5799</v>
      </c>
      <c r="B210" s="11" t="s">
        <v>133</v>
      </c>
      <c r="C210" s="11">
        <v>3.0</v>
      </c>
      <c r="D210" s="11">
        <v>3.0</v>
      </c>
      <c r="E210" s="11">
        <v>3.0</v>
      </c>
      <c r="F210" s="11">
        <v>3.0</v>
      </c>
    </row>
    <row r="211">
      <c r="A211" s="10" t="s">
        <v>2447</v>
      </c>
      <c r="B211" s="11" t="s">
        <v>133</v>
      </c>
      <c r="C211" s="11">
        <v>3.0</v>
      </c>
      <c r="D211" s="11">
        <v>3.0</v>
      </c>
      <c r="E211" s="11">
        <v>3.0</v>
      </c>
      <c r="F211" s="11">
        <v>3.0</v>
      </c>
    </row>
    <row r="212">
      <c r="A212" s="10" t="s">
        <v>5800</v>
      </c>
      <c r="B212" s="11" t="s">
        <v>133</v>
      </c>
      <c r="C212" s="11">
        <v>3.0</v>
      </c>
      <c r="D212" s="11">
        <v>3.0</v>
      </c>
      <c r="E212" s="11">
        <v>3.0</v>
      </c>
      <c r="F212" s="11">
        <v>3.0</v>
      </c>
    </row>
    <row r="213">
      <c r="A213" s="10" t="s">
        <v>6160</v>
      </c>
      <c r="B213" s="11" t="s">
        <v>133</v>
      </c>
      <c r="C213" s="11">
        <v>3.0</v>
      </c>
      <c r="D213" s="11">
        <v>3.0</v>
      </c>
      <c r="E213" s="11">
        <v>3.0</v>
      </c>
      <c r="F213" s="11">
        <v>3.0</v>
      </c>
    </row>
    <row r="214">
      <c r="A214" s="10" t="s">
        <v>5803</v>
      </c>
      <c r="B214" s="11" t="s">
        <v>133</v>
      </c>
      <c r="C214" s="11">
        <v>3.0</v>
      </c>
      <c r="D214" s="11">
        <v>3.0</v>
      </c>
      <c r="E214" s="11">
        <v>3.0</v>
      </c>
      <c r="F214" s="11">
        <v>3.0</v>
      </c>
    </row>
    <row r="215">
      <c r="A215" s="10" t="s">
        <v>5804</v>
      </c>
      <c r="B215" s="11" t="s">
        <v>133</v>
      </c>
      <c r="C215" s="11">
        <v>3.0</v>
      </c>
      <c r="D215" s="11">
        <v>3.0</v>
      </c>
      <c r="E215" s="11">
        <v>3.0</v>
      </c>
      <c r="F215" s="11">
        <v>3.0</v>
      </c>
    </row>
    <row r="216">
      <c r="A216" s="10" t="s">
        <v>5805</v>
      </c>
      <c r="B216" s="11" t="s">
        <v>133</v>
      </c>
      <c r="C216" s="11">
        <v>3.0</v>
      </c>
      <c r="D216" s="11">
        <v>3.0</v>
      </c>
      <c r="E216" s="11">
        <v>3.0</v>
      </c>
      <c r="F216" s="11">
        <v>3.0</v>
      </c>
    </row>
    <row r="217">
      <c r="A217" s="10" t="s">
        <v>5806</v>
      </c>
      <c r="B217" s="11" t="s">
        <v>133</v>
      </c>
      <c r="C217" s="11">
        <v>3.0</v>
      </c>
      <c r="D217" s="11">
        <v>3.0</v>
      </c>
      <c r="E217" s="11">
        <v>3.0</v>
      </c>
      <c r="F217" s="11">
        <v>3.0</v>
      </c>
    </row>
    <row r="218">
      <c r="A218" s="10" t="s">
        <v>5807</v>
      </c>
      <c r="B218" s="11" t="s">
        <v>133</v>
      </c>
      <c r="C218" s="11">
        <v>3.0</v>
      </c>
      <c r="D218" s="11">
        <v>3.0</v>
      </c>
      <c r="E218" s="11">
        <v>3.0</v>
      </c>
      <c r="F218" s="11">
        <v>3.0</v>
      </c>
    </row>
    <row r="219">
      <c r="A219" s="10" t="s">
        <v>6161</v>
      </c>
      <c r="B219" s="11" t="s">
        <v>133</v>
      </c>
      <c r="C219" s="11">
        <v>3.0</v>
      </c>
      <c r="D219" s="11">
        <v>3.0</v>
      </c>
      <c r="E219" s="11">
        <v>3.0</v>
      </c>
      <c r="F219" s="11">
        <v>3.0</v>
      </c>
    </row>
    <row r="220">
      <c r="A220" s="10" t="s">
        <v>2495</v>
      </c>
      <c r="B220" s="11" t="s">
        <v>133</v>
      </c>
      <c r="C220" s="11">
        <v>3.0</v>
      </c>
      <c r="D220" s="11">
        <v>3.0</v>
      </c>
      <c r="E220" s="11">
        <v>3.0</v>
      </c>
      <c r="F220" s="11">
        <v>3.0</v>
      </c>
    </row>
    <row r="221">
      <c r="A221" s="10" t="s">
        <v>6162</v>
      </c>
      <c r="B221" s="11" t="s">
        <v>133</v>
      </c>
      <c r="C221" s="11">
        <v>3.0</v>
      </c>
      <c r="D221" s="11">
        <v>3.0</v>
      </c>
      <c r="E221" s="11">
        <v>3.0</v>
      </c>
      <c r="F221" s="11">
        <v>3.0</v>
      </c>
    </row>
    <row r="222">
      <c r="A222" s="10" t="s">
        <v>5810</v>
      </c>
      <c r="B222" s="11" t="s">
        <v>133</v>
      </c>
      <c r="C222" s="11">
        <v>3.0</v>
      </c>
      <c r="D222" s="11">
        <v>3.0</v>
      </c>
      <c r="E222" s="11">
        <v>3.0</v>
      </c>
      <c r="F222" s="11">
        <v>3.0</v>
      </c>
    </row>
    <row r="223">
      <c r="A223" s="10" t="s">
        <v>5811</v>
      </c>
      <c r="B223" s="11" t="s">
        <v>133</v>
      </c>
      <c r="C223" s="11">
        <v>3.0</v>
      </c>
      <c r="D223" s="11">
        <v>3.0</v>
      </c>
      <c r="E223" s="11">
        <v>3.0</v>
      </c>
      <c r="F223" s="11">
        <v>3.0</v>
      </c>
    </row>
    <row r="224">
      <c r="A224" s="10" t="s">
        <v>6163</v>
      </c>
      <c r="B224" s="11" t="s">
        <v>133</v>
      </c>
      <c r="C224" s="11">
        <v>3.0</v>
      </c>
      <c r="D224" s="11">
        <v>3.0</v>
      </c>
      <c r="E224" s="11">
        <v>3.0</v>
      </c>
      <c r="F224" s="11">
        <v>3.0</v>
      </c>
    </row>
    <row r="225">
      <c r="A225" s="10" t="s">
        <v>6164</v>
      </c>
      <c r="B225" s="11" t="s">
        <v>133</v>
      </c>
      <c r="C225" s="11">
        <v>3.0</v>
      </c>
      <c r="D225" s="11">
        <v>3.0</v>
      </c>
      <c r="E225" s="11">
        <v>3.0</v>
      </c>
      <c r="F225" s="11">
        <v>3.0</v>
      </c>
    </row>
    <row r="226">
      <c r="A226" s="10" t="s">
        <v>6165</v>
      </c>
      <c r="B226" s="11" t="s">
        <v>133</v>
      </c>
      <c r="C226" s="11">
        <v>3.0</v>
      </c>
      <c r="D226" s="11">
        <v>3.0</v>
      </c>
      <c r="E226" s="11">
        <v>3.0</v>
      </c>
      <c r="F226" s="11">
        <v>3.0</v>
      </c>
    </row>
    <row r="227">
      <c r="A227" s="10" t="s">
        <v>5815</v>
      </c>
      <c r="B227" s="11" t="s">
        <v>133</v>
      </c>
      <c r="C227" s="11">
        <v>3.0</v>
      </c>
      <c r="D227" s="11">
        <v>3.0</v>
      </c>
      <c r="E227" s="11">
        <v>3.0</v>
      </c>
      <c r="F227" s="11">
        <v>3.0</v>
      </c>
    </row>
    <row r="228">
      <c r="A228" s="10" t="s">
        <v>6166</v>
      </c>
      <c r="B228" s="11" t="s">
        <v>133</v>
      </c>
      <c r="C228" s="11">
        <v>3.0</v>
      </c>
      <c r="D228" s="11">
        <v>3.0</v>
      </c>
      <c r="E228" s="11">
        <v>3.0</v>
      </c>
      <c r="F228" s="11">
        <v>3.0</v>
      </c>
    </row>
    <row r="229">
      <c r="A229" s="10" t="s">
        <v>6167</v>
      </c>
      <c r="B229" s="11" t="s">
        <v>133</v>
      </c>
      <c r="C229" s="11">
        <v>3.0</v>
      </c>
      <c r="D229" s="11">
        <v>3.0</v>
      </c>
      <c r="E229" s="11">
        <v>3.0</v>
      </c>
      <c r="F229" s="11">
        <v>3.0</v>
      </c>
    </row>
    <row r="230">
      <c r="A230" s="10" t="s">
        <v>6168</v>
      </c>
      <c r="B230" s="11" t="s">
        <v>133</v>
      </c>
      <c r="C230" s="11">
        <v>3.0</v>
      </c>
      <c r="D230" s="11">
        <v>3.0</v>
      </c>
      <c r="E230" s="11">
        <v>3.0</v>
      </c>
      <c r="F230" s="11">
        <v>3.0</v>
      </c>
    </row>
    <row r="231">
      <c r="A231" s="10" t="s">
        <v>6169</v>
      </c>
      <c r="B231" s="11" t="s">
        <v>133</v>
      </c>
      <c r="C231" s="11">
        <v>3.0</v>
      </c>
      <c r="D231" s="11">
        <v>3.0</v>
      </c>
      <c r="E231" s="11">
        <v>3.0</v>
      </c>
      <c r="F231" s="11">
        <v>3.0</v>
      </c>
    </row>
    <row r="232">
      <c r="A232" s="10" t="s">
        <v>6170</v>
      </c>
      <c r="B232" s="11" t="s">
        <v>133</v>
      </c>
      <c r="C232" s="11">
        <v>3.0</v>
      </c>
      <c r="D232" s="11">
        <v>3.0</v>
      </c>
      <c r="E232" s="11">
        <v>3.0</v>
      </c>
      <c r="F232" s="11">
        <v>3.0</v>
      </c>
    </row>
    <row r="233">
      <c r="A233" s="10" t="s">
        <v>6171</v>
      </c>
      <c r="B233" s="11" t="s">
        <v>133</v>
      </c>
      <c r="C233" s="11">
        <v>3.0</v>
      </c>
      <c r="D233" s="11">
        <v>3.0</v>
      </c>
      <c r="E233" s="11">
        <v>3.0</v>
      </c>
      <c r="F233" s="11">
        <v>3.0</v>
      </c>
    </row>
    <row r="234">
      <c r="A234" s="10" t="s">
        <v>2591</v>
      </c>
      <c r="B234" s="11" t="s">
        <v>133</v>
      </c>
      <c r="C234" s="11">
        <v>3.0</v>
      </c>
      <c r="D234" s="11">
        <v>3.0</v>
      </c>
      <c r="E234" s="11">
        <v>3.0</v>
      </c>
      <c r="F234" s="11">
        <v>3.0</v>
      </c>
    </row>
    <row r="235">
      <c r="A235" s="10" t="s">
        <v>2593</v>
      </c>
      <c r="B235" s="11" t="s">
        <v>133</v>
      </c>
      <c r="C235" s="11">
        <v>3.0</v>
      </c>
      <c r="D235" s="11">
        <v>3.0</v>
      </c>
      <c r="E235" s="11">
        <v>3.0</v>
      </c>
      <c r="F235" s="11">
        <v>3.0</v>
      </c>
    </row>
    <row r="236">
      <c r="A236" s="10" t="s">
        <v>6172</v>
      </c>
      <c r="B236" s="11" t="s">
        <v>133</v>
      </c>
      <c r="C236" s="11">
        <v>3.0</v>
      </c>
      <c r="D236" s="11">
        <v>3.0</v>
      </c>
      <c r="E236" s="11">
        <v>3.0</v>
      </c>
      <c r="F236" s="11">
        <v>3.0</v>
      </c>
    </row>
    <row r="237">
      <c r="A237" s="10" t="s">
        <v>6173</v>
      </c>
      <c r="B237" s="11" t="s">
        <v>133</v>
      </c>
      <c r="C237" s="11">
        <v>3.0</v>
      </c>
      <c r="D237" s="11">
        <v>3.0</v>
      </c>
      <c r="E237" s="11">
        <v>3.0</v>
      </c>
      <c r="F237" s="11">
        <v>3.0</v>
      </c>
    </row>
    <row r="238">
      <c r="A238" s="10" t="s">
        <v>6174</v>
      </c>
      <c r="B238" s="11" t="s">
        <v>133</v>
      </c>
      <c r="C238" s="11">
        <v>3.0</v>
      </c>
      <c r="D238" s="11">
        <v>3.0</v>
      </c>
      <c r="E238" s="11">
        <v>3.0</v>
      </c>
      <c r="F238" s="11">
        <v>3.0</v>
      </c>
    </row>
    <row r="239">
      <c r="A239" s="10" t="s">
        <v>5827</v>
      </c>
      <c r="B239" s="11" t="s">
        <v>133</v>
      </c>
      <c r="C239" s="11">
        <v>3.0</v>
      </c>
      <c r="D239" s="11">
        <v>3.0</v>
      </c>
      <c r="E239" s="11">
        <v>3.0</v>
      </c>
      <c r="F239" s="11">
        <v>3.0</v>
      </c>
    </row>
    <row r="240">
      <c r="A240" s="10" t="s">
        <v>6175</v>
      </c>
      <c r="B240" s="11" t="s">
        <v>133</v>
      </c>
      <c r="C240" s="11">
        <v>3.0</v>
      </c>
      <c r="D240" s="11">
        <v>3.0</v>
      </c>
      <c r="E240" s="11">
        <v>3.0</v>
      </c>
      <c r="F240" s="11">
        <v>3.0</v>
      </c>
    </row>
    <row r="241">
      <c r="A241" s="10" t="s">
        <v>5828</v>
      </c>
      <c r="B241" s="11" t="s">
        <v>133</v>
      </c>
      <c r="C241" s="11">
        <v>3.0</v>
      </c>
      <c r="D241" s="11">
        <v>3.0</v>
      </c>
      <c r="E241" s="11">
        <v>3.0</v>
      </c>
      <c r="F241" s="11">
        <v>3.0</v>
      </c>
    </row>
    <row r="242">
      <c r="A242" s="10" t="s">
        <v>5829</v>
      </c>
      <c r="B242" s="11" t="s">
        <v>133</v>
      </c>
      <c r="C242" s="11">
        <v>3.0</v>
      </c>
      <c r="D242" s="11">
        <v>3.0</v>
      </c>
      <c r="E242" s="11">
        <v>3.0</v>
      </c>
      <c r="F242" s="11">
        <v>3.0</v>
      </c>
    </row>
    <row r="243">
      <c r="A243" s="10" t="s">
        <v>6176</v>
      </c>
      <c r="B243" s="11" t="s">
        <v>133</v>
      </c>
      <c r="C243" s="11">
        <v>3.0</v>
      </c>
      <c r="D243" s="11">
        <v>3.0</v>
      </c>
      <c r="E243" s="11">
        <v>3.0</v>
      </c>
      <c r="F243" s="11">
        <v>3.0</v>
      </c>
    </row>
    <row r="244">
      <c r="A244" s="10" t="s">
        <v>5830</v>
      </c>
      <c r="B244" s="11" t="s">
        <v>133</v>
      </c>
      <c r="C244" s="11">
        <v>3.0</v>
      </c>
      <c r="D244" s="11">
        <v>3.0</v>
      </c>
      <c r="E244" s="11">
        <v>3.0</v>
      </c>
      <c r="F244" s="11">
        <v>3.0</v>
      </c>
    </row>
    <row r="245">
      <c r="A245" s="10" t="s">
        <v>6177</v>
      </c>
      <c r="B245" s="11" t="s">
        <v>133</v>
      </c>
      <c r="C245" s="11">
        <v>3.0</v>
      </c>
      <c r="D245" s="11">
        <v>3.0</v>
      </c>
      <c r="E245" s="11">
        <v>3.0</v>
      </c>
      <c r="F245" s="11">
        <v>3.0</v>
      </c>
    </row>
    <row r="246">
      <c r="A246" s="10" t="s">
        <v>5833</v>
      </c>
      <c r="B246" s="11" t="s">
        <v>133</v>
      </c>
      <c r="C246" s="11">
        <v>3.0</v>
      </c>
      <c r="D246" s="11">
        <v>3.0</v>
      </c>
      <c r="E246" s="11">
        <v>3.0</v>
      </c>
      <c r="F246" s="11">
        <v>3.0</v>
      </c>
    </row>
    <row r="247">
      <c r="A247" s="10" t="s">
        <v>6178</v>
      </c>
      <c r="B247" s="11" t="s">
        <v>133</v>
      </c>
      <c r="C247" s="11">
        <v>3.0</v>
      </c>
      <c r="D247" s="11">
        <v>3.0</v>
      </c>
      <c r="E247" s="11">
        <v>3.0</v>
      </c>
      <c r="F247" s="11">
        <v>3.0</v>
      </c>
    </row>
    <row r="248">
      <c r="A248" s="10" t="s">
        <v>5834</v>
      </c>
      <c r="B248" s="11" t="s">
        <v>133</v>
      </c>
      <c r="C248" s="11">
        <v>3.0</v>
      </c>
      <c r="D248" s="11">
        <v>3.0</v>
      </c>
      <c r="E248" s="11">
        <v>3.0</v>
      </c>
      <c r="F248" s="11">
        <v>3.0</v>
      </c>
    </row>
    <row r="249">
      <c r="A249" s="10" t="s">
        <v>5835</v>
      </c>
      <c r="B249" s="11" t="s">
        <v>133</v>
      </c>
      <c r="C249" s="11">
        <v>3.0</v>
      </c>
      <c r="D249" s="11">
        <v>3.0</v>
      </c>
      <c r="E249" s="11">
        <v>3.0</v>
      </c>
      <c r="F249" s="11">
        <v>3.0</v>
      </c>
    </row>
    <row r="250">
      <c r="A250" s="10" t="s">
        <v>5836</v>
      </c>
      <c r="B250" s="11" t="s">
        <v>133</v>
      </c>
      <c r="C250" s="11">
        <v>3.0</v>
      </c>
      <c r="D250" s="11">
        <v>3.0</v>
      </c>
      <c r="E250" s="11">
        <v>3.0</v>
      </c>
      <c r="F250" s="11">
        <v>3.0</v>
      </c>
    </row>
    <row r="251">
      <c r="A251" s="10" t="s">
        <v>6179</v>
      </c>
      <c r="B251" s="11" t="s">
        <v>133</v>
      </c>
      <c r="C251" s="11">
        <v>3.0</v>
      </c>
      <c r="D251" s="11">
        <v>3.0</v>
      </c>
      <c r="E251" s="11">
        <v>3.0</v>
      </c>
      <c r="F251" s="11">
        <v>3.0</v>
      </c>
    </row>
    <row r="252">
      <c r="A252" s="10" t="s">
        <v>6180</v>
      </c>
      <c r="B252" s="11" t="s">
        <v>133</v>
      </c>
      <c r="C252" s="11">
        <v>3.0</v>
      </c>
      <c r="D252" s="11">
        <v>3.0</v>
      </c>
      <c r="E252" s="11">
        <v>3.0</v>
      </c>
      <c r="F252" s="11">
        <v>3.0</v>
      </c>
    </row>
    <row r="253">
      <c r="A253" s="10" t="s">
        <v>5839</v>
      </c>
      <c r="B253" s="11" t="s">
        <v>133</v>
      </c>
      <c r="C253" s="11">
        <v>3.0</v>
      </c>
      <c r="D253" s="11">
        <v>3.0</v>
      </c>
      <c r="E253" s="11">
        <v>3.0</v>
      </c>
      <c r="F253" s="11">
        <v>3.0</v>
      </c>
    </row>
    <row r="254">
      <c r="A254" s="10" t="s">
        <v>2717</v>
      </c>
      <c r="B254" s="11" t="s">
        <v>133</v>
      </c>
      <c r="C254" s="11">
        <v>3.0</v>
      </c>
      <c r="D254" s="11">
        <v>3.0</v>
      </c>
      <c r="E254" s="11">
        <v>3.0</v>
      </c>
      <c r="F254" s="11">
        <v>3.0</v>
      </c>
    </row>
    <row r="255">
      <c r="A255" s="10" t="s">
        <v>5840</v>
      </c>
      <c r="B255" s="11" t="s">
        <v>133</v>
      </c>
      <c r="C255" s="11">
        <v>3.0</v>
      </c>
      <c r="D255" s="11">
        <v>3.0</v>
      </c>
      <c r="E255" s="11">
        <v>3.0</v>
      </c>
      <c r="F255" s="11">
        <v>3.0</v>
      </c>
    </row>
    <row r="256">
      <c r="A256" s="10" t="s">
        <v>5841</v>
      </c>
      <c r="B256" s="11" t="s">
        <v>133</v>
      </c>
      <c r="C256" s="11">
        <v>3.0</v>
      </c>
      <c r="D256" s="11">
        <v>3.0</v>
      </c>
      <c r="E256" s="11">
        <v>3.0</v>
      </c>
      <c r="F256" s="11">
        <v>3.0</v>
      </c>
    </row>
    <row r="257">
      <c r="A257" s="10" t="s">
        <v>5842</v>
      </c>
      <c r="B257" s="11" t="s">
        <v>133</v>
      </c>
      <c r="C257" s="11">
        <v>3.0</v>
      </c>
      <c r="D257" s="11">
        <v>3.0</v>
      </c>
      <c r="E257" s="11">
        <v>3.0</v>
      </c>
      <c r="F257" s="11">
        <v>3.0</v>
      </c>
    </row>
    <row r="258">
      <c r="A258" s="10" t="s">
        <v>6181</v>
      </c>
      <c r="B258" s="11" t="s">
        <v>133</v>
      </c>
      <c r="C258" s="11">
        <v>3.0</v>
      </c>
      <c r="D258" s="11">
        <v>3.0</v>
      </c>
      <c r="E258" s="11">
        <v>3.0</v>
      </c>
      <c r="F258" s="11">
        <v>3.0</v>
      </c>
    </row>
    <row r="259">
      <c r="A259" s="10" t="s">
        <v>6182</v>
      </c>
      <c r="B259" s="11" t="s">
        <v>133</v>
      </c>
      <c r="C259" s="11">
        <v>3.0</v>
      </c>
      <c r="D259" s="11">
        <v>3.0</v>
      </c>
      <c r="E259" s="11">
        <v>3.0</v>
      </c>
      <c r="F259" s="11">
        <v>3.0</v>
      </c>
    </row>
    <row r="260">
      <c r="A260" s="10" t="s">
        <v>6183</v>
      </c>
      <c r="B260" s="11" t="s">
        <v>133</v>
      </c>
      <c r="C260" s="11">
        <v>3.0</v>
      </c>
      <c r="D260" s="11">
        <v>3.0</v>
      </c>
      <c r="E260" s="11">
        <v>3.0</v>
      </c>
      <c r="F260" s="11">
        <v>3.0</v>
      </c>
    </row>
    <row r="261">
      <c r="A261" s="10" t="s">
        <v>6184</v>
      </c>
      <c r="B261" s="11" t="s">
        <v>133</v>
      </c>
      <c r="C261" s="11">
        <v>3.0</v>
      </c>
      <c r="D261" s="11">
        <v>3.0</v>
      </c>
      <c r="E261" s="11">
        <v>3.0</v>
      </c>
      <c r="F261" s="11">
        <v>3.0</v>
      </c>
    </row>
    <row r="262">
      <c r="A262" s="10" t="s">
        <v>6185</v>
      </c>
      <c r="B262" s="11" t="s">
        <v>133</v>
      </c>
      <c r="C262" s="11">
        <v>3.0</v>
      </c>
      <c r="D262" s="11">
        <v>3.0</v>
      </c>
      <c r="E262" s="11">
        <v>3.0</v>
      </c>
      <c r="F262" s="11">
        <v>3.0</v>
      </c>
    </row>
    <row r="263">
      <c r="A263" s="10" t="s">
        <v>6186</v>
      </c>
      <c r="B263" s="11" t="s">
        <v>133</v>
      </c>
      <c r="C263" s="11">
        <v>3.0</v>
      </c>
      <c r="D263" s="11">
        <v>3.0</v>
      </c>
      <c r="E263" s="11">
        <v>3.0</v>
      </c>
      <c r="F263" s="11">
        <v>3.0</v>
      </c>
    </row>
    <row r="264">
      <c r="A264" s="10" t="s">
        <v>5849</v>
      </c>
      <c r="B264" s="11" t="s">
        <v>133</v>
      </c>
      <c r="C264" s="11">
        <v>3.0</v>
      </c>
      <c r="D264" s="11">
        <v>3.0</v>
      </c>
      <c r="E264" s="11">
        <v>3.0</v>
      </c>
      <c r="F264" s="11">
        <v>3.0</v>
      </c>
    </row>
    <row r="265">
      <c r="A265" s="10" t="s">
        <v>6187</v>
      </c>
      <c r="B265" s="11" t="s">
        <v>133</v>
      </c>
      <c r="C265" s="11">
        <v>3.0</v>
      </c>
      <c r="D265" s="11">
        <v>3.0</v>
      </c>
      <c r="E265" s="11">
        <v>3.0</v>
      </c>
      <c r="F265" s="11">
        <v>3.0</v>
      </c>
    </row>
    <row r="266">
      <c r="A266" s="10" t="s">
        <v>5851</v>
      </c>
      <c r="B266" s="11" t="s">
        <v>133</v>
      </c>
      <c r="C266" s="11">
        <v>3.0</v>
      </c>
      <c r="D266" s="11">
        <v>3.0</v>
      </c>
      <c r="E266" s="11">
        <v>3.0</v>
      </c>
      <c r="F266" s="11">
        <v>3.0</v>
      </c>
    </row>
    <row r="267">
      <c r="A267" s="10" t="s">
        <v>5852</v>
      </c>
      <c r="B267" s="11" t="s">
        <v>133</v>
      </c>
      <c r="C267" s="11">
        <v>3.0</v>
      </c>
      <c r="D267" s="11">
        <v>3.0</v>
      </c>
      <c r="E267" s="11">
        <v>3.0</v>
      </c>
      <c r="F267" s="11">
        <v>3.0</v>
      </c>
    </row>
    <row r="268">
      <c r="A268" s="10" t="s">
        <v>6188</v>
      </c>
      <c r="B268" s="11" t="s">
        <v>133</v>
      </c>
      <c r="C268" s="11">
        <v>3.0</v>
      </c>
      <c r="D268" s="11">
        <v>3.0</v>
      </c>
      <c r="E268" s="11">
        <v>3.0</v>
      </c>
      <c r="F268" s="11">
        <v>3.0</v>
      </c>
    </row>
    <row r="269">
      <c r="A269" s="10" t="s">
        <v>6189</v>
      </c>
      <c r="B269" s="11" t="s">
        <v>133</v>
      </c>
      <c r="C269" s="11">
        <v>3.0</v>
      </c>
      <c r="D269" s="11">
        <v>3.0</v>
      </c>
      <c r="E269" s="11">
        <v>3.0</v>
      </c>
      <c r="F269" s="11">
        <v>3.0</v>
      </c>
    </row>
    <row r="270">
      <c r="A270" s="10" t="s">
        <v>6190</v>
      </c>
      <c r="B270" s="11" t="s">
        <v>133</v>
      </c>
      <c r="C270" s="11">
        <v>3.0</v>
      </c>
      <c r="D270" s="11">
        <v>3.0</v>
      </c>
      <c r="E270" s="11">
        <v>3.0</v>
      </c>
      <c r="F270" s="11">
        <v>3.0</v>
      </c>
    </row>
    <row r="271">
      <c r="A271" s="10" t="s">
        <v>5856</v>
      </c>
      <c r="B271" s="11" t="s">
        <v>133</v>
      </c>
      <c r="C271" s="11">
        <v>3.0</v>
      </c>
      <c r="D271" s="11">
        <v>3.0</v>
      </c>
      <c r="E271" s="11">
        <v>3.0</v>
      </c>
      <c r="F271" s="11">
        <v>3.0</v>
      </c>
    </row>
    <row r="272">
      <c r="A272" s="10" t="s">
        <v>5857</v>
      </c>
      <c r="B272" s="11" t="s">
        <v>133</v>
      </c>
      <c r="C272" s="11">
        <v>3.0</v>
      </c>
      <c r="D272" s="11">
        <v>3.0</v>
      </c>
      <c r="E272" s="11">
        <v>3.0</v>
      </c>
      <c r="F272" s="11">
        <v>3.0</v>
      </c>
    </row>
    <row r="273">
      <c r="A273" s="10" t="s">
        <v>5859</v>
      </c>
      <c r="B273" s="11" t="s">
        <v>133</v>
      </c>
      <c r="C273" s="11">
        <v>3.0</v>
      </c>
      <c r="D273" s="11">
        <v>3.0</v>
      </c>
      <c r="E273" s="11">
        <v>3.0</v>
      </c>
      <c r="F273" s="11">
        <v>3.0</v>
      </c>
    </row>
    <row r="274">
      <c r="A274" s="10" t="s">
        <v>2833</v>
      </c>
      <c r="B274" s="11" t="s">
        <v>133</v>
      </c>
      <c r="C274" s="11">
        <v>3.0</v>
      </c>
      <c r="D274" s="11">
        <v>3.0</v>
      </c>
      <c r="E274" s="11">
        <v>3.0</v>
      </c>
      <c r="F274" s="11">
        <v>3.0</v>
      </c>
    </row>
    <row r="275">
      <c r="A275" s="10" t="s">
        <v>5860</v>
      </c>
      <c r="B275" s="11" t="s">
        <v>133</v>
      </c>
      <c r="C275" s="11">
        <v>3.0</v>
      </c>
      <c r="D275" s="11">
        <v>3.0</v>
      </c>
      <c r="E275" s="11">
        <v>3.0</v>
      </c>
      <c r="F275" s="11">
        <v>3.0</v>
      </c>
    </row>
    <row r="276">
      <c r="A276" s="10" t="s">
        <v>5861</v>
      </c>
      <c r="B276" s="11" t="s">
        <v>133</v>
      </c>
      <c r="C276" s="11">
        <v>3.0</v>
      </c>
      <c r="D276" s="11">
        <v>3.0</v>
      </c>
      <c r="E276" s="11">
        <v>3.0</v>
      </c>
      <c r="F276" s="11">
        <v>3.0</v>
      </c>
    </row>
    <row r="277">
      <c r="A277" s="10" t="s">
        <v>5862</v>
      </c>
      <c r="B277" s="11" t="s">
        <v>133</v>
      </c>
      <c r="C277" s="11">
        <v>3.0</v>
      </c>
      <c r="D277" s="11">
        <v>3.0</v>
      </c>
      <c r="E277" s="11">
        <v>3.0</v>
      </c>
      <c r="F277" s="11">
        <v>3.0</v>
      </c>
    </row>
    <row r="278">
      <c r="A278" s="10" t="s">
        <v>2859</v>
      </c>
      <c r="B278" s="11" t="s">
        <v>133</v>
      </c>
      <c r="C278" s="11">
        <v>3.0</v>
      </c>
      <c r="D278" s="11">
        <v>3.0</v>
      </c>
      <c r="E278" s="11">
        <v>3.0</v>
      </c>
      <c r="F278" s="11">
        <v>3.0</v>
      </c>
    </row>
    <row r="279">
      <c r="A279" s="10" t="s">
        <v>6191</v>
      </c>
      <c r="B279" s="11" t="s">
        <v>133</v>
      </c>
      <c r="C279" s="11">
        <v>3.0</v>
      </c>
      <c r="D279" s="11">
        <v>3.0</v>
      </c>
      <c r="E279" s="11">
        <v>3.0</v>
      </c>
      <c r="F279" s="11">
        <v>3.0</v>
      </c>
    </row>
    <row r="280">
      <c r="A280" s="10" t="s">
        <v>5864</v>
      </c>
      <c r="B280" s="11" t="s">
        <v>54</v>
      </c>
      <c r="C280" s="11">
        <v>3.0</v>
      </c>
      <c r="D280" s="11">
        <v>3.0</v>
      </c>
      <c r="E280" s="11">
        <v>3.0</v>
      </c>
      <c r="F280" s="11">
        <v>3.0</v>
      </c>
    </row>
    <row r="281">
      <c r="A281" s="10" t="s">
        <v>5865</v>
      </c>
      <c r="B281" s="11" t="s">
        <v>54</v>
      </c>
      <c r="C281" s="11">
        <v>3.0</v>
      </c>
      <c r="D281" s="11">
        <v>3.0</v>
      </c>
      <c r="E281" s="11">
        <v>3.0</v>
      </c>
      <c r="F281" s="11">
        <v>3.0</v>
      </c>
    </row>
    <row r="282">
      <c r="A282" s="10" t="s">
        <v>5866</v>
      </c>
      <c r="B282" s="11" t="s">
        <v>133</v>
      </c>
      <c r="C282" s="11">
        <v>3.0</v>
      </c>
      <c r="D282" s="11">
        <v>3.0</v>
      </c>
      <c r="E282" s="11">
        <v>3.0</v>
      </c>
      <c r="F282" s="11">
        <v>3.0</v>
      </c>
    </row>
    <row r="283">
      <c r="A283" s="10" t="s">
        <v>5867</v>
      </c>
      <c r="B283" s="11" t="s">
        <v>133</v>
      </c>
      <c r="C283" s="11">
        <v>3.0</v>
      </c>
      <c r="D283" s="11">
        <v>3.0</v>
      </c>
      <c r="E283" s="11">
        <v>3.0</v>
      </c>
      <c r="F283" s="11">
        <v>3.0</v>
      </c>
    </row>
    <row r="284">
      <c r="A284" s="10" t="s">
        <v>6192</v>
      </c>
      <c r="B284" s="11" t="s">
        <v>133</v>
      </c>
      <c r="C284" s="11">
        <v>3.0</v>
      </c>
      <c r="D284" s="11">
        <v>3.0</v>
      </c>
      <c r="E284" s="11">
        <v>3.0</v>
      </c>
      <c r="F284" s="11">
        <v>3.0</v>
      </c>
    </row>
    <row r="285">
      <c r="A285" s="10" t="s">
        <v>5870</v>
      </c>
      <c r="B285" s="11" t="s">
        <v>133</v>
      </c>
      <c r="C285" s="11">
        <v>3.0</v>
      </c>
      <c r="D285" s="11">
        <v>3.0</v>
      </c>
      <c r="E285" s="11">
        <v>3.0</v>
      </c>
      <c r="F285" s="11">
        <v>3.0</v>
      </c>
    </row>
    <row r="286">
      <c r="A286" s="10" t="s">
        <v>6193</v>
      </c>
      <c r="B286" s="11" t="s">
        <v>133</v>
      </c>
      <c r="C286" s="11">
        <v>3.0</v>
      </c>
      <c r="D286" s="11">
        <v>3.0</v>
      </c>
      <c r="E286" s="11">
        <v>3.0</v>
      </c>
      <c r="F286" s="11">
        <v>3.0</v>
      </c>
    </row>
    <row r="287">
      <c r="A287" s="10" t="s">
        <v>5872</v>
      </c>
      <c r="B287" s="11" t="s">
        <v>133</v>
      </c>
      <c r="C287" s="11">
        <v>3.0</v>
      </c>
      <c r="D287" s="11">
        <v>3.0</v>
      </c>
      <c r="E287" s="11">
        <v>3.0</v>
      </c>
      <c r="F287" s="11">
        <v>3.0</v>
      </c>
    </row>
    <row r="288">
      <c r="A288" s="10" t="s">
        <v>5873</v>
      </c>
      <c r="B288" s="11" t="s">
        <v>133</v>
      </c>
      <c r="C288" s="11">
        <v>3.0</v>
      </c>
      <c r="D288" s="11">
        <v>3.0</v>
      </c>
      <c r="E288" s="11">
        <v>3.0</v>
      </c>
      <c r="F288" s="11">
        <v>3.0</v>
      </c>
    </row>
    <row r="289">
      <c r="A289" s="10" t="s">
        <v>6194</v>
      </c>
      <c r="B289" s="11" t="s">
        <v>133</v>
      </c>
      <c r="C289" s="11">
        <v>3.0</v>
      </c>
      <c r="D289" s="11">
        <v>3.0</v>
      </c>
      <c r="E289" s="11">
        <v>3.0</v>
      </c>
      <c r="F289" s="11">
        <v>3.0</v>
      </c>
    </row>
    <row r="290">
      <c r="A290" s="10" t="s">
        <v>5874</v>
      </c>
      <c r="B290" s="11" t="s">
        <v>133</v>
      </c>
      <c r="C290" s="11">
        <v>3.0</v>
      </c>
      <c r="D290" s="11">
        <v>3.0</v>
      </c>
      <c r="E290" s="11">
        <v>3.0</v>
      </c>
      <c r="F290" s="11">
        <v>3.0</v>
      </c>
    </row>
    <row r="291">
      <c r="A291" s="10" t="s">
        <v>6195</v>
      </c>
      <c r="B291" s="11" t="s">
        <v>133</v>
      </c>
      <c r="C291" s="11">
        <v>3.0</v>
      </c>
      <c r="D291" s="11">
        <v>3.0</v>
      </c>
      <c r="E291" s="11">
        <v>3.0</v>
      </c>
      <c r="F291" s="11">
        <v>3.0</v>
      </c>
    </row>
    <row r="292">
      <c r="A292" s="10" t="s">
        <v>5876</v>
      </c>
      <c r="B292" s="11" t="s">
        <v>133</v>
      </c>
      <c r="C292" s="11">
        <v>3.0</v>
      </c>
      <c r="D292" s="11">
        <v>3.0</v>
      </c>
      <c r="E292" s="11">
        <v>3.0</v>
      </c>
      <c r="F292" s="11">
        <v>3.0</v>
      </c>
    </row>
    <row r="293">
      <c r="A293" s="10" t="s">
        <v>5878</v>
      </c>
      <c r="B293" s="11" t="s">
        <v>54</v>
      </c>
      <c r="C293" s="11">
        <v>3.0</v>
      </c>
      <c r="D293" s="11">
        <v>3.0</v>
      </c>
      <c r="E293" s="11">
        <v>3.0</v>
      </c>
      <c r="F293" s="11">
        <v>3.0</v>
      </c>
    </row>
    <row r="294">
      <c r="A294" s="10" t="s">
        <v>5879</v>
      </c>
      <c r="B294" s="11" t="s">
        <v>133</v>
      </c>
      <c r="C294" s="11">
        <v>3.0</v>
      </c>
      <c r="D294" s="11">
        <v>3.0</v>
      </c>
      <c r="E294" s="11">
        <v>3.0</v>
      </c>
      <c r="F294" s="11">
        <v>3.0</v>
      </c>
    </row>
    <row r="295">
      <c r="A295" s="10" t="s">
        <v>5880</v>
      </c>
      <c r="B295" s="11" t="s">
        <v>133</v>
      </c>
      <c r="C295" s="11">
        <v>3.0</v>
      </c>
      <c r="D295" s="11">
        <v>3.0</v>
      </c>
      <c r="E295" s="11">
        <v>3.0</v>
      </c>
      <c r="F295" s="11">
        <v>3.0</v>
      </c>
    </row>
    <row r="296">
      <c r="A296" s="10" t="s">
        <v>6196</v>
      </c>
      <c r="B296" s="11" t="s">
        <v>133</v>
      </c>
      <c r="C296" s="11">
        <v>3.0</v>
      </c>
      <c r="D296" s="11">
        <v>3.0</v>
      </c>
      <c r="E296" s="11">
        <v>3.0</v>
      </c>
      <c r="F296" s="11">
        <v>3.0</v>
      </c>
    </row>
    <row r="297">
      <c r="A297" s="10" t="s">
        <v>6197</v>
      </c>
      <c r="B297" s="11" t="s">
        <v>133</v>
      </c>
      <c r="C297" s="11">
        <v>3.0</v>
      </c>
      <c r="D297" s="11">
        <v>3.0</v>
      </c>
      <c r="E297" s="11">
        <v>3.0</v>
      </c>
      <c r="F297" s="11">
        <v>3.0</v>
      </c>
    </row>
    <row r="298">
      <c r="A298" s="10" t="s">
        <v>5883</v>
      </c>
      <c r="B298" s="11" t="s">
        <v>133</v>
      </c>
      <c r="C298" s="11">
        <v>3.0</v>
      </c>
      <c r="D298" s="11">
        <v>3.0</v>
      </c>
      <c r="E298" s="11">
        <v>3.0</v>
      </c>
      <c r="F298" s="11">
        <v>3.0</v>
      </c>
    </row>
    <row r="299">
      <c r="A299" s="10" t="s">
        <v>6198</v>
      </c>
      <c r="B299" s="11" t="s">
        <v>133</v>
      </c>
      <c r="C299" s="11">
        <v>3.0</v>
      </c>
      <c r="D299" s="11">
        <v>3.0</v>
      </c>
      <c r="E299" s="11">
        <v>3.0</v>
      </c>
      <c r="F299" s="11">
        <v>3.0</v>
      </c>
    </row>
    <row r="300">
      <c r="A300" s="10" t="s">
        <v>6199</v>
      </c>
      <c r="B300" s="11" t="s">
        <v>133</v>
      </c>
      <c r="C300" s="11">
        <v>3.0</v>
      </c>
      <c r="D300" s="11">
        <v>3.0</v>
      </c>
      <c r="E300" s="11">
        <v>3.0</v>
      </c>
      <c r="F300" s="11">
        <v>3.0</v>
      </c>
    </row>
    <row r="301">
      <c r="A301" s="10" t="s">
        <v>6200</v>
      </c>
      <c r="B301" s="11" t="s">
        <v>133</v>
      </c>
      <c r="C301" s="11">
        <v>3.0</v>
      </c>
      <c r="D301" s="11">
        <v>3.0</v>
      </c>
      <c r="E301" s="11">
        <v>3.0</v>
      </c>
      <c r="F301" s="11">
        <v>3.0</v>
      </c>
    </row>
    <row r="302">
      <c r="A302" s="10" t="s">
        <v>6201</v>
      </c>
      <c r="B302" s="11" t="s">
        <v>133</v>
      </c>
      <c r="C302" s="11">
        <v>3.0</v>
      </c>
      <c r="D302" s="11">
        <v>3.0</v>
      </c>
      <c r="E302" s="11">
        <v>3.0</v>
      </c>
      <c r="F302" s="11">
        <v>3.0</v>
      </c>
    </row>
    <row r="303">
      <c r="A303" s="10" t="s">
        <v>5887</v>
      </c>
      <c r="B303" s="11" t="s">
        <v>133</v>
      </c>
      <c r="C303" s="11">
        <v>3.0</v>
      </c>
      <c r="D303" s="11">
        <v>3.0</v>
      </c>
      <c r="E303" s="11">
        <v>3.0</v>
      </c>
      <c r="F303" s="11">
        <v>3.0</v>
      </c>
    </row>
    <row r="304">
      <c r="A304" s="10" t="s">
        <v>6202</v>
      </c>
      <c r="B304" s="11" t="s">
        <v>133</v>
      </c>
      <c r="C304" s="11">
        <v>3.0</v>
      </c>
      <c r="D304" s="11">
        <v>3.0</v>
      </c>
      <c r="E304" s="11">
        <v>3.0</v>
      </c>
      <c r="F304" s="11">
        <v>3.0</v>
      </c>
    </row>
    <row r="305">
      <c r="A305" s="10" t="s">
        <v>6203</v>
      </c>
      <c r="B305" s="11" t="s">
        <v>133</v>
      </c>
      <c r="C305" s="11">
        <v>3.0</v>
      </c>
      <c r="D305" s="11">
        <v>3.0</v>
      </c>
      <c r="E305" s="11">
        <v>3.0</v>
      </c>
      <c r="F305" s="11">
        <v>3.0</v>
      </c>
    </row>
    <row r="306">
      <c r="A306" s="10" t="s">
        <v>6204</v>
      </c>
      <c r="B306" s="11" t="s">
        <v>133</v>
      </c>
      <c r="C306" s="11">
        <v>3.0</v>
      </c>
      <c r="D306" s="11">
        <v>3.0</v>
      </c>
      <c r="E306" s="11">
        <v>3.0</v>
      </c>
      <c r="F306" s="11">
        <v>3.0</v>
      </c>
    </row>
    <row r="307">
      <c r="A307" s="10" t="s">
        <v>5902</v>
      </c>
      <c r="B307" s="11" t="s">
        <v>133</v>
      </c>
      <c r="C307" s="11">
        <v>3.0</v>
      </c>
      <c r="D307" s="11">
        <v>3.0</v>
      </c>
      <c r="E307" s="11">
        <v>3.0</v>
      </c>
      <c r="F307" s="11">
        <v>3.0</v>
      </c>
    </row>
    <row r="308">
      <c r="A308" s="10" t="s">
        <v>5903</v>
      </c>
      <c r="B308" s="11" t="s">
        <v>133</v>
      </c>
      <c r="C308" s="11">
        <v>3.0</v>
      </c>
      <c r="D308" s="11">
        <v>3.0</v>
      </c>
      <c r="E308" s="11">
        <v>3.0</v>
      </c>
      <c r="F308" s="11">
        <v>3.0</v>
      </c>
    </row>
    <row r="309">
      <c r="A309" s="10" t="s">
        <v>5904</v>
      </c>
      <c r="B309" s="11" t="s">
        <v>133</v>
      </c>
      <c r="C309" s="11">
        <v>3.0</v>
      </c>
      <c r="D309" s="11">
        <v>3.0</v>
      </c>
      <c r="E309" s="11">
        <v>3.0</v>
      </c>
      <c r="F309" s="11">
        <v>3.0</v>
      </c>
    </row>
    <row r="310">
      <c r="A310" s="10" t="s">
        <v>6205</v>
      </c>
      <c r="B310" s="11" t="s">
        <v>133</v>
      </c>
      <c r="C310" s="11">
        <v>3.0</v>
      </c>
      <c r="D310" s="11">
        <v>3.0</v>
      </c>
      <c r="E310" s="11">
        <v>3.0</v>
      </c>
      <c r="F310" s="11">
        <v>3.0</v>
      </c>
    </row>
    <row r="311">
      <c r="A311" s="10" t="s">
        <v>6206</v>
      </c>
      <c r="B311" s="11" t="s">
        <v>133</v>
      </c>
      <c r="C311" s="11">
        <v>3.0</v>
      </c>
      <c r="D311" s="11">
        <v>3.0</v>
      </c>
      <c r="E311" s="11">
        <v>3.0</v>
      </c>
      <c r="F311" s="11">
        <v>3.0</v>
      </c>
    </row>
    <row r="312">
      <c r="A312" s="10" t="s">
        <v>6207</v>
      </c>
      <c r="B312" s="11" t="s">
        <v>133</v>
      </c>
      <c r="C312" s="11">
        <v>3.0</v>
      </c>
      <c r="D312" s="11">
        <v>3.0</v>
      </c>
      <c r="E312" s="11">
        <v>3.0</v>
      </c>
      <c r="F312" s="11">
        <v>3.0</v>
      </c>
    </row>
    <row r="313">
      <c r="A313" s="10" t="s">
        <v>5908</v>
      </c>
      <c r="B313" s="11" t="s">
        <v>133</v>
      </c>
      <c r="C313" s="11">
        <v>3.0</v>
      </c>
      <c r="D313" s="11">
        <v>3.0</v>
      </c>
      <c r="E313" s="11">
        <v>3.0</v>
      </c>
      <c r="F313" s="11">
        <v>3.0</v>
      </c>
    </row>
    <row r="314">
      <c r="A314" s="10" t="s">
        <v>6208</v>
      </c>
      <c r="B314" s="11" t="s">
        <v>133</v>
      </c>
      <c r="C314" s="11">
        <v>3.0</v>
      </c>
      <c r="D314" s="11">
        <v>3.0</v>
      </c>
      <c r="E314" s="11">
        <v>3.0</v>
      </c>
      <c r="F314" s="11">
        <v>3.0</v>
      </c>
    </row>
    <row r="315">
      <c r="A315" s="10" t="s">
        <v>5910</v>
      </c>
      <c r="B315" s="11" t="s">
        <v>133</v>
      </c>
      <c r="C315" s="11">
        <v>3.0</v>
      </c>
      <c r="D315" s="11">
        <v>3.0</v>
      </c>
      <c r="E315" s="11">
        <v>3.0</v>
      </c>
      <c r="F315" s="11">
        <v>3.0</v>
      </c>
    </row>
    <row r="316">
      <c r="A316" s="10" t="s">
        <v>6209</v>
      </c>
      <c r="B316" s="11" t="s">
        <v>133</v>
      </c>
      <c r="C316" s="11">
        <v>3.0</v>
      </c>
      <c r="D316" s="11">
        <v>3.0</v>
      </c>
      <c r="E316" s="11">
        <v>3.0</v>
      </c>
      <c r="F316" s="11">
        <v>3.0</v>
      </c>
    </row>
    <row r="317">
      <c r="A317" s="10" t="s">
        <v>6210</v>
      </c>
      <c r="B317" s="11" t="s">
        <v>133</v>
      </c>
      <c r="C317" s="11">
        <v>3.0</v>
      </c>
      <c r="D317" s="11">
        <v>3.0</v>
      </c>
      <c r="E317" s="11">
        <v>3.0</v>
      </c>
      <c r="F317" s="11">
        <v>3.0</v>
      </c>
    </row>
    <row r="318">
      <c r="A318" s="10" t="s">
        <v>6211</v>
      </c>
      <c r="B318" s="11" t="s">
        <v>133</v>
      </c>
      <c r="C318" s="11">
        <v>3.0</v>
      </c>
      <c r="D318" s="11">
        <v>3.0</v>
      </c>
      <c r="E318" s="11">
        <v>3.0</v>
      </c>
      <c r="F318" s="11">
        <v>3.0</v>
      </c>
    </row>
    <row r="319">
      <c r="A319" s="10" t="s">
        <v>6212</v>
      </c>
      <c r="B319" s="11" t="s">
        <v>133</v>
      </c>
      <c r="C319" s="11">
        <v>3.0</v>
      </c>
      <c r="D319" s="11">
        <v>3.0</v>
      </c>
      <c r="E319" s="11">
        <v>3.0</v>
      </c>
      <c r="F319" s="11">
        <v>3.0</v>
      </c>
    </row>
    <row r="320">
      <c r="A320" s="10" t="s">
        <v>6213</v>
      </c>
      <c r="B320" s="11" t="s">
        <v>133</v>
      </c>
      <c r="C320" s="11">
        <v>3.0</v>
      </c>
      <c r="D320" s="11">
        <v>3.0</v>
      </c>
      <c r="E320" s="11">
        <v>3.0</v>
      </c>
      <c r="F320" s="11">
        <v>3.0</v>
      </c>
    </row>
    <row r="321">
      <c r="A321" s="10" t="s">
        <v>5915</v>
      </c>
      <c r="B321" s="11" t="s">
        <v>133</v>
      </c>
      <c r="C321" s="11">
        <v>3.0</v>
      </c>
      <c r="D321" s="11">
        <v>3.0</v>
      </c>
      <c r="E321" s="11">
        <v>3.0</v>
      </c>
      <c r="F321" s="11">
        <v>3.0</v>
      </c>
    </row>
    <row r="322">
      <c r="A322" s="10" t="s">
        <v>5916</v>
      </c>
      <c r="B322" s="11" t="s">
        <v>133</v>
      </c>
      <c r="C322" s="11">
        <v>3.0</v>
      </c>
      <c r="D322" s="11">
        <v>3.0</v>
      </c>
      <c r="E322" s="11">
        <v>3.0</v>
      </c>
      <c r="F322" s="11">
        <v>3.0</v>
      </c>
    </row>
    <row r="323">
      <c r="A323" s="10" t="s">
        <v>6214</v>
      </c>
      <c r="B323" s="11" t="s">
        <v>133</v>
      </c>
      <c r="C323" s="11">
        <v>3.0</v>
      </c>
      <c r="D323" s="11">
        <v>3.0</v>
      </c>
      <c r="E323" s="11">
        <v>3.0</v>
      </c>
      <c r="F323" s="11">
        <v>3.0</v>
      </c>
    </row>
    <row r="324">
      <c r="A324" s="10" t="s">
        <v>5918</v>
      </c>
      <c r="B324" s="11" t="s">
        <v>133</v>
      </c>
      <c r="C324" s="11">
        <v>3.0</v>
      </c>
      <c r="D324" s="11">
        <v>3.0</v>
      </c>
      <c r="E324" s="11">
        <v>3.0</v>
      </c>
      <c r="F324" s="11">
        <v>3.0</v>
      </c>
    </row>
    <row r="325">
      <c r="A325" s="10" t="s">
        <v>5919</v>
      </c>
      <c r="B325" s="11" t="s">
        <v>133</v>
      </c>
      <c r="C325" s="11">
        <v>3.0</v>
      </c>
      <c r="D325" s="11">
        <v>3.0</v>
      </c>
      <c r="E325" s="11">
        <v>3.0</v>
      </c>
      <c r="F325" s="11">
        <v>3.0</v>
      </c>
    </row>
    <row r="326">
      <c r="A326" s="10" t="s">
        <v>6215</v>
      </c>
      <c r="B326" s="11" t="s">
        <v>133</v>
      </c>
      <c r="C326" s="11">
        <v>3.0</v>
      </c>
      <c r="D326" s="11">
        <v>3.0</v>
      </c>
      <c r="E326" s="11">
        <v>3.0</v>
      </c>
      <c r="F326" s="11">
        <v>3.0</v>
      </c>
    </row>
    <row r="327">
      <c r="A327" s="10" t="s">
        <v>6216</v>
      </c>
      <c r="B327" s="11" t="s">
        <v>133</v>
      </c>
      <c r="C327" s="11">
        <v>3.0</v>
      </c>
      <c r="D327" s="11">
        <v>3.0</v>
      </c>
      <c r="E327" s="11">
        <v>3.0</v>
      </c>
      <c r="F327" s="11">
        <v>3.0</v>
      </c>
    </row>
    <row r="328">
      <c r="A328" s="10" t="s">
        <v>6217</v>
      </c>
      <c r="B328" s="11" t="s">
        <v>133</v>
      </c>
      <c r="C328" s="11">
        <v>3.0</v>
      </c>
      <c r="D328" s="11">
        <v>3.0</v>
      </c>
      <c r="E328" s="11">
        <v>3.0</v>
      </c>
      <c r="F328" s="11">
        <v>3.0</v>
      </c>
    </row>
    <row r="329">
      <c r="A329" s="10" t="s">
        <v>6218</v>
      </c>
      <c r="B329" s="11" t="s">
        <v>133</v>
      </c>
      <c r="C329" s="11">
        <v>3.0</v>
      </c>
      <c r="D329" s="11">
        <v>3.0</v>
      </c>
      <c r="E329" s="11">
        <v>3.0</v>
      </c>
      <c r="F329" s="11">
        <v>3.0</v>
      </c>
    </row>
    <row r="330">
      <c r="A330" s="10" t="s">
        <v>5927</v>
      </c>
      <c r="B330" s="11" t="s">
        <v>133</v>
      </c>
      <c r="C330" s="11">
        <v>3.0</v>
      </c>
      <c r="D330" s="11">
        <v>3.0</v>
      </c>
      <c r="E330" s="11">
        <v>3.0</v>
      </c>
      <c r="F330" s="11">
        <v>3.0</v>
      </c>
    </row>
    <row r="331">
      <c r="A331" s="10" t="s">
        <v>6219</v>
      </c>
      <c r="B331" s="11" t="s">
        <v>133</v>
      </c>
      <c r="C331" s="11">
        <v>3.0</v>
      </c>
      <c r="D331" s="11">
        <v>3.0</v>
      </c>
      <c r="E331" s="11">
        <v>3.0</v>
      </c>
      <c r="F331" s="11">
        <v>3.0</v>
      </c>
    </row>
    <row r="332">
      <c r="A332" s="10" t="s">
        <v>6220</v>
      </c>
      <c r="B332" s="11" t="s">
        <v>133</v>
      </c>
      <c r="C332" s="11">
        <v>3.0</v>
      </c>
      <c r="D332" s="11">
        <v>3.0</v>
      </c>
      <c r="E332" s="11">
        <v>3.0</v>
      </c>
      <c r="F332" s="11">
        <v>3.0</v>
      </c>
    </row>
    <row r="333">
      <c r="A333" s="10" t="s">
        <v>6221</v>
      </c>
      <c r="B333" s="11" t="s">
        <v>133</v>
      </c>
      <c r="C333" s="11">
        <v>3.0</v>
      </c>
      <c r="D333" s="11">
        <v>3.0</v>
      </c>
      <c r="E333" s="11">
        <v>3.0</v>
      </c>
      <c r="F333" s="11">
        <v>3.0</v>
      </c>
    </row>
    <row r="334">
      <c r="A334" s="10" t="s">
        <v>3626</v>
      </c>
      <c r="B334" s="11" t="s">
        <v>133</v>
      </c>
      <c r="C334" s="11">
        <v>3.0</v>
      </c>
      <c r="D334" s="11">
        <v>3.0</v>
      </c>
      <c r="E334" s="11">
        <v>3.0</v>
      </c>
      <c r="F334" s="11">
        <v>3.0</v>
      </c>
    </row>
    <row r="335">
      <c r="A335" s="10" t="s">
        <v>6222</v>
      </c>
      <c r="B335" s="11" t="s">
        <v>133</v>
      </c>
      <c r="C335" s="11">
        <v>3.0</v>
      </c>
      <c r="D335" s="11">
        <v>3.0</v>
      </c>
      <c r="E335" s="11">
        <v>3.0</v>
      </c>
      <c r="F335" s="11">
        <v>3.0</v>
      </c>
    </row>
    <row r="336">
      <c r="A336" s="10" t="s">
        <v>6223</v>
      </c>
      <c r="B336" s="11" t="s">
        <v>133</v>
      </c>
      <c r="C336" s="11">
        <v>3.0</v>
      </c>
      <c r="D336" s="11">
        <v>3.0</v>
      </c>
      <c r="E336" s="11">
        <v>3.0</v>
      </c>
      <c r="F336" s="11">
        <v>3.0</v>
      </c>
    </row>
    <row r="337">
      <c r="A337" s="10" t="s">
        <v>6224</v>
      </c>
      <c r="B337" s="11" t="s">
        <v>133</v>
      </c>
      <c r="C337" s="11">
        <v>3.0</v>
      </c>
      <c r="D337" s="11">
        <v>3.0</v>
      </c>
      <c r="E337" s="11">
        <v>3.0</v>
      </c>
      <c r="F337" s="11">
        <v>3.0</v>
      </c>
    </row>
    <row r="338">
      <c r="A338" s="10" t="s">
        <v>6225</v>
      </c>
      <c r="B338" s="11" t="s">
        <v>133</v>
      </c>
      <c r="C338" s="11">
        <v>3.0</v>
      </c>
      <c r="D338" s="11">
        <v>3.0</v>
      </c>
      <c r="E338" s="11">
        <v>3.0</v>
      </c>
      <c r="F338" s="11">
        <v>3.0</v>
      </c>
    </row>
    <row r="339">
      <c r="A339" s="10" t="s">
        <v>6226</v>
      </c>
      <c r="B339" s="11" t="s">
        <v>133</v>
      </c>
      <c r="C339" s="11">
        <v>3.0</v>
      </c>
      <c r="D339" s="11">
        <v>3.0</v>
      </c>
      <c r="E339" s="11">
        <v>3.0</v>
      </c>
      <c r="F339" s="11">
        <v>3.0</v>
      </c>
    </row>
    <row r="340">
      <c r="A340" s="10" t="s">
        <v>6227</v>
      </c>
      <c r="B340" s="11" t="s">
        <v>133</v>
      </c>
      <c r="C340" s="11">
        <v>3.0</v>
      </c>
      <c r="D340" s="11">
        <v>3.0</v>
      </c>
      <c r="E340" s="11">
        <v>3.0</v>
      </c>
      <c r="F340" s="11">
        <v>3.0</v>
      </c>
    </row>
    <row r="341">
      <c r="A341" s="10" t="s">
        <v>3690</v>
      </c>
      <c r="B341" s="11" t="s">
        <v>133</v>
      </c>
      <c r="C341" s="11">
        <v>3.0</v>
      </c>
      <c r="D341" s="11">
        <v>3.0</v>
      </c>
      <c r="E341" s="11">
        <v>3.0</v>
      </c>
      <c r="F341" s="11">
        <v>3.0</v>
      </c>
    </row>
    <row r="342">
      <c r="A342" s="10" t="s">
        <v>6228</v>
      </c>
      <c r="B342" s="11" t="s">
        <v>54</v>
      </c>
      <c r="C342" s="11">
        <v>3.0</v>
      </c>
      <c r="D342" s="11">
        <v>3.0</v>
      </c>
      <c r="E342" s="11">
        <v>3.0</v>
      </c>
      <c r="F342" s="11">
        <v>3.0</v>
      </c>
    </row>
    <row r="343">
      <c r="A343" s="10" t="s">
        <v>6229</v>
      </c>
      <c r="B343" s="11" t="s">
        <v>133</v>
      </c>
      <c r="C343" s="11">
        <v>3.0</v>
      </c>
      <c r="D343" s="11">
        <v>3.0</v>
      </c>
      <c r="E343" s="11">
        <v>3.0</v>
      </c>
      <c r="F343" s="11">
        <v>3.0</v>
      </c>
    </row>
    <row r="344">
      <c r="A344" s="10" t="s">
        <v>6230</v>
      </c>
      <c r="B344" s="11" t="s">
        <v>133</v>
      </c>
      <c r="C344" s="11">
        <v>3.0</v>
      </c>
      <c r="D344" s="11">
        <v>3.0</v>
      </c>
      <c r="E344" s="11">
        <v>3.0</v>
      </c>
      <c r="F344" s="11">
        <v>3.0</v>
      </c>
    </row>
    <row r="345">
      <c r="A345" s="10" t="s">
        <v>6231</v>
      </c>
      <c r="B345" s="11" t="s">
        <v>133</v>
      </c>
      <c r="C345" s="11">
        <v>3.0</v>
      </c>
      <c r="D345" s="11">
        <v>3.0</v>
      </c>
      <c r="E345" s="11">
        <v>3.0</v>
      </c>
      <c r="F345" s="11">
        <v>3.0</v>
      </c>
    </row>
    <row r="346">
      <c r="A346" s="10" t="s">
        <v>6232</v>
      </c>
      <c r="B346" s="11" t="s">
        <v>133</v>
      </c>
      <c r="C346" s="11">
        <v>3.0</v>
      </c>
      <c r="D346" s="11">
        <v>3.0</v>
      </c>
      <c r="E346" s="11">
        <v>3.0</v>
      </c>
      <c r="F346" s="11">
        <v>3.0</v>
      </c>
    </row>
    <row r="347">
      <c r="A347" s="10" t="s">
        <v>6233</v>
      </c>
      <c r="B347" s="11" t="s">
        <v>133</v>
      </c>
      <c r="C347" s="11">
        <v>3.0</v>
      </c>
      <c r="D347" s="11">
        <v>3.0</v>
      </c>
      <c r="E347" s="11">
        <v>3.0</v>
      </c>
      <c r="F347" s="11">
        <v>3.0</v>
      </c>
    </row>
    <row r="348">
      <c r="A348" s="10" t="s">
        <v>3714</v>
      </c>
      <c r="B348" s="11" t="s">
        <v>133</v>
      </c>
      <c r="C348" s="11">
        <v>3.0</v>
      </c>
      <c r="D348" s="11">
        <v>3.0</v>
      </c>
      <c r="E348" s="11">
        <v>3.0</v>
      </c>
      <c r="F348" s="11">
        <v>3.0</v>
      </c>
    </row>
    <row r="349">
      <c r="A349" s="10" t="s">
        <v>6234</v>
      </c>
      <c r="B349" s="11" t="s">
        <v>133</v>
      </c>
      <c r="C349" s="11">
        <v>3.0</v>
      </c>
      <c r="D349" s="11">
        <v>3.0</v>
      </c>
      <c r="E349" s="11">
        <v>3.0</v>
      </c>
      <c r="F349" s="11">
        <v>3.0</v>
      </c>
    </row>
    <row r="350">
      <c r="A350" s="10" t="s">
        <v>6235</v>
      </c>
      <c r="B350" s="11" t="s">
        <v>133</v>
      </c>
      <c r="C350" s="11">
        <v>3.0</v>
      </c>
      <c r="D350" s="11">
        <v>3.0</v>
      </c>
      <c r="E350" s="11">
        <v>3.0</v>
      </c>
      <c r="F350" s="11">
        <v>3.0</v>
      </c>
    </row>
    <row r="351">
      <c r="A351" s="10" t="s">
        <v>6236</v>
      </c>
      <c r="B351" s="11" t="s">
        <v>133</v>
      </c>
      <c r="C351" s="11">
        <v>3.0</v>
      </c>
      <c r="D351" s="11">
        <v>3.0</v>
      </c>
      <c r="E351" s="11">
        <v>3.0</v>
      </c>
      <c r="F351" s="11">
        <v>3.0</v>
      </c>
    </row>
    <row r="352">
      <c r="A352" s="10" t="s">
        <v>6237</v>
      </c>
      <c r="B352" s="11" t="s">
        <v>133</v>
      </c>
      <c r="C352" s="11">
        <v>3.0</v>
      </c>
      <c r="D352" s="11">
        <v>3.0</v>
      </c>
      <c r="E352" s="11">
        <v>3.0</v>
      </c>
      <c r="F352" s="11">
        <v>3.0</v>
      </c>
    </row>
    <row r="353">
      <c r="A353" s="10" t="s">
        <v>6238</v>
      </c>
      <c r="B353" s="11" t="s">
        <v>133</v>
      </c>
      <c r="C353" s="11">
        <v>3.0</v>
      </c>
      <c r="D353" s="11">
        <v>3.0</v>
      </c>
      <c r="E353" s="11">
        <v>3.0</v>
      </c>
      <c r="F353" s="11">
        <v>3.0</v>
      </c>
    </row>
    <row r="354">
      <c r="A354" s="10" t="s">
        <v>6239</v>
      </c>
      <c r="B354" s="11" t="s">
        <v>133</v>
      </c>
      <c r="C354" s="11">
        <v>3.0</v>
      </c>
      <c r="D354" s="11">
        <v>3.0</v>
      </c>
      <c r="E354" s="11">
        <v>3.0</v>
      </c>
      <c r="F354" s="11">
        <v>3.0</v>
      </c>
    </row>
    <row r="355">
      <c r="A355" s="10" t="s">
        <v>6240</v>
      </c>
      <c r="B355" s="11" t="s">
        <v>133</v>
      </c>
      <c r="C355" s="11">
        <v>3.0</v>
      </c>
      <c r="D355" s="11">
        <v>3.0</v>
      </c>
      <c r="E355" s="11">
        <v>3.0</v>
      </c>
      <c r="F355" s="11">
        <v>3.0</v>
      </c>
    </row>
    <row r="356">
      <c r="A356" s="10" t="s">
        <v>6241</v>
      </c>
      <c r="B356" s="11" t="s">
        <v>133</v>
      </c>
      <c r="C356" s="11">
        <v>3.0</v>
      </c>
      <c r="D356" s="11">
        <v>3.0</v>
      </c>
      <c r="E356" s="11">
        <v>3.0</v>
      </c>
      <c r="F356" s="11">
        <v>3.0</v>
      </c>
    </row>
    <row r="357">
      <c r="A357" s="10" t="s">
        <v>6242</v>
      </c>
      <c r="B357" s="11" t="s">
        <v>133</v>
      </c>
      <c r="C357" s="11">
        <v>3.0</v>
      </c>
      <c r="D357" s="11">
        <v>3.0</v>
      </c>
      <c r="E357" s="11">
        <v>3.0</v>
      </c>
      <c r="F357" s="11">
        <v>3.0</v>
      </c>
    </row>
    <row r="358">
      <c r="A358" s="10" t="s">
        <v>6243</v>
      </c>
      <c r="B358" s="11" t="s">
        <v>133</v>
      </c>
      <c r="C358" s="11">
        <v>3.0</v>
      </c>
      <c r="D358" s="11">
        <v>3.0</v>
      </c>
      <c r="E358" s="11">
        <v>3.0</v>
      </c>
      <c r="F358" s="11">
        <v>3.0</v>
      </c>
    </row>
    <row r="359">
      <c r="A359" s="10" t="s">
        <v>6244</v>
      </c>
      <c r="B359" s="11" t="s">
        <v>133</v>
      </c>
      <c r="C359" s="11">
        <v>3.0</v>
      </c>
      <c r="D359" s="11">
        <v>3.0</v>
      </c>
      <c r="E359" s="11">
        <v>3.0</v>
      </c>
      <c r="F359" s="11">
        <v>3.0</v>
      </c>
    </row>
    <row r="360">
      <c r="A360" s="10" t="s">
        <v>6245</v>
      </c>
      <c r="B360" s="11" t="s">
        <v>133</v>
      </c>
      <c r="C360" s="11">
        <v>3.0</v>
      </c>
      <c r="D360" s="11">
        <v>3.0</v>
      </c>
      <c r="E360" s="11">
        <v>3.0</v>
      </c>
      <c r="F360" s="11">
        <v>3.0</v>
      </c>
    </row>
    <row r="361">
      <c r="A361" s="10" t="s">
        <v>5997</v>
      </c>
      <c r="B361" s="11" t="s">
        <v>133</v>
      </c>
      <c r="C361" s="11">
        <v>3.0</v>
      </c>
      <c r="D361" s="11">
        <v>3.0</v>
      </c>
      <c r="E361" s="11">
        <v>3.0</v>
      </c>
      <c r="F361" s="11">
        <v>3.0</v>
      </c>
    </row>
    <row r="362">
      <c r="A362" s="10" t="s">
        <v>6246</v>
      </c>
      <c r="B362" s="11" t="s">
        <v>133</v>
      </c>
      <c r="C362" s="11">
        <v>3.0</v>
      </c>
      <c r="D362" s="11">
        <v>3.0</v>
      </c>
      <c r="E362" s="11">
        <v>3.0</v>
      </c>
      <c r="F362" s="11">
        <v>3.0</v>
      </c>
    </row>
    <row r="363">
      <c r="A363" s="10" t="s">
        <v>6247</v>
      </c>
      <c r="B363" s="11" t="s">
        <v>133</v>
      </c>
      <c r="C363" s="11">
        <v>3.0</v>
      </c>
      <c r="D363" s="11">
        <v>3.0</v>
      </c>
      <c r="E363" s="11">
        <v>3.0</v>
      </c>
      <c r="F363" s="11">
        <v>3.0</v>
      </c>
    </row>
    <row r="364">
      <c r="A364" s="10" t="s">
        <v>6248</v>
      </c>
      <c r="B364" s="11" t="s">
        <v>133</v>
      </c>
      <c r="C364" s="11">
        <v>3.0</v>
      </c>
      <c r="D364" s="11">
        <v>3.0</v>
      </c>
      <c r="E364" s="11">
        <v>3.0</v>
      </c>
      <c r="F364" s="11">
        <v>3.0</v>
      </c>
    </row>
    <row r="365">
      <c r="A365" s="10" t="s">
        <v>6249</v>
      </c>
      <c r="B365" s="11" t="s">
        <v>133</v>
      </c>
      <c r="C365" s="11">
        <v>3.0</v>
      </c>
      <c r="D365" s="11">
        <v>3.0</v>
      </c>
      <c r="E365" s="11">
        <v>3.0</v>
      </c>
      <c r="F365" s="11">
        <v>3.0</v>
      </c>
    </row>
    <row r="366">
      <c r="A366" s="10" t="s">
        <v>4074</v>
      </c>
      <c r="B366" s="11" t="s">
        <v>133</v>
      </c>
      <c r="C366" s="11">
        <v>3.0</v>
      </c>
      <c r="D366" s="11">
        <v>3.0</v>
      </c>
      <c r="E366" s="11">
        <v>3.0</v>
      </c>
      <c r="F366" s="11">
        <v>3.0</v>
      </c>
    </row>
    <row r="367">
      <c r="A367" s="10" t="s">
        <v>6250</v>
      </c>
      <c r="B367" s="11" t="s">
        <v>133</v>
      </c>
      <c r="C367" s="11">
        <v>3.0</v>
      </c>
      <c r="D367" s="11">
        <v>3.0</v>
      </c>
      <c r="E367" s="11">
        <v>3.0</v>
      </c>
      <c r="F367" s="11">
        <v>3.0</v>
      </c>
    </row>
    <row r="368">
      <c r="A368" s="10" t="s">
        <v>6251</v>
      </c>
      <c r="B368" s="11" t="s">
        <v>133</v>
      </c>
      <c r="C368" s="11">
        <v>3.0</v>
      </c>
      <c r="D368" s="11">
        <v>3.0</v>
      </c>
      <c r="E368" s="11">
        <v>3.0</v>
      </c>
      <c r="F368" s="11">
        <v>3.0</v>
      </c>
    </row>
    <row r="369">
      <c r="A369" s="10" t="s">
        <v>6252</v>
      </c>
      <c r="B369" s="11" t="s">
        <v>133</v>
      </c>
      <c r="C369" s="11">
        <v>3.0</v>
      </c>
      <c r="D369" s="11">
        <v>3.0</v>
      </c>
      <c r="E369" s="11">
        <v>3.0</v>
      </c>
      <c r="F369" s="11">
        <v>3.0</v>
      </c>
    </row>
    <row r="370">
      <c r="A370" s="10" t="s">
        <v>6253</v>
      </c>
      <c r="B370" s="11" t="s">
        <v>133</v>
      </c>
      <c r="C370" s="11">
        <v>3.0</v>
      </c>
      <c r="D370" s="11">
        <v>3.0</v>
      </c>
      <c r="E370" s="11">
        <v>3.0</v>
      </c>
      <c r="F370" s="11">
        <v>3.0</v>
      </c>
    </row>
    <row r="371">
      <c r="A371" s="10" t="s">
        <v>6254</v>
      </c>
      <c r="B371" s="11" t="s">
        <v>133</v>
      </c>
      <c r="C371" s="11">
        <v>3.0</v>
      </c>
      <c r="D371" s="11">
        <v>3.0</v>
      </c>
      <c r="E371" s="11">
        <v>3.0</v>
      </c>
      <c r="F371" s="11">
        <v>3.0</v>
      </c>
    </row>
    <row r="372">
      <c r="A372" s="10" t="s">
        <v>6255</v>
      </c>
      <c r="B372" s="11" t="s">
        <v>133</v>
      </c>
      <c r="C372" s="11">
        <v>3.0</v>
      </c>
      <c r="D372" s="11">
        <v>3.0</v>
      </c>
      <c r="E372" s="11">
        <v>3.0</v>
      </c>
      <c r="F372" s="11">
        <v>3.0</v>
      </c>
    </row>
    <row r="373">
      <c r="A373" s="10" t="s">
        <v>6256</v>
      </c>
      <c r="B373" s="11" t="s">
        <v>133</v>
      </c>
      <c r="C373" s="11">
        <v>3.0</v>
      </c>
      <c r="D373" s="11">
        <v>3.0</v>
      </c>
      <c r="E373" s="11">
        <v>3.0</v>
      </c>
      <c r="F373" s="11">
        <v>3.0</v>
      </c>
    </row>
    <row r="374">
      <c r="A374" s="10" t="s">
        <v>6257</v>
      </c>
      <c r="B374" s="11" t="s">
        <v>133</v>
      </c>
      <c r="C374" s="11">
        <v>3.0</v>
      </c>
      <c r="D374" s="11">
        <v>3.0</v>
      </c>
      <c r="E374" s="11">
        <v>3.0</v>
      </c>
      <c r="F374" s="11">
        <v>3.0</v>
      </c>
    </row>
    <row r="375">
      <c r="A375" s="10" t="s">
        <v>6258</v>
      </c>
      <c r="B375" s="11" t="s">
        <v>133</v>
      </c>
      <c r="C375" s="11">
        <v>3.0</v>
      </c>
      <c r="D375" s="11">
        <v>3.0</v>
      </c>
      <c r="E375" s="11">
        <v>3.0</v>
      </c>
      <c r="F375" s="11">
        <v>3.0</v>
      </c>
    </row>
    <row r="376">
      <c r="A376" s="10" t="s">
        <v>4187</v>
      </c>
      <c r="B376" s="11" t="s">
        <v>133</v>
      </c>
      <c r="C376" s="11">
        <v>3.0</v>
      </c>
      <c r="D376" s="11">
        <v>3.0</v>
      </c>
      <c r="E376" s="11">
        <v>3.0</v>
      </c>
      <c r="F376" s="11">
        <v>3.0</v>
      </c>
    </row>
    <row r="377">
      <c r="A377" s="10" t="s">
        <v>6259</v>
      </c>
      <c r="B377" s="11" t="s">
        <v>133</v>
      </c>
      <c r="C377" s="11">
        <v>3.0</v>
      </c>
      <c r="D377" s="11">
        <v>3.0</v>
      </c>
      <c r="E377" s="11">
        <v>3.0</v>
      </c>
      <c r="F377" s="11">
        <v>3.0</v>
      </c>
    </row>
    <row r="378">
      <c r="A378" s="10" t="s">
        <v>6260</v>
      </c>
      <c r="B378" s="11" t="s">
        <v>133</v>
      </c>
      <c r="C378" s="11">
        <v>3.0</v>
      </c>
      <c r="D378" s="11">
        <v>3.0</v>
      </c>
      <c r="E378" s="11">
        <v>3.0</v>
      </c>
      <c r="F378" s="11">
        <v>3.0</v>
      </c>
    </row>
    <row r="379">
      <c r="A379" s="10" t="s">
        <v>6261</v>
      </c>
      <c r="B379" s="11" t="s">
        <v>133</v>
      </c>
      <c r="C379" s="11">
        <v>3.0</v>
      </c>
      <c r="D379" s="11">
        <v>3.0</v>
      </c>
      <c r="E379" s="11">
        <v>3.0</v>
      </c>
      <c r="F379" s="11">
        <v>3.0</v>
      </c>
    </row>
    <row r="380">
      <c r="A380" s="10" t="s">
        <v>6262</v>
      </c>
      <c r="B380" s="11" t="s">
        <v>133</v>
      </c>
      <c r="C380" s="11">
        <v>3.0</v>
      </c>
      <c r="D380" s="11">
        <v>3.0</v>
      </c>
      <c r="E380" s="11">
        <v>3.0</v>
      </c>
      <c r="F380" s="11">
        <v>3.0</v>
      </c>
    </row>
    <row r="381">
      <c r="A381" s="10" t="s">
        <v>6263</v>
      </c>
      <c r="B381" s="11" t="s">
        <v>133</v>
      </c>
      <c r="C381" s="11">
        <v>3.0</v>
      </c>
      <c r="D381" s="11">
        <v>3.0</v>
      </c>
      <c r="E381" s="11">
        <v>3.0</v>
      </c>
      <c r="F381" s="11">
        <v>3.0</v>
      </c>
    </row>
    <row r="382">
      <c r="A382" s="10" t="s">
        <v>6264</v>
      </c>
      <c r="B382" s="11" t="s">
        <v>133</v>
      </c>
      <c r="C382" s="11">
        <v>3.0</v>
      </c>
      <c r="D382" s="11">
        <v>3.0</v>
      </c>
      <c r="E382" s="11">
        <v>3.0</v>
      </c>
      <c r="F382" s="11">
        <v>3.0</v>
      </c>
    </row>
    <row r="383">
      <c r="A383" s="10" t="s">
        <v>6265</v>
      </c>
      <c r="B383" s="11" t="s">
        <v>133</v>
      </c>
      <c r="C383" s="11">
        <v>3.0</v>
      </c>
      <c r="D383" s="11">
        <v>3.0</v>
      </c>
      <c r="E383" s="11">
        <v>3.0</v>
      </c>
      <c r="F383" s="11">
        <v>3.0</v>
      </c>
    </row>
    <row r="384">
      <c r="A384" s="10" t="s">
        <v>6266</v>
      </c>
      <c r="B384" s="11" t="s">
        <v>133</v>
      </c>
      <c r="C384" s="11">
        <v>3.0</v>
      </c>
      <c r="D384" s="11">
        <v>3.0</v>
      </c>
      <c r="E384" s="11">
        <v>3.0</v>
      </c>
      <c r="F384" s="11">
        <v>3.0</v>
      </c>
    </row>
    <row r="385">
      <c r="A385" s="10" t="s">
        <v>6267</v>
      </c>
      <c r="B385" s="11" t="s">
        <v>133</v>
      </c>
      <c r="C385" s="11">
        <v>3.0</v>
      </c>
      <c r="D385" s="11">
        <v>3.0</v>
      </c>
      <c r="E385" s="11">
        <v>3.0</v>
      </c>
      <c r="F385" s="11">
        <v>3.0</v>
      </c>
    </row>
    <row r="386">
      <c r="A386" s="10" t="s">
        <v>6268</v>
      </c>
      <c r="B386" s="11" t="s">
        <v>133</v>
      </c>
      <c r="C386" s="11">
        <v>3.0</v>
      </c>
      <c r="D386" s="11">
        <v>3.0</v>
      </c>
      <c r="E386" s="11">
        <v>3.0</v>
      </c>
      <c r="F386" s="11">
        <v>3.0</v>
      </c>
    </row>
    <row r="387">
      <c r="A387" s="10" t="s">
        <v>6269</v>
      </c>
      <c r="B387" s="11" t="s">
        <v>133</v>
      </c>
      <c r="C387" s="11">
        <v>3.0</v>
      </c>
      <c r="D387" s="11">
        <v>3.0</v>
      </c>
      <c r="E387" s="11">
        <v>3.0</v>
      </c>
      <c r="F387" s="11">
        <v>3.0</v>
      </c>
    </row>
    <row r="388">
      <c r="A388" s="10" t="s">
        <v>6270</v>
      </c>
      <c r="B388" s="11" t="s">
        <v>133</v>
      </c>
      <c r="C388" s="11">
        <v>3.0</v>
      </c>
      <c r="D388" s="11">
        <v>3.0</v>
      </c>
      <c r="E388" s="11">
        <v>3.0</v>
      </c>
      <c r="F388" s="11">
        <v>3.0</v>
      </c>
    </row>
    <row r="389">
      <c r="A389" s="10" t="s">
        <v>6271</v>
      </c>
      <c r="B389" s="11" t="s">
        <v>133</v>
      </c>
      <c r="C389" s="11">
        <v>3.0</v>
      </c>
      <c r="D389" s="11">
        <v>3.0</v>
      </c>
      <c r="E389" s="11">
        <v>3.0</v>
      </c>
      <c r="F389" s="11">
        <v>3.0</v>
      </c>
    </row>
    <row r="390">
      <c r="A390" s="10" t="s">
        <v>6272</v>
      </c>
      <c r="B390" s="11" t="s">
        <v>133</v>
      </c>
      <c r="C390" s="11">
        <v>3.0</v>
      </c>
      <c r="D390" s="11">
        <v>3.0</v>
      </c>
      <c r="E390" s="11">
        <v>3.0</v>
      </c>
      <c r="F390" s="11">
        <v>3.0</v>
      </c>
    </row>
    <row r="391">
      <c r="A391" s="10" t="s">
        <v>6273</v>
      </c>
      <c r="B391" s="11" t="s">
        <v>133</v>
      </c>
      <c r="C391" s="11">
        <v>3.0</v>
      </c>
      <c r="D391" s="11">
        <v>3.0</v>
      </c>
      <c r="E391" s="11">
        <v>3.0</v>
      </c>
      <c r="F391" s="11">
        <v>3.0</v>
      </c>
    </row>
    <row r="392">
      <c r="A392" s="10" t="s">
        <v>6274</v>
      </c>
      <c r="B392" s="11" t="s">
        <v>133</v>
      </c>
      <c r="C392" s="11">
        <v>3.0</v>
      </c>
      <c r="D392" s="11">
        <v>3.0</v>
      </c>
      <c r="E392" s="11">
        <v>3.0</v>
      </c>
      <c r="F392" s="11">
        <v>3.0</v>
      </c>
    </row>
    <row r="393">
      <c r="A393" s="10" t="s">
        <v>6275</v>
      </c>
      <c r="B393" s="11" t="s">
        <v>133</v>
      </c>
      <c r="C393" s="11">
        <v>3.0</v>
      </c>
      <c r="D393" s="11">
        <v>3.0</v>
      </c>
      <c r="E393" s="11">
        <v>3.0</v>
      </c>
      <c r="F393" s="11">
        <v>3.0</v>
      </c>
    </row>
    <row r="394">
      <c r="A394" s="10" t="s">
        <v>6276</v>
      </c>
      <c r="B394" s="11" t="s">
        <v>133</v>
      </c>
      <c r="C394" s="11">
        <v>3.0</v>
      </c>
      <c r="D394" s="11">
        <v>3.0</v>
      </c>
      <c r="E394" s="11">
        <v>3.0</v>
      </c>
      <c r="F394" s="11">
        <v>3.0</v>
      </c>
    </row>
    <row r="395">
      <c r="A395" s="10" t="s">
        <v>6277</v>
      </c>
      <c r="B395" s="11" t="s">
        <v>133</v>
      </c>
      <c r="C395" s="11">
        <v>3.0</v>
      </c>
      <c r="D395" s="11">
        <v>3.0</v>
      </c>
      <c r="E395" s="11">
        <v>3.0</v>
      </c>
      <c r="F395" s="11">
        <v>3.0</v>
      </c>
    </row>
    <row r="396">
      <c r="A396" s="10" t="s">
        <v>6278</v>
      </c>
      <c r="B396" s="11" t="s">
        <v>133</v>
      </c>
      <c r="C396" s="11">
        <v>3.0</v>
      </c>
      <c r="D396" s="11">
        <v>3.0</v>
      </c>
      <c r="E396" s="11">
        <v>3.0</v>
      </c>
      <c r="F396" s="11">
        <v>3.0</v>
      </c>
    </row>
    <row r="397">
      <c r="A397" s="10" t="s">
        <v>6279</v>
      </c>
      <c r="B397" s="11" t="s">
        <v>133</v>
      </c>
      <c r="C397" s="11">
        <v>3.0</v>
      </c>
      <c r="D397" s="11">
        <v>3.0</v>
      </c>
      <c r="E397" s="11">
        <v>3.0</v>
      </c>
      <c r="F397" s="11">
        <v>3.0</v>
      </c>
    </row>
    <row r="398">
      <c r="A398" s="10" t="s">
        <v>6280</v>
      </c>
      <c r="B398" s="11" t="s">
        <v>133</v>
      </c>
      <c r="C398" s="11">
        <v>3.0</v>
      </c>
      <c r="D398" s="11">
        <v>3.0</v>
      </c>
      <c r="E398" s="11">
        <v>3.0</v>
      </c>
      <c r="F398" s="11">
        <v>3.0</v>
      </c>
    </row>
    <row r="399">
      <c r="A399" s="10" t="s">
        <v>6281</v>
      </c>
      <c r="B399" s="11" t="s">
        <v>133</v>
      </c>
      <c r="C399" s="11">
        <v>3.0</v>
      </c>
      <c r="D399" s="11">
        <v>3.0</v>
      </c>
      <c r="E399" s="11">
        <v>3.0</v>
      </c>
      <c r="F399" s="11">
        <v>3.0</v>
      </c>
    </row>
    <row r="400">
      <c r="A400" s="10" t="s">
        <v>6282</v>
      </c>
      <c r="B400" s="11" t="s">
        <v>133</v>
      </c>
      <c r="C400" s="11">
        <v>3.0</v>
      </c>
      <c r="D400" s="11">
        <v>3.0</v>
      </c>
      <c r="E400" s="11">
        <v>3.0</v>
      </c>
      <c r="F400" s="11">
        <v>3.0</v>
      </c>
    </row>
    <row r="401">
      <c r="A401" s="10" t="s">
        <v>6283</v>
      </c>
      <c r="B401" s="11" t="s">
        <v>133</v>
      </c>
      <c r="C401" s="11">
        <v>3.0</v>
      </c>
      <c r="D401" s="11">
        <v>3.0</v>
      </c>
      <c r="E401" s="11">
        <v>3.0</v>
      </c>
      <c r="F401" s="11">
        <v>3.0</v>
      </c>
    </row>
    <row r="402">
      <c r="A402" s="10" t="s">
        <v>6284</v>
      </c>
      <c r="B402" s="11" t="s">
        <v>54</v>
      </c>
      <c r="C402" s="11">
        <v>3.0</v>
      </c>
      <c r="D402" s="11">
        <v>3.0</v>
      </c>
      <c r="E402" s="11">
        <v>3.0</v>
      </c>
      <c r="F402" s="11">
        <v>3.0</v>
      </c>
    </row>
    <row r="403">
      <c r="A403" s="10" t="s">
        <v>6285</v>
      </c>
      <c r="B403" s="11" t="s">
        <v>133</v>
      </c>
      <c r="C403" s="11">
        <v>3.0</v>
      </c>
      <c r="D403" s="11">
        <v>3.0</v>
      </c>
      <c r="E403" s="11">
        <v>3.0</v>
      </c>
      <c r="F403" s="11">
        <v>3.0</v>
      </c>
    </row>
    <row r="404">
      <c r="A404" s="10" t="s">
        <v>6286</v>
      </c>
      <c r="B404" s="11" t="s">
        <v>133</v>
      </c>
      <c r="C404" s="11">
        <v>3.0</v>
      </c>
      <c r="D404" s="11">
        <v>3.0</v>
      </c>
      <c r="E404" s="11">
        <v>3.0</v>
      </c>
      <c r="F404" s="11">
        <v>3.0</v>
      </c>
    </row>
    <row r="405">
      <c r="A405" s="10" t="s">
        <v>4419</v>
      </c>
      <c r="B405" s="11" t="s">
        <v>133</v>
      </c>
      <c r="C405" s="11">
        <v>3.0</v>
      </c>
      <c r="D405" s="11">
        <v>3.0</v>
      </c>
      <c r="E405" s="11">
        <v>3.0</v>
      </c>
      <c r="F405" s="11">
        <v>3.0</v>
      </c>
    </row>
    <row r="406">
      <c r="A406" s="10" t="s">
        <v>6287</v>
      </c>
      <c r="B406" s="11" t="s">
        <v>133</v>
      </c>
      <c r="C406" s="11">
        <v>3.0</v>
      </c>
      <c r="D406" s="11">
        <v>3.0</v>
      </c>
      <c r="E406" s="11">
        <v>3.0</v>
      </c>
      <c r="F406" s="11">
        <v>3.0</v>
      </c>
    </row>
    <row r="407">
      <c r="A407" s="10" t="s">
        <v>6288</v>
      </c>
      <c r="B407" s="11" t="s">
        <v>133</v>
      </c>
      <c r="C407" s="11">
        <v>3.0</v>
      </c>
      <c r="D407" s="11">
        <v>3.0</v>
      </c>
      <c r="E407" s="11">
        <v>3.0</v>
      </c>
      <c r="F407" s="11">
        <v>3.0</v>
      </c>
    </row>
    <row r="408">
      <c r="A408" s="10" t="s">
        <v>6289</v>
      </c>
      <c r="B408" s="11" t="s">
        <v>133</v>
      </c>
      <c r="C408" s="11">
        <v>3.0</v>
      </c>
      <c r="D408" s="11">
        <v>3.0</v>
      </c>
      <c r="E408" s="11">
        <v>3.0</v>
      </c>
      <c r="F408" s="11">
        <v>3.0</v>
      </c>
    </row>
    <row r="409">
      <c r="A409" s="10" t="s">
        <v>6290</v>
      </c>
      <c r="B409" s="11" t="s">
        <v>133</v>
      </c>
      <c r="C409" s="11">
        <v>3.0</v>
      </c>
      <c r="D409" s="11">
        <v>3.0</v>
      </c>
      <c r="E409" s="11">
        <v>3.0</v>
      </c>
      <c r="F409" s="11">
        <v>3.0</v>
      </c>
    </row>
    <row r="410">
      <c r="A410" s="10" t="s">
        <v>6291</v>
      </c>
      <c r="B410" s="11" t="s">
        <v>133</v>
      </c>
      <c r="C410" s="11">
        <v>3.0</v>
      </c>
      <c r="D410" s="11">
        <v>3.0</v>
      </c>
      <c r="E410" s="11">
        <v>3.0</v>
      </c>
      <c r="F410" s="11">
        <v>3.0</v>
      </c>
    </row>
    <row r="411">
      <c r="A411" s="10" t="s">
        <v>6292</v>
      </c>
      <c r="B411" s="11" t="s">
        <v>133</v>
      </c>
      <c r="C411" s="11">
        <v>3.0</v>
      </c>
      <c r="D411" s="11">
        <v>3.0</v>
      </c>
      <c r="E411" s="11">
        <v>3.0</v>
      </c>
      <c r="F411" s="11">
        <v>3.0</v>
      </c>
    </row>
    <row r="412">
      <c r="A412" s="10" t="s">
        <v>6293</v>
      </c>
      <c r="B412" s="11" t="s">
        <v>133</v>
      </c>
      <c r="C412" s="11">
        <v>3.0</v>
      </c>
      <c r="D412" s="11">
        <v>3.0</v>
      </c>
      <c r="E412" s="11">
        <v>3.0</v>
      </c>
      <c r="F412" s="11">
        <v>3.0</v>
      </c>
    </row>
    <row r="413">
      <c r="A413" s="10" t="s">
        <v>6294</v>
      </c>
      <c r="B413" s="11" t="s">
        <v>133</v>
      </c>
      <c r="C413" s="11">
        <v>3.0</v>
      </c>
      <c r="D413" s="11">
        <v>3.0</v>
      </c>
      <c r="E413" s="11">
        <v>3.0</v>
      </c>
      <c r="F413" s="11">
        <v>3.0</v>
      </c>
    </row>
    <row r="414">
      <c r="A414" s="10" t="s">
        <v>6295</v>
      </c>
      <c r="B414" s="11" t="s">
        <v>133</v>
      </c>
      <c r="C414" s="11">
        <v>3.0</v>
      </c>
      <c r="D414" s="11">
        <v>3.0</v>
      </c>
      <c r="E414" s="11">
        <v>3.0</v>
      </c>
      <c r="F414" s="11">
        <v>3.0</v>
      </c>
    </row>
    <row r="415">
      <c r="A415" s="10" t="s">
        <v>6296</v>
      </c>
      <c r="B415" s="11" t="s">
        <v>133</v>
      </c>
      <c r="C415" s="11">
        <v>3.0</v>
      </c>
      <c r="D415" s="11">
        <v>3.0</v>
      </c>
      <c r="E415" s="11">
        <v>3.0</v>
      </c>
      <c r="F415" s="11">
        <v>3.0</v>
      </c>
    </row>
    <row r="416">
      <c r="A416" s="10" t="s">
        <v>6297</v>
      </c>
      <c r="B416" s="11" t="s">
        <v>133</v>
      </c>
      <c r="C416" s="11">
        <v>3.0</v>
      </c>
      <c r="D416" s="11">
        <v>3.0</v>
      </c>
      <c r="E416" s="11">
        <v>3.0</v>
      </c>
      <c r="F416" s="11">
        <v>3.0</v>
      </c>
    </row>
    <row r="417">
      <c r="A417" s="10" t="s">
        <v>6298</v>
      </c>
      <c r="B417" s="11" t="s">
        <v>133</v>
      </c>
      <c r="C417" s="11">
        <v>3.0</v>
      </c>
      <c r="D417" s="11">
        <v>3.0</v>
      </c>
      <c r="E417" s="11">
        <v>3.0</v>
      </c>
      <c r="F417" s="11">
        <v>3.0</v>
      </c>
    </row>
    <row r="418">
      <c r="A418" s="10" t="s">
        <v>6299</v>
      </c>
      <c r="B418" s="11" t="s">
        <v>133</v>
      </c>
      <c r="C418" s="11">
        <v>3.0</v>
      </c>
      <c r="D418" s="11">
        <v>3.0</v>
      </c>
      <c r="E418" s="11">
        <v>3.0</v>
      </c>
      <c r="F418" s="11">
        <v>3.0</v>
      </c>
    </row>
    <row r="419">
      <c r="A419" s="10" t="s">
        <v>6300</v>
      </c>
      <c r="B419" s="11" t="s">
        <v>133</v>
      </c>
      <c r="C419" s="11">
        <v>3.0</v>
      </c>
      <c r="D419" s="11">
        <v>3.0</v>
      </c>
      <c r="E419" s="11">
        <v>3.0</v>
      </c>
      <c r="F419" s="11">
        <v>3.0</v>
      </c>
    </row>
    <row r="420">
      <c r="A420" s="10" t="s">
        <v>4542</v>
      </c>
      <c r="B420" s="11" t="s">
        <v>133</v>
      </c>
      <c r="C420" s="11">
        <v>3.0</v>
      </c>
      <c r="D420" s="11">
        <v>3.0</v>
      </c>
      <c r="E420" s="11">
        <v>3.0</v>
      </c>
      <c r="F420" s="11">
        <v>3.0</v>
      </c>
    </row>
    <row r="421">
      <c r="A421" s="10" t="s">
        <v>6301</v>
      </c>
      <c r="B421" s="11" t="s">
        <v>133</v>
      </c>
      <c r="C421" s="11">
        <v>3.0</v>
      </c>
      <c r="D421" s="11">
        <v>3.0</v>
      </c>
      <c r="E421" s="11">
        <v>3.0</v>
      </c>
      <c r="F421" s="11">
        <v>3.0</v>
      </c>
    </row>
    <row r="422">
      <c r="A422" s="10" t="s">
        <v>6302</v>
      </c>
      <c r="B422" s="11" t="s">
        <v>133</v>
      </c>
      <c r="C422" s="11">
        <v>3.0</v>
      </c>
      <c r="D422" s="11">
        <v>3.0</v>
      </c>
      <c r="E422" s="11">
        <v>3.0</v>
      </c>
      <c r="F422" s="11">
        <v>3.0</v>
      </c>
    </row>
    <row r="423">
      <c r="A423" s="10" t="s">
        <v>6303</v>
      </c>
      <c r="B423" s="11" t="s">
        <v>133</v>
      </c>
      <c r="C423" s="11">
        <v>3.0</v>
      </c>
      <c r="D423" s="11">
        <v>3.0</v>
      </c>
      <c r="E423" s="11">
        <v>3.0</v>
      </c>
      <c r="F423" s="11">
        <v>3.0</v>
      </c>
    </row>
    <row r="424">
      <c r="A424" s="10" t="s">
        <v>6304</v>
      </c>
      <c r="B424" s="11" t="s">
        <v>133</v>
      </c>
      <c r="C424" s="11">
        <v>3.0</v>
      </c>
      <c r="D424" s="11">
        <v>3.0</v>
      </c>
      <c r="E424" s="11">
        <v>3.0</v>
      </c>
      <c r="F424" s="11">
        <v>3.0</v>
      </c>
    </row>
    <row r="425">
      <c r="A425" s="10" t="s">
        <v>6305</v>
      </c>
      <c r="B425" s="11" t="s">
        <v>133</v>
      </c>
      <c r="C425" s="11">
        <v>3.0</v>
      </c>
      <c r="D425" s="11">
        <v>3.0</v>
      </c>
      <c r="E425" s="11">
        <v>3.0</v>
      </c>
      <c r="F425" s="11">
        <v>3.0</v>
      </c>
    </row>
    <row r="426">
      <c r="A426" s="10" t="s">
        <v>6306</v>
      </c>
      <c r="B426" s="11" t="s">
        <v>133</v>
      </c>
      <c r="C426" s="11">
        <v>3.0</v>
      </c>
      <c r="D426" s="11">
        <v>3.0</v>
      </c>
      <c r="E426" s="11">
        <v>3.0</v>
      </c>
      <c r="F426" s="11">
        <v>3.0</v>
      </c>
    </row>
    <row r="427">
      <c r="A427" s="10" t="s">
        <v>6307</v>
      </c>
      <c r="B427" s="11" t="s">
        <v>133</v>
      </c>
      <c r="C427" s="11">
        <v>3.0</v>
      </c>
      <c r="D427" s="11">
        <v>3.0</v>
      </c>
      <c r="E427" s="11">
        <v>3.0</v>
      </c>
      <c r="F427" s="11">
        <v>3.0</v>
      </c>
    </row>
    <row r="428">
      <c r="A428" s="10" t="s">
        <v>6308</v>
      </c>
      <c r="B428" s="11" t="s">
        <v>133</v>
      </c>
      <c r="C428" s="11">
        <v>3.0</v>
      </c>
      <c r="D428" s="11">
        <v>3.0</v>
      </c>
      <c r="E428" s="11">
        <v>3.0</v>
      </c>
      <c r="F428" s="11">
        <v>3.0</v>
      </c>
    </row>
    <row r="429">
      <c r="A429" s="10" t="s">
        <v>6309</v>
      </c>
      <c r="B429" s="11" t="s">
        <v>133</v>
      </c>
      <c r="C429" s="11">
        <v>3.0</v>
      </c>
      <c r="D429" s="11">
        <v>3.0</v>
      </c>
      <c r="E429" s="11">
        <v>3.0</v>
      </c>
      <c r="F429" s="11">
        <v>3.0</v>
      </c>
    </row>
    <row r="430">
      <c r="A430" s="10" t="s">
        <v>6310</v>
      </c>
      <c r="B430" s="11" t="s">
        <v>133</v>
      </c>
      <c r="C430" s="11">
        <v>3.0</v>
      </c>
      <c r="D430" s="11">
        <v>3.0</v>
      </c>
      <c r="E430" s="11">
        <v>3.0</v>
      </c>
      <c r="F430" s="11">
        <v>3.0</v>
      </c>
    </row>
    <row r="431">
      <c r="A431" s="10" t="s">
        <v>6311</v>
      </c>
      <c r="B431" s="11" t="s">
        <v>133</v>
      </c>
      <c r="C431" s="11">
        <v>3.0</v>
      </c>
      <c r="D431" s="11">
        <v>3.0</v>
      </c>
      <c r="E431" s="11">
        <v>3.0</v>
      </c>
      <c r="F431" s="11">
        <v>3.0</v>
      </c>
    </row>
    <row r="432">
      <c r="A432" s="10" t="s">
        <v>6312</v>
      </c>
      <c r="B432" s="11" t="s">
        <v>133</v>
      </c>
      <c r="C432" s="11">
        <v>3.0</v>
      </c>
      <c r="D432" s="11">
        <v>3.0</v>
      </c>
      <c r="E432" s="11">
        <v>3.0</v>
      </c>
      <c r="F432" s="11">
        <v>3.0</v>
      </c>
    </row>
    <row r="433">
      <c r="A433" s="10" t="s">
        <v>6313</v>
      </c>
      <c r="B433" s="11" t="s">
        <v>54</v>
      </c>
      <c r="C433" s="11">
        <v>3.0</v>
      </c>
      <c r="D433" s="11">
        <v>3.0</v>
      </c>
      <c r="E433" s="11">
        <v>3.0</v>
      </c>
      <c r="F433" s="11">
        <v>3.0</v>
      </c>
    </row>
    <row r="434">
      <c r="A434" s="10" t="s">
        <v>6314</v>
      </c>
      <c r="B434" s="11" t="s">
        <v>133</v>
      </c>
      <c r="C434" s="11">
        <v>3.0</v>
      </c>
      <c r="D434" s="11">
        <v>3.0</v>
      </c>
      <c r="E434" s="11">
        <v>3.0</v>
      </c>
      <c r="F434" s="11">
        <v>3.0</v>
      </c>
    </row>
    <row r="435">
      <c r="A435" s="10" t="s">
        <v>4630</v>
      </c>
      <c r="B435" s="11" t="s">
        <v>133</v>
      </c>
      <c r="C435" s="11">
        <v>3.0</v>
      </c>
      <c r="D435" s="11">
        <v>3.0</v>
      </c>
      <c r="E435" s="11">
        <v>3.0</v>
      </c>
      <c r="F435" s="11">
        <v>3.0</v>
      </c>
    </row>
    <row r="436">
      <c r="A436" s="10" t="s">
        <v>6315</v>
      </c>
      <c r="B436" s="11" t="s">
        <v>133</v>
      </c>
      <c r="C436" s="11">
        <v>3.0</v>
      </c>
      <c r="D436" s="11">
        <v>3.0</v>
      </c>
      <c r="E436" s="11">
        <v>3.0</v>
      </c>
      <c r="F436" s="11">
        <v>3.0</v>
      </c>
    </row>
    <row r="437">
      <c r="A437" s="10" t="s">
        <v>6316</v>
      </c>
      <c r="B437" s="11" t="s">
        <v>133</v>
      </c>
      <c r="C437" s="11">
        <v>3.0</v>
      </c>
      <c r="D437" s="11">
        <v>3.0</v>
      </c>
      <c r="E437" s="11">
        <v>3.0</v>
      </c>
      <c r="F437" s="11">
        <v>3.0</v>
      </c>
    </row>
    <row r="438">
      <c r="A438" s="10" t="s">
        <v>6317</v>
      </c>
      <c r="B438" s="11" t="s">
        <v>133</v>
      </c>
      <c r="C438" s="11">
        <v>3.0</v>
      </c>
      <c r="D438" s="11">
        <v>3.0</v>
      </c>
      <c r="E438" s="11">
        <v>3.0</v>
      </c>
      <c r="F438" s="11">
        <v>3.0</v>
      </c>
    </row>
    <row r="439">
      <c r="A439" s="10" t="s">
        <v>6318</v>
      </c>
      <c r="B439" s="11" t="s">
        <v>133</v>
      </c>
      <c r="C439" s="11">
        <v>3.0</v>
      </c>
      <c r="D439" s="11">
        <v>3.0</v>
      </c>
      <c r="E439" s="11">
        <v>3.0</v>
      </c>
      <c r="F439" s="11">
        <v>3.0</v>
      </c>
    </row>
    <row r="440">
      <c r="A440" s="10" t="s">
        <v>6319</v>
      </c>
      <c r="B440" s="11" t="s">
        <v>133</v>
      </c>
      <c r="C440" s="11">
        <v>3.0</v>
      </c>
      <c r="D440" s="11">
        <v>3.0</v>
      </c>
      <c r="E440" s="11">
        <v>3.0</v>
      </c>
      <c r="F440" s="11">
        <v>3.0</v>
      </c>
    </row>
    <row r="441">
      <c r="A441" s="10" t="s">
        <v>6320</v>
      </c>
      <c r="B441" s="11" t="s">
        <v>133</v>
      </c>
      <c r="C441" s="11">
        <v>3.0</v>
      </c>
      <c r="D441" s="11">
        <v>3.0</v>
      </c>
      <c r="E441" s="11">
        <v>3.0</v>
      </c>
      <c r="F441" s="11">
        <v>3.0</v>
      </c>
    </row>
    <row r="442">
      <c r="A442" s="10" t="s">
        <v>6321</v>
      </c>
      <c r="B442" s="11" t="s">
        <v>133</v>
      </c>
      <c r="C442" s="11">
        <v>3.0</v>
      </c>
      <c r="D442" s="11">
        <v>3.0</v>
      </c>
      <c r="E442" s="11">
        <v>3.0</v>
      </c>
      <c r="F442" s="11">
        <v>3.0</v>
      </c>
    </row>
    <row r="443">
      <c r="A443" s="10" t="s">
        <v>6322</v>
      </c>
      <c r="B443" s="11" t="s">
        <v>133</v>
      </c>
      <c r="C443" s="11">
        <v>3.0</v>
      </c>
      <c r="D443" s="11">
        <v>3.0</v>
      </c>
      <c r="E443" s="11">
        <v>3.0</v>
      </c>
      <c r="F443" s="11">
        <v>3.0</v>
      </c>
    </row>
    <row r="444">
      <c r="A444" s="10" t="s">
        <v>6323</v>
      </c>
      <c r="B444" s="11" t="s">
        <v>133</v>
      </c>
      <c r="C444" s="11">
        <v>3.0</v>
      </c>
      <c r="D444" s="11">
        <v>3.0</v>
      </c>
      <c r="E444" s="11">
        <v>3.0</v>
      </c>
      <c r="F444" s="11">
        <v>3.0</v>
      </c>
    </row>
    <row r="445">
      <c r="A445" s="10" t="s">
        <v>6324</v>
      </c>
      <c r="B445" s="11" t="s">
        <v>133</v>
      </c>
      <c r="C445" s="11">
        <v>3.0</v>
      </c>
      <c r="D445" s="11">
        <v>3.0</v>
      </c>
      <c r="E445" s="11">
        <v>3.0</v>
      </c>
      <c r="F445" s="11">
        <v>3.0</v>
      </c>
    </row>
    <row r="446">
      <c r="A446" s="10" t="s">
        <v>6325</v>
      </c>
      <c r="B446" s="11" t="s">
        <v>133</v>
      </c>
      <c r="C446" s="11">
        <v>3.0</v>
      </c>
      <c r="D446" s="11">
        <v>3.0</v>
      </c>
      <c r="E446" s="11">
        <v>3.0</v>
      </c>
      <c r="F446" s="11">
        <v>3.0</v>
      </c>
    </row>
    <row r="447">
      <c r="A447" s="10" t="s">
        <v>6326</v>
      </c>
      <c r="B447" s="11" t="s">
        <v>133</v>
      </c>
      <c r="C447" s="11">
        <v>3.0</v>
      </c>
      <c r="D447" s="11">
        <v>3.0</v>
      </c>
      <c r="E447" s="11">
        <v>3.0</v>
      </c>
      <c r="F447" s="11">
        <v>3.0</v>
      </c>
    </row>
    <row r="448">
      <c r="A448" s="10" t="s">
        <v>6327</v>
      </c>
      <c r="B448" s="11" t="s">
        <v>133</v>
      </c>
      <c r="C448" s="11">
        <v>3.0</v>
      </c>
      <c r="D448" s="11">
        <v>3.0</v>
      </c>
      <c r="E448" s="11">
        <v>3.0</v>
      </c>
      <c r="F448" s="11">
        <v>3.0</v>
      </c>
    </row>
    <row r="449">
      <c r="A449" s="10" t="s">
        <v>6328</v>
      </c>
      <c r="B449" s="11" t="s">
        <v>133</v>
      </c>
      <c r="C449" s="11">
        <v>3.0</v>
      </c>
      <c r="D449" s="11">
        <v>3.0</v>
      </c>
      <c r="E449" s="11">
        <v>3.0</v>
      </c>
      <c r="F449" s="11">
        <v>3.0</v>
      </c>
    </row>
    <row r="450">
      <c r="A450" s="10" t="s">
        <v>6329</v>
      </c>
      <c r="B450" s="11" t="s">
        <v>133</v>
      </c>
      <c r="C450" s="11">
        <v>3.0</v>
      </c>
      <c r="D450" s="11">
        <v>3.0</v>
      </c>
      <c r="E450" s="11">
        <v>3.0</v>
      </c>
      <c r="F450" s="11">
        <v>3.0</v>
      </c>
    </row>
    <row r="451">
      <c r="A451" s="10" t="s">
        <v>6330</v>
      </c>
      <c r="B451" s="11" t="s">
        <v>133</v>
      </c>
      <c r="C451" s="11">
        <v>3.0</v>
      </c>
      <c r="D451" s="11">
        <v>3.0</v>
      </c>
      <c r="E451" s="11">
        <v>3.0</v>
      </c>
      <c r="F451" s="11">
        <v>3.0</v>
      </c>
    </row>
    <row r="452">
      <c r="A452" s="10" t="s">
        <v>6331</v>
      </c>
      <c r="B452" s="11" t="s">
        <v>133</v>
      </c>
      <c r="C452" s="11">
        <v>3.0</v>
      </c>
      <c r="D452" s="11">
        <v>3.0</v>
      </c>
      <c r="E452" s="11">
        <v>3.0</v>
      </c>
      <c r="F452" s="11">
        <v>3.0</v>
      </c>
    </row>
    <row r="453">
      <c r="A453" s="10" t="s">
        <v>6332</v>
      </c>
      <c r="B453" s="11" t="s">
        <v>133</v>
      </c>
      <c r="C453" s="11">
        <v>3.0</v>
      </c>
      <c r="D453" s="11">
        <v>3.0</v>
      </c>
      <c r="E453" s="11">
        <v>3.0</v>
      </c>
      <c r="F453" s="11">
        <v>3.0</v>
      </c>
    </row>
    <row r="454">
      <c r="A454" s="10" t="s">
        <v>6333</v>
      </c>
      <c r="B454" s="11" t="s">
        <v>133</v>
      </c>
      <c r="C454" s="11">
        <v>3.0</v>
      </c>
      <c r="D454" s="11">
        <v>3.0</v>
      </c>
      <c r="E454" s="11">
        <v>3.0</v>
      </c>
      <c r="F454" s="11">
        <v>3.0</v>
      </c>
    </row>
    <row r="455">
      <c r="A455" s="10" t="s">
        <v>6334</v>
      </c>
      <c r="B455" s="11" t="s">
        <v>133</v>
      </c>
      <c r="C455" s="11">
        <v>3.0</v>
      </c>
      <c r="D455" s="11">
        <v>3.0</v>
      </c>
      <c r="E455" s="11">
        <v>3.0</v>
      </c>
      <c r="F455" s="11">
        <v>3.0</v>
      </c>
    </row>
    <row r="456">
      <c r="A456" s="10" t="s">
        <v>4891</v>
      </c>
      <c r="B456" s="11" t="s">
        <v>133</v>
      </c>
      <c r="C456" s="11">
        <v>3.0</v>
      </c>
      <c r="D456" s="11">
        <v>3.0</v>
      </c>
      <c r="E456" s="11">
        <v>3.0</v>
      </c>
      <c r="F456" s="11">
        <v>3.0</v>
      </c>
    </row>
    <row r="457">
      <c r="A457" s="10" t="s">
        <v>6335</v>
      </c>
      <c r="B457" s="11" t="s">
        <v>133</v>
      </c>
      <c r="C457" s="11">
        <v>3.0</v>
      </c>
      <c r="D457" s="11">
        <v>3.0</v>
      </c>
      <c r="E457" s="11">
        <v>3.0</v>
      </c>
      <c r="F457" s="11">
        <v>3.0</v>
      </c>
    </row>
    <row r="458">
      <c r="A458" s="10" t="s">
        <v>6336</v>
      </c>
      <c r="B458" s="11" t="s">
        <v>133</v>
      </c>
      <c r="C458" s="11">
        <v>3.0</v>
      </c>
      <c r="D458" s="11">
        <v>3.0</v>
      </c>
      <c r="E458" s="11">
        <v>3.0</v>
      </c>
      <c r="F458" s="11">
        <v>3.0</v>
      </c>
    </row>
    <row r="459">
      <c r="A459" s="10" t="s">
        <v>6337</v>
      </c>
      <c r="B459" s="11" t="s">
        <v>133</v>
      </c>
      <c r="C459" s="11">
        <v>3.0</v>
      </c>
      <c r="D459" s="11">
        <v>3.0</v>
      </c>
      <c r="E459" s="11">
        <v>3.0</v>
      </c>
      <c r="F459" s="11">
        <v>3.0</v>
      </c>
    </row>
    <row r="460">
      <c r="A460" s="10" t="s">
        <v>6338</v>
      </c>
      <c r="B460" s="11" t="s">
        <v>133</v>
      </c>
      <c r="C460" s="11">
        <v>3.0</v>
      </c>
      <c r="D460" s="11">
        <v>3.0</v>
      </c>
      <c r="E460" s="11">
        <v>3.0</v>
      </c>
      <c r="F460" s="11">
        <v>3.0</v>
      </c>
    </row>
    <row r="461">
      <c r="A461" s="10" t="s">
        <v>6339</v>
      </c>
      <c r="B461" s="11" t="s">
        <v>133</v>
      </c>
      <c r="C461" s="11">
        <v>3.0</v>
      </c>
      <c r="D461" s="11">
        <v>3.0</v>
      </c>
      <c r="E461" s="11">
        <v>3.0</v>
      </c>
      <c r="F461" s="11">
        <v>3.0</v>
      </c>
    </row>
    <row r="462">
      <c r="A462" s="10" t="s">
        <v>6340</v>
      </c>
      <c r="B462" s="11" t="s">
        <v>133</v>
      </c>
      <c r="C462" s="11">
        <v>3.0</v>
      </c>
      <c r="D462" s="11">
        <v>3.0</v>
      </c>
      <c r="E462" s="11">
        <v>3.0</v>
      </c>
      <c r="F462" s="11">
        <v>3.0</v>
      </c>
    </row>
    <row r="463">
      <c r="A463" s="10" t="s">
        <v>6341</v>
      </c>
      <c r="B463" s="11" t="s">
        <v>133</v>
      </c>
      <c r="C463" s="11">
        <v>3.0</v>
      </c>
      <c r="D463" s="11">
        <v>3.0</v>
      </c>
      <c r="E463" s="11">
        <v>3.0</v>
      </c>
      <c r="F463" s="11">
        <v>3.0</v>
      </c>
    </row>
    <row r="464">
      <c r="A464" s="10" t="s">
        <v>6342</v>
      </c>
      <c r="B464" s="11" t="s">
        <v>133</v>
      </c>
      <c r="C464" s="11">
        <v>3.0</v>
      </c>
      <c r="D464" s="11">
        <v>3.0</v>
      </c>
      <c r="E464" s="11">
        <v>3.0</v>
      </c>
      <c r="F464" s="11">
        <v>3.0</v>
      </c>
    </row>
    <row r="465">
      <c r="A465" s="10" t="s">
        <v>6343</v>
      </c>
      <c r="B465" s="11" t="s">
        <v>133</v>
      </c>
      <c r="C465" s="11">
        <v>3.0</v>
      </c>
      <c r="D465" s="11">
        <v>3.0</v>
      </c>
      <c r="E465" s="11">
        <v>3.0</v>
      </c>
      <c r="F465" s="11">
        <v>3.0</v>
      </c>
    </row>
    <row r="466">
      <c r="A466" s="10" t="s">
        <v>6344</v>
      </c>
      <c r="B466" s="11" t="s">
        <v>133</v>
      </c>
      <c r="C466" s="11">
        <v>3.0</v>
      </c>
      <c r="D466" s="11">
        <v>3.0</v>
      </c>
      <c r="E466" s="11">
        <v>3.0</v>
      </c>
      <c r="F466" s="11">
        <v>3.0</v>
      </c>
    </row>
    <row r="467">
      <c r="A467" s="10" t="s">
        <v>6345</v>
      </c>
      <c r="B467" s="11" t="s">
        <v>133</v>
      </c>
      <c r="C467" s="11">
        <v>3.0</v>
      </c>
      <c r="D467" s="11">
        <v>3.0</v>
      </c>
      <c r="E467" s="11">
        <v>3.0</v>
      </c>
      <c r="F467" s="11">
        <v>3.0</v>
      </c>
    </row>
    <row r="468">
      <c r="A468" s="10" t="s">
        <v>6346</v>
      </c>
      <c r="B468" s="11" t="s">
        <v>133</v>
      </c>
      <c r="C468" s="11">
        <v>3.0</v>
      </c>
      <c r="D468" s="11">
        <v>3.0</v>
      </c>
      <c r="E468" s="11">
        <v>3.0</v>
      </c>
      <c r="F468" s="11">
        <v>3.0</v>
      </c>
    </row>
    <row r="469">
      <c r="A469" s="10" t="s">
        <v>6347</v>
      </c>
      <c r="B469" s="11" t="s">
        <v>133</v>
      </c>
      <c r="C469" s="11">
        <v>3.0</v>
      </c>
      <c r="D469" s="11">
        <v>3.0</v>
      </c>
      <c r="E469" s="11">
        <v>3.0</v>
      </c>
      <c r="F469" s="11">
        <v>3.0</v>
      </c>
    </row>
    <row r="470">
      <c r="A470" s="10" t="s">
        <v>6348</v>
      </c>
      <c r="B470" s="11" t="s">
        <v>133</v>
      </c>
      <c r="C470" s="11">
        <v>3.0</v>
      </c>
      <c r="D470" s="11">
        <v>3.0</v>
      </c>
      <c r="E470" s="11">
        <v>3.0</v>
      </c>
      <c r="F470" s="11">
        <v>3.0</v>
      </c>
    </row>
    <row r="471">
      <c r="A471" s="10" t="s">
        <v>6349</v>
      </c>
      <c r="B471" s="11" t="s">
        <v>133</v>
      </c>
      <c r="C471" s="11">
        <v>3.0</v>
      </c>
      <c r="D471" s="11">
        <v>3.0</v>
      </c>
      <c r="E471" s="11">
        <v>3.0</v>
      </c>
      <c r="F471" s="11">
        <v>3.0</v>
      </c>
    </row>
    <row r="472">
      <c r="A472" s="10" t="s">
        <v>6350</v>
      </c>
      <c r="B472" s="11" t="s">
        <v>133</v>
      </c>
      <c r="C472" s="11">
        <v>3.0</v>
      </c>
      <c r="D472" s="11">
        <v>3.0</v>
      </c>
      <c r="E472" s="11">
        <v>3.0</v>
      </c>
      <c r="F472" s="11">
        <v>3.0</v>
      </c>
    </row>
    <row r="473">
      <c r="A473" s="10" t="s">
        <v>6351</v>
      </c>
      <c r="B473" s="11" t="s">
        <v>133</v>
      </c>
      <c r="C473" s="11">
        <v>3.0</v>
      </c>
      <c r="D473" s="11">
        <v>3.0</v>
      </c>
      <c r="E473" s="11">
        <v>3.0</v>
      </c>
      <c r="F473" s="11">
        <v>3.0</v>
      </c>
    </row>
    <row r="474">
      <c r="A474" s="10" t="s">
        <v>6352</v>
      </c>
      <c r="B474" s="11" t="s">
        <v>133</v>
      </c>
      <c r="C474" s="11">
        <v>3.0</v>
      </c>
      <c r="D474" s="11">
        <v>3.0</v>
      </c>
      <c r="E474" s="11">
        <v>3.0</v>
      </c>
      <c r="F474" s="11">
        <v>3.0</v>
      </c>
    </row>
    <row r="475">
      <c r="A475" s="10" t="s">
        <v>6353</v>
      </c>
      <c r="B475" s="11" t="s">
        <v>133</v>
      </c>
      <c r="C475" s="11">
        <v>3.0</v>
      </c>
      <c r="D475" s="11">
        <v>3.0</v>
      </c>
      <c r="E475" s="11">
        <v>3.0</v>
      </c>
      <c r="F475" s="11">
        <v>3.0</v>
      </c>
    </row>
    <row r="476">
      <c r="A476" s="10" t="s">
        <v>5155</v>
      </c>
      <c r="B476" s="11" t="s">
        <v>133</v>
      </c>
      <c r="C476" s="11">
        <v>3.0</v>
      </c>
      <c r="D476" s="11">
        <v>3.0</v>
      </c>
      <c r="E476" s="11">
        <v>3.0</v>
      </c>
      <c r="F476" s="11">
        <v>3.0</v>
      </c>
    </row>
    <row r="477">
      <c r="A477" s="10" t="s">
        <v>6354</v>
      </c>
      <c r="B477" s="11" t="s">
        <v>133</v>
      </c>
      <c r="C477" s="11">
        <v>3.0</v>
      </c>
      <c r="D477" s="11">
        <v>3.0</v>
      </c>
      <c r="E477" s="11">
        <v>3.0</v>
      </c>
      <c r="F477" s="11">
        <v>3.0</v>
      </c>
    </row>
    <row r="478">
      <c r="A478" s="10" t="s">
        <v>6355</v>
      </c>
      <c r="B478" s="11" t="s">
        <v>133</v>
      </c>
      <c r="C478" s="11">
        <v>3.0</v>
      </c>
      <c r="D478" s="11">
        <v>3.0</v>
      </c>
      <c r="E478" s="11">
        <v>3.0</v>
      </c>
      <c r="F478" s="11">
        <v>3.0</v>
      </c>
    </row>
    <row r="479">
      <c r="A479" s="10" t="s">
        <v>6356</v>
      </c>
      <c r="B479" s="11" t="s">
        <v>133</v>
      </c>
      <c r="C479" s="11">
        <v>3.0</v>
      </c>
      <c r="D479" s="11">
        <v>3.0</v>
      </c>
      <c r="E479" s="11">
        <v>3.0</v>
      </c>
      <c r="F479" s="11">
        <v>3.0</v>
      </c>
    </row>
    <row r="480">
      <c r="A480" s="10" t="s">
        <v>6357</v>
      </c>
      <c r="B480" s="11" t="s">
        <v>133</v>
      </c>
      <c r="C480" s="11">
        <v>3.0</v>
      </c>
      <c r="D480" s="11">
        <v>3.0</v>
      </c>
      <c r="E480" s="11">
        <v>3.0</v>
      </c>
      <c r="F480" s="11">
        <v>3.0</v>
      </c>
    </row>
    <row r="481">
      <c r="A481" s="10" t="s">
        <v>6358</v>
      </c>
      <c r="B481" s="11" t="s">
        <v>133</v>
      </c>
      <c r="C481" s="11">
        <v>3.0</v>
      </c>
      <c r="D481" s="11">
        <v>3.0</v>
      </c>
      <c r="E481" s="11">
        <v>3.0</v>
      </c>
      <c r="F481" s="11">
        <v>3.0</v>
      </c>
    </row>
    <row r="482">
      <c r="A482" s="10" t="s">
        <v>6359</v>
      </c>
      <c r="B482" s="11" t="s">
        <v>133</v>
      </c>
      <c r="C482" s="11">
        <v>3.0</v>
      </c>
      <c r="D482" s="11">
        <v>3.0</v>
      </c>
      <c r="E482" s="11">
        <v>3.0</v>
      </c>
      <c r="F482" s="11">
        <v>3.0</v>
      </c>
    </row>
    <row r="483">
      <c r="A483" s="10" t="s">
        <v>6360</v>
      </c>
      <c r="B483" s="11" t="s">
        <v>133</v>
      </c>
      <c r="C483" s="11">
        <v>3.0</v>
      </c>
      <c r="D483" s="11">
        <v>3.0</v>
      </c>
      <c r="E483" s="11">
        <v>3.0</v>
      </c>
      <c r="F483" s="11">
        <v>3.0</v>
      </c>
    </row>
    <row r="484">
      <c r="A484" s="10" t="s">
        <v>6361</v>
      </c>
      <c r="B484" s="11" t="s">
        <v>133</v>
      </c>
      <c r="C484" s="11">
        <v>3.0</v>
      </c>
      <c r="D484" s="11">
        <v>3.0</v>
      </c>
      <c r="E484" s="11">
        <v>3.0</v>
      </c>
      <c r="F484" s="11">
        <v>3.0</v>
      </c>
    </row>
    <row r="485">
      <c r="A485" s="10" t="s">
        <v>6362</v>
      </c>
      <c r="B485" s="11" t="s">
        <v>133</v>
      </c>
      <c r="C485" s="11">
        <v>3.0</v>
      </c>
      <c r="D485" s="11">
        <v>3.0</v>
      </c>
      <c r="E485" s="11">
        <v>3.0</v>
      </c>
      <c r="F485" s="11">
        <v>3.0</v>
      </c>
    </row>
    <row r="486">
      <c r="A486" s="10" t="s">
        <v>6363</v>
      </c>
      <c r="B486" s="11" t="s">
        <v>133</v>
      </c>
      <c r="C486" s="11">
        <v>3.0</v>
      </c>
      <c r="D486" s="11">
        <v>3.0</v>
      </c>
      <c r="E486" s="11">
        <v>3.0</v>
      </c>
      <c r="F486" s="11">
        <v>3.0</v>
      </c>
    </row>
    <row r="487">
      <c r="A487" s="10" t="s">
        <v>6364</v>
      </c>
      <c r="B487" s="11" t="s">
        <v>133</v>
      </c>
      <c r="C487" s="11">
        <v>3.0</v>
      </c>
      <c r="D487" s="11">
        <v>3.0</v>
      </c>
      <c r="E487" s="11">
        <v>3.0</v>
      </c>
      <c r="F487" s="11">
        <v>3.0</v>
      </c>
    </row>
    <row r="488">
      <c r="A488" s="10" t="s">
        <v>5272</v>
      </c>
      <c r="B488" s="11" t="s">
        <v>133</v>
      </c>
      <c r="C488" s="11">
        <v>3.0</v>
      </c>
      <c r="D488" s="11">
        <v>3.0</v>
      </c>
      <c r="E488" s="11">
        <v>3.0</v>
      </c>
      <c r="F488" s="11">
        <v>3.0</v>
      </c>
    </row>
    <row r="489">
      <c r="A489" s="10" t="s">
        <v>6365</v>
      </c>
      <c r="B489" s="11" t="s">
        <v>133</v>
      </c>
      <c r="C489" s="11">
        <v>3.0</v>
      </c>
      <c r="D489" s="11">
        <v>3.0</v>
      </c>
      <c r="E489" s="11">
        <v>3.0</v>
      </c>
      <c r="F489" s="11">
        <v>3.0</v>
      </c>
    </row>
    <row r="490">
      <c r="A490" s="10" t="s">
        <v>6366</v>
      </c>
      <c r="B490" s="11" t="s">
        <v>133</v>
      </c>
      <c r="C490" s="11">
        <v>3.0</v>
      </c>
      <c r="D490" s="11">
        <v>3.0</v>
      </c>
      <c r="E490" s="11">
        <v>3.0</v>
      </c>
      <c r="F490" s="11">
        <v>3.0</v>
      </c>
    </row>
    <row r="491">
      <c r="A491" s="10" t="s">
        <v>6367</v>
      </c>
      <c r="B491" s="11" t="s">
        <v>133</v>
      </c>
      <c r="C491" s="11">
        <v>3.0</v>
      </c>
      <c r="D491" s="11">
        <v>3.0</v>
      </c>
      <c r="E491" s="11">
        <v>3.0</v>
      </c>
      <c r="F491" s="11">
        <v>3.0</v>
      </c>
    </row>
    <row r="492">
      <c r="A492" s="10" t="s">
        <v>6368</v>
      </c>
      <c r="B492" s="11" t="s">
        <v>133</v>
      </c>
      <c r="C492" s="11">
        <v>3.0</v>
      </c>
      <c r="D492" s="11">
        <v>3.0</v>
      </c>
      <c r="E492" s="11">
        <v>3.0</v>
      </c>
      <c r="F492" s="11">
        <v>3.0</v>
      </c>
    </row>
    <row r="493">
      <c r="A493" s="10" t="s">
        <v>6369</v>
      </c>
      <c r="B493" s="11" t="s">
        <v>133</v>
      </c>
      <c r="C493" s="11">
        <v>3.0</v>
      </c>
      <c r="D493" s="11">
        <v>3.0</v>
      </c>
      <c r="E493" s="11">
        <v>3.0</v>
      </c>
      <c r="F493" s="11">
        <v>3.0</v>
      </c>
    </row>
    <row r="494">
      <c r="A494" s="10" t="s">
        <v>5292</v>
      </c>
      <c r="B494" s="11" t="s">
        <v>133</v>
      </c>
      <c r="C494" s="11">
        <v>3.0</v>
      </c>
      <c r="D494" s="11">
        <v>3.0</v>
      </c>
      <c r="E494" s="11">
        <v>3.0</v>
      </c>
      <c r="F494" s="11">
        <v>3.0</v>
      </c>
    </row>
    <row r="495">
      <c r="A495" s="10" t="s">
        <v>5294</v>
      </c>
      <c r="B495" s="11" t="s">
        <v>133</v>
      </c>
      <c r="C495" s="11">
        <v>3.0</v>
      </c>
      <c r="D495" s="11">
        <v>3.0</v>
      </c>
      <c r="E495" s="11">
        <v>3.0</v>
      </c>
      <c r="F495" s="11">
        <v>3.0</v>
      </c>
    </row>
    <row r="496">
      <c r="A496" s="10" t="s">
        <v>6370</v>
      </c>
      <c r="B496" s="11" t="s">
        <v>133</v>
      </c>
      <c r="C496" s="11">
        <v>3.0</v>
      </c>
      <c r="D496" s="11">
        <v>3.0</v>
      </c>
      <c r="E496" s="11">
        <v>3.0</v>
      </c>
      <c r="F496" s="11">
        <v>3.0</v>
      </c>
    </row>
    <row r="497">
      <c r="A497" s="10" t="s">
        <v>6371</v>
      </c>
      <c r="B497" s="11" t="s">
        <v>133</v>
      </c>
      <c r="C497" s="11">
        <v>3.0</v>
      </c>
      <c r="D497" s="11">
        <v>3.0</v>
      </c>
      <c r="E497" s="11">
        <v>3.0</v>
      </c>
      <c r="F497" s="11">
        <v>3.0</v>
      </c>
    </row>
    <row r="498">
      <c r="A498" s="10" t="s">
        <v>6372</v>
      </c>
      <c r="B498" s="11" t="s">
        <v>133</v>
      </c>
      <c r="C498" s="11">
        <v>3.0</v>
      </c>
      <c r="D498" s="11">
        <v>3.0</v>
      </c>
      <c r="E498" s="11">
        <v>3.0</v>
      </c>
      <c r="F498" s="11">
        <v>3.0</v>
      </c>
    </row>
    <row r="499">
      <c r="A499" s="10" t="s">
        <v>5302</v>
      </c>
      <c r="B499" s="11" t="s">
        <v>133</v>
      </c>
      <c r="C499" s="11">
        <v>3.0</v>
      </c>
      <c r="D499" s="11">
        <v>3.0</v>
      </c>
      <c r="E499" s="11">
        <v>3.0</v>
      </c>
      <c r="F499" s="11">
        <v>3.0</v>
      </c>
    </row>
    <row r="500">
      <c r="A500" s="10" t="s">
        <v>6373</v>
      </c>
      <c r="B500" s="11" t="s">
        <v>133</v>
      </c>
      <c r="C500" s="11">
        <v>3.0</v>
      </c>
      <c r="D500" s="11">
        <v>3.0</v>
      </c>
      <c r="E500" s="11">
        <v>3.0</v>
      </c>
      <c r="F500" s="11">
        <v>3.0</v>
      </c>
    </row>
    <row r="501">
      <c r="A501" s="10" t="s">
        <v>6374</v>
      </c>
      <c r="B501" s="11" t="s">
        <v>133</v>
      </c>
      <c r="C501" s="11">
        <v>3.0</v>
      </c>
      <c r="D501" s="11">
        <v>3.0</v>
      </c>
      <c r="E501" s="11">
        <v>3.0</v>
      </c>
      <c r="F501" s="11">
        <v>3.0</v>
      </c>
    </row>
    <row r="502">
      <c r="A502" s="10" t="s">
        <v>6375</v>
      </c>
      <c r="B502" s="11" t="s">
        <v>133</v>
      </c>
      <c r="C502" s="11">
        <v>3.0</v>
      </c>
      <c r="D502" s="11">
        <v>3.0</v>
      </c>
      <c r="E502" s="11">
        <v>3.0</v>
      </c>
      <c r="F502" s="11">
        <v>3.0</v>
      </c>
    </row>
    <row r="503">
      <c r="A503" s="10" t="s">
        <v>6376</v>
      </c>
      <c r="B503" s="11" t="s">
        <v>133</v>
      </c>
      <c r="C503" s="11">
        <v>3.0</v>
      </c>
      <c r="D503" s="11">
        <v>3.0</v>
      </c>
      <c r="E503" s="11">
        <v>3.0</v>
      </c>
      <c r="F503" s="11">
        <v>3.0</v>
      </c>
    </row>
    <row r="504">
      <c r="A504" s="10" t="s">
        <v>5347</v>
      </c>
      <c r="B504" s="11" t="s">
        <v>133</v>
      </c>
      <c r="C504" s="11">
        <v>3.0</v>
      </c>
      <c r="D504" s="11">
        <v>3.0</v>
      </c>
      <c r="E504" s="11">
        <v>3.0</v>
      </c>
      <c r="F504" s="11">
        <v>3.0</v>
      </c>
    </row>
    <row r="505">
      <c r="A505" s="10" t="s">
        <v>6377</v>
      </c>
      <c r="B505" s="11" t="s">
        <v>133</v>
      </c>
      <c r="C505" s="11">
        <v>3.0</v>
      </c>
      <c r="D505" s="11">
        <v>3.0</v>
      </c>
      <c r="E505" s="11">
        <v>3.0</v>
      </c>
      <c r="F505" s="11">
        <v>3.0</v>
      </c>
    </row>
    <row r="506">
      <c r="A506" s="10" t="s">
        <v>6378</v>
      </c>
      <c r="B506" s="11" t="s">
        <v>133</v>
      </c>
      <c r="C506" s="11">
        <v>3.0</v>
      </c>
      <c r="D506" s="11">
        <v>3.0</v>
      </c>
      <c r="E506" s="11">
        <v>3.0</v>
      </c>
      <c r="F506" s="11">
        <v>3.0</v>
      </c>
    </row>
    <row r="507">
      <c r="A507" s="10" t="s">
        <v>6379</v>
      </c>
      <c r="B507" s="11" t="s">
        <v>133</v>
      </c>
      <c r="C507" s="11">
        <v>3.0</v>
      </c>
      <c r="D507" s="11">
        <v>3.0</v>
      </c>
      <c r="E507" s="11">
        <v>3.0</v>
      </c>
      <c r="F507" s="11">
        <v>3.0</v>
      </c>
    </row>
    <row r="508">
      <c r="A508" s="10" t="s">
        <v>6380</v>
      </c>
      <c r="B508" s="11" t="s">
        <v>133</v>
      </c>
      <c r="C508" s="11">
        <v>3.0</v>
      </c>
      <c r="D508" s="11">
        <v>3.0</v>
      </c>
      <c r="E508" s="11">
        <v>3.0</v>
      </c>
      <c r="F508" s="11">
        <v>3.0</v>
      </c>
    </row>
    <row r="509">
      <c r="A509" s="10" t="s">
        <v>6381</v>
      </c>
      <c r="B509" s="11" t="s">
        <v>133</v>
      </c>
      <c r="C509" s="11">
        <v>3.0</v>
      </c>
      <c r="D509" s="11">
        <v>3.0</v>
      </c>
      <c r="E509" s="11">
        <v>3.0</v>
      </c>
      <c r="F509" s="11">
        <v>3.0</v>
      </c>
    </row>
    <row r="510">
      <c r="A510" s="10" t="s">
        <v>6382</v>
      </c>
      <c r="B510" s="11" t="s">
        <v>54</v>
      </c>
      <c r="C510" s="11">
        <v>3.0</v>
      </c>
      <c r="D510" s="11">
        <v>3.0</v>
      </c>
      <c r="E510" s="11">
        <v>3.0</v>
      </c>
      <c r="F510" s="11">
        <v>3.0</v>
      </c>
    </row>
    <row r="511">
      <c r="A511" s="10" t="s">
        <v>6383</v>
      </c>
      <c r="B511" s="11" t="s">
        <v>133</v>
      </c>
      <c r="C511" s="11">
        <v>3.0</v>
      </c>
      <c r="D511" s="11">
        <v>3.0</v>
      </c>
      <c r="E511" s="11">
        <v>3.0</v>
      </c>
      <c r="F511" s="11">
        <v>3.0</v>
      </c>
    </row>
    <row r="512">
      <c r="A512" s="10" t="s">
        <v>6384</v>
      </c>
      <c r="B512" s="11" t="s">
        <v>133</v>
      </c>
      <c r="C512" s="11">
        <v>3.0</v>
      </c>
      <c r="D512" s="11">
        <v>3.0</v>
      </c>
      <c r="E512" s="11">
        <v>3.0</v>
      </c>
      <c r="F512" s="11">
        <v>3.0</v>
      </c>
    </row>
    <row r="513">
      <c r="A513" s="10" t="s">
        <v>6385</v>
      </c>
      <c r="B513" s="11" t="s">
        <v>133</v>
      </c>
      <c r="C513" s="11">
        <v>3.0</v>
      </c>
      <c r="D513" s="11">
        <v>3.0</v>
      </c>
      <c r="E513" s="11">
        <v>3.0</v>
      </c>
      <c r="F513" s="11">
        <v>3.0</v>
      </c>
    </row>
    <row r="514">
      <c r="A514" s="10" t="s">
        <v>6386</v>
      </c>
      <c r="B514" s="11" t="s">
        <v>133</v>
      </c>
      <c r="C514" s="11">
        <v>3.0</v>
      </c>
      <c r="D514" s="11">
        <v>3.0</v>
      </c>
      <c r="E514" s="11">
        <v>3.0</v>
      </c>
      <c r="F514" s="11">
        <v>3.0</v>
      </c>
    </row>
    <row r="515">
      <c r="A515" s="10" t="s">
        <v>6387</v>
      </c>
      <c r="B515" s="11" t="s">
        <v>133</v>
      </c>
      <c r="C515" s="11">
        <v>3.0</v>
      </c>
      <c r="D515" s="11">
        <v>3.0</v>
      </c>
      <c r="E515" s="11">
        <v>3.0</v>
      </c>
      <c r="F515" s="11">
        <v>3.0</v>
      </c>
    </row>
    <row r="516">
      <c r="A516" s="10" t="s">
        <v>6388</v>
      </c>
      <c r="B516" s="11" t="s">
        <v>133</v>
      </c>
      <c r="C516" s="11">
        <v>3.0</v>
      </c>
      <c r="D516" s="11">
        <v>3.0</v>
      </c>
      <c r="E516" s="11">
        <v>3.0</v>
      </c>
      <c r="F516" s="11">
        <v>3.0</v>
      </c>
    </row>
    <row r="517">
      <c r="A517" s="10" t="s">
        <v>6389</v>
      </c>
      <c r="B517" s="11" t="s">
        <v>133</v>
      </c>
      <c r="C517" s="11">
        <v>3.0</v>
      </c>
      <c r="D517" s="11">
        <v>3.0</v>
      </c>
      <c r="E517" s="11">
        <v>3.0</v>
      </c>
      <c r="F517" s="11">
        <v>3.0</v>
      </c>
    </row>
    <row r="518">
      <c r="A518" s="10" t="s">
        <v>6390</v>
      </c>
      <c r="B518" s="11" t="s">
        <v>133</v>
      </c>
      <c r="C518" s="11">
        <v>3.0</v>
      </c>
      <c r="D518" s="11">
        <v>3.0</v>
      </c>
      <c r="E518" s="11">
        <v>3.0</v>
      </c>
      <c r="F518" s="11">
        <v>3.0</v>
      </c>
    </row>
    <row r="519">
      <c r="A519" s="10" t="s">
        <v>6391</v>
      </c>
      <c r="B519" s="11" t="s">
        <v>133</v>
      </c>
      <c r="C519" s="11">
        <v>3.0</v>
      </c>
      <c r="D519" s="11">
        <v>3.0</v>
      </c>
      <c r="E519" s="11">
        <v>3.0</v>
      </c>
      <c r="F519" s="11">
        <v>3.0</v>
      </c>
    </row>
    <row r="520">
      <c r="A520" s="10" t="s">
        <v>6392</v>
      </c>
      <c r="B520" s="11" t="s">
        <v>133</v>
      </c>
      <c r="C520" s="11">
        <v>3.0</v>
      </c>
      <c r="D520" s="11">
        <v>3.0</v>
      </c>
      <c r="E520" s="11">
        <v>3.0</v>
      </c>
      <c r="F520" s="11">
        <v>3.0</v>
      </c>
    </row>
    <row r="521">
      <c r="A521" s="10" t="s">
        <v>6393</v>
      </c>
      <c r="B521" s="11" t="s">
        <v>133</v>
      </c>
      <c r="C521" s="11">
        <v>3.0</v>
      </c>
      <c r="D521" s="11">
        <v>3.0</v>
      </c>
      <c r="E521" s="11">
        <v>3.0</v>
      </c>
      <c r="F521" s="11">
        <v>3.0</v>
      </c>
    </row>
    <row r="522">
      <c r="A522" s="10" t="s">
        <v>6394</v>
      </c>
      <c r="B522" s="11" t="s">
        <v>133</v>
      </c>
      <c r="C522" s="11">
        <v>3.0</v>
      </c>
      <c r="D522" s="11">
        <v>3.0</v>
      </c>
      <c r="E522" s="11">
        <v>3.0</v>
      </c>
      <c r="F522" s="11">
        <v>3.0</v>
      </c>
    </row>
    <row r="523">
      <c r="A523" s="11" t="s">
        <v>6395</v>
      </c>
      <c r="B523" s="11" t="s">
        <v>133</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4.25"/>
    <col customWidth="1" min="3" max="3" width="17.5"/>
    <col customWidth="1" min="4" max="4" width="23.88"/>
    <col customWidth="1" min="12" max="12" width="24.38"/>
  </cols>
  <sheetData>
    <row r="1">
      <c r="A1" s="3" t="s">
        <v>6055</v>
      </c>
      <c r="B1" s="47" t="s">
        <v>6396</v>
      </c>
      <c r="C1" s="47" t="s">
        <v>6397</v>
      </c>
      <c r="D1" s="47" t="s">
        <v>6398</v>
      </c>
      <c r="E1" s="47" t="s">
        <v>5585</v>
      </c>
      <c r="F1" s="47" t="s">
        <v>9</v>
      </c>
      <c r="G1" s="5" t="s">
        <v>10</v>
      </c>
      <c r="H1" s="5" t="s">
        <v>11</v>
      </c>
      <c r="I1" s="5" t="s">
        <v>12</v>
      </c>
    </row>
    <row r="2">
      <c r="A2" s="48" t="s">
        <v>6399</v>
      </c>
      <c r="B2" s="49" t="str">
        <f t="shared" ref="B2:B3130" si="1">iferror(left(C2,find(";",C2)-1),C2)</f>
        <v>Accountants</v>
      </c>
      <c r="C2" s="49" t="str">
        <f t="shared" ref="C2:C3130" si="2">right(A2,Len(A2)-find(" - ",A2)-2)</f>
        <v>Accountants; Individual practicing certified public accountancy without a valid permit</v>
      </c>
      <c r="D2" s="49" t="str">
        <f t="shared" ref="D2:D3130" si="3">left(A2,find(" - ",A2)-1)</f>
        <v>1-316(a)</v>
      </c>
      <c r="E2" s="11" t="s">
        <v>133</v>
      </c>
      <c r="F2" s="11">
        <v>3.0</v>
      </c>
      <c r="G2" s="11">
        <v>3.0</v>
      </c>
      <c r="H2" s="11">
        <v>3.0</v>
      </c>
      <c r="I2" s="11">
        <v>3.0</v>
      </c>
    </row>
    <row r="3">
      <c r="A3" s="48" t="s">
        <v>6400</v>
      </c>
      <c r="B3" s="49" t="str">
        <f t="shared" si="1"/>
        <v>Abandonment</v>
      </c>
      <c r="C3" s="49" t="str">
        <f t="shared" si="2"/>
        <v>Abandonment; Of child less than 16</v>
      </c>
      <c r="D3" s="49" t="str">
        <f t="shared" si="3"/>
        <v>21-5605(a)</v>
      </c>
      <c r="E3" s="11" t="s">
        <v>133</v>
      </c>
      <c r="F3" s="11">
        <v>3.0</v>
      </c>
      <c r="G3" s="11">
        <v>3.0</v>
      </c>
      <c r="H3" s="11">
        <v>3.0</v>
      </c>
      <c r="I3" s="11">
        <v>3.0</v>
      </c>
    </row>
    <row r="4">
      <c r="A4" s="48" t="s">
        <v>6401</v>
      </c>
      <c r="B4" s="49" t="str">
        <f t="shared" si="1"/>
        <v>Abortion</v>
      </c>
      <c r="C4" s="49" t="str">
        <f t="shared" si="2"/>
        <v>Abortion; Abortion or attempt to abort a viable unborn child; 1st offense</v>
      </c>
      <c r="D4" s="49" t="str">
        <f t="shared" si="3"/>
        <v>65-6703(a)</v>
      </c>
      <c r="E4" s="11" t="s">
        <v>133</v>
      </c>
      <c r="F4" s="11">
        <v>3.0</v>
      </c>
      <c r="G4" s="11">
        <v>3.0</v>
      </c>
      <c r="H4" s="11">
        <v>3.0</v>
      </c>
      <c r="I4" s="11">
        <v>3.0</v>
      </c>
    </row>
    <row r="5">
      <c r="A5" s="48" t="s">
        <v>6402</v>
      </c>
      <c r="B5" s="49" t="str">
        <f t="shared" si="1"/>
        <v>Abortion</v>
      </c>
      <c r="C5" s="49" t="str">
        <f t="shared" si="2"/>
        <v>Abortion; Abortion or attempt to abort a viable unborn child; 2nd or subs. Conviction</v>
      </c>
      <c r="D5" s="49" t="str">
        <f t="shared" si="3"/>
        <v>65-6703(a)</v>
      </c>
      <c r="E5" s="11" t="s">
        <v>133</v>
      </c>
      <c r="F5" s="11">
        <v>3.0</v>
      </c>
      <c r="G5" s="11">
        <v>3.0</v>
      </c>
      <c r="H5" s="11">
        <v>3.0</v>
      </c>
      <c r="I5" s="11">
        <v>3.0</v>
      </c>
    </row>
    <row r="6">
      <c r="A6" s="48" t="s">
        <v>6403</v>
      </c>
      <c r="B6" s="49" t="str">
        <f t="shared" si="1"/>
        <v>Abortion</v>
      </c>
      <c r="C6" s="49" t="str">
        <f t="shared" si="2"/>
        <v>Abortion; Failure to perform medical tests and maintain records as provided in (c ); 1st offense</v>
      </c>
      <c r="D6" s="49" t="str">
        <f t="shared" si="3"/>
        <v>65-6703(c)</v>
      </c>
      <c r="E6" s="11" t="s">
        <v>133</v>
      </c>
      <c r="F6" s="11">
        <v>3.0</v>
      </c>
      <c r="G6" s="11">
        <v>3.0</v>
      </c>
      <c r="H6" s="11">
        <v>3.0</v>
      </c>
      <c r="I6" s="11">
        <v>3.0</v>
      </c>
    </row>
    <row r="7">
      <c r="A7" s="48" t="s">
        <v>6404</v>
      </c>
      <c r="B7" s="49" t="str">
        <f t="shared" si="1"/>
        <v>Abortion</v>
      </c>
      <c r="C7" s="49" t="str">
        <f t="shared" si="2"/>
        <v>Abortion; Failure to perform medical tests and maintain records as provided in (c); 2nd or subs. offense</v>
      </c>
      <c r="D7" s="49" t="str">
        <f t="shared" si="3"/>
        <v>65-6703(c)</v>
      </c>
      <c r="E7" s="11" t="s">
        <v>133</v>
      </c>
      <c r="F7" s="11">
        <v>3.0</v>
      </c>
      <c r="G7" s="11">
        <v>3.0</v>
      </c>
      <c r="H7" s="11">
        <v>3.0</v>
      </c>
      <c r="I7" s="11">
        <v>3.0</v>
      </c>
    </row>
    <row r="8">
      <c r="A8" s="48" t="s">
        <v>6405</v>
      </c>
      <c r="B8" s="49" t="str">
        <f t="shared" si="1"/>
        <v>Abortion</v>
      </c>
      <c r="C8" s="49" t="str">
        <f t="shared" si="2"/>
        <v>Abortion; Failure to provide written determination as provided in (b) to pregnant woman no less than 30 minutes prior to initiation of abortion; 1st offense</v>
      </c>
      <c r="D8" s="49" t="str">
        <f t="shared" si="3"/>
        <v>65-6703(b)</v>
      </c>
      <c r="E8" s="11" t="s">
        <v>133</v>
      </c>
      <c r="F8" s="11">
        <v>3.0</v>
      </c>
      <c r="G8" s="11">
        <v>3.0</v>
      </c>
      <c r="H8" s="11">
        <v>3.0</v>
      </c>
      <c r="I8" s="11">
        <v>3.0</v>
      </c>
    </row>
    <row r="9">
      <c r="A9" s="48" t="s">
        <v>6406</v>
      </c>
      <c r="B9" s="49" t="str">
        <f t="shared" si="1"/>
        <v>Abortion</v>
      </c>
      <c r="C9" s="49" t="str">
        <f t="shared" si="2"/>
        <v>Abortion; Failure to provide written determination as provided in (b) to pregnant woman no less than 30 minutes prior to initiation of abortion; 2nd or subs. offense</v>
      </c>
      <c r="D9" s="49" t="str">
        <f t="shared" si="3"/>
        <v>65-6703(b)</v>
      </c>
      <c r="E9" s="11" t="s">
        <v>133</v>
      </c>
      <c r="F9" s="11">
        <v>3.0</v>
      </c>
      <c r="G9" s="11">
        <v>3.0</v>
      </c>
      <c r="H9" s="11">
        <v>3.0</v>
      </c>
      <c r="I9" s="11">
        <v>3.0</v>
      </c>
    </row>
    <row r="10">
      <c r="A10" s="48" t="s">
        <v>6407</v>
      </c>
      <c r="B10" s="49" t="str">
        <f t="shared" si="1"/>
        <v>Abortion</v>
      </c>
      <c r="C10" s="49" t="str">
        <f t="shared" si="2"/>
        <v>Abortion; Intentional and knowing or reckless abortion on unemancipated minor</v>
      </c>
      <c r="D10" s="49" t="str">
        <f t="shared" si="3"/>
        <v>65-6705(k)</v>
      </c>
      <c r="E10" s="11" t="s">
        <v>133</v>
      </c>
      <c r="F10" s="11">
        <v>3.0</v>
      </c>
      <c r="G10" s="11">
        <v>3.0</v>
      </c>
      <c r="H10" s="11">
        <v>3.0</v>
      </c>
      <c r="I10" s="11">
        <v>3.0</v>
      </c>
    </row>
    <row r="11">
      <c r="A11" s="48" t="s">
        <v>6408</v>
      </c>
      <c r="B11" s="49" t="str">
        <f t="shared" si="1"/>
        <v>Abortion</v>
      </c>
      <c r="C11" s="49" t="str">
        <f t="shared" si="2"/>
        <v>Abortion; Partial birth abortion on viable fetus prohibited unless exceptions apply</v>
      </c>
      <c r="D11" s="49" t="str">
        <f t="shared" si="3"/>
        <v>65-6721(a)</v>
      </c>
      <c r="E11" s="11" t="s">
        <v>133</v>
      </c>
      <c r="F11" s="11">
        <v>3.0</v>
      </c>
      <c r="G11" s="11">
        <v>3.0</v>
      </c>
      <c r="H11" s="11">
        <v>3.0</v>
      </c>
      <c r="I11" s="11">
        <v>3.0</v>
      </c>
    </row>
    <row r="12">
      <c r="A12" s="48" t="s">
        <v>6409</v>
      </c>
      <c r="B12" s="49" t="str">
        <f t="shared" si="1"/>
        <v>Abortion</v>
      </c>
      <c r="C12" s="49" t="str">
        <f t="shared" si="2"/>
        <v>Abortion; Penalty for unauthorized "pain-capable" child abortion; Second or subs conviction</v>
      </c>
      <c r="D12" s="49" t="str">
        <f t="shared" si="3"/>
        <v>65-6724</v>
      </c>
      <c r="E12" s="11" t="s">
        <v>133</v>
      </c>
      <c r="F12" s="11">
        <v>3.0</v>
      </c>
      <c r="G12" s="11">
        <v>3.0</v>
      </c>
      <c r="H12" s="11">
        <v>3.0</v>
      </c>
      <c r="I12" s="11">
        <v>3.0</v>
      </c>
    </row>
    <row r="13">
      <c r="A13" s="48" t="s">
        <v>6410</v>
      </c>
      <c r="B13" s="49" t="str">
        <f t="shared" si="1"/>
        <v>Abortion</v>
      </c>
      <c r="C13" s="49" t="str">
        <f t="shared" si="2"/>
        <v>Abortion; Perform or attempt to perform dismemberment abortion; 1st conviction</v>
      </c>
      <c r="D13" s="49" t="str">
        <f t="shared" si="3"/>
        <v>65-6743(a)(1)</v>
      </c>
      <c r="E13" s="11" t="s">
        <v>133</v>
      </c>
      <c r="F13" s="11">
        <v>3.0</v>
      </c>
      <c r="G13" s="11">
        <v>3.0</v>
      </c>
      <c r="H13" s="11">
        <v>3.0</v>
      </c>
      <c r="I13" s="11">
        <v>3.0</v>
      </c>
    </row>
    <row r="14">
      <c r="A14" s="48" t="s">
        <v>6411</v>
      </c>
      <c r="B14" s="49" t="str">
        <f t="shared" si="1"/>
        <v>Abortion</v>
      </c>
      <c r="C14" s="49" t="str">
        <f t="shared" si="2"/>
        <v>Abortion; Perform or attempt to perform dismemberment abortion; 2nd conviction</v>
      </c>
      <c r="D14" s="49" t="str">
        <f t="shared" si="3"/>
        <v>65-6743(a)(1)</v>
      </c>
      <c r="E14" s="11" t="s">
        <v>133</v>
      </c>
      <c r="F14" s="11">
        <v>3.0</v>
      </c>
      <c r="G14" s="11">
        <v>3.0</v>
      </c>
      <c r="H14" s="11">
        <v>3.0</v>
      </c>
      <c r="I14" s="11">
        <v>3.0</v>
      </c>
    </row>
    <row r="15">
      <c r="A15" s="48" t="s">
        <v>6412</v>
      </c>
      <c r="B15" s="49" t="str">
        <f t="shared" si="1"/>
        <v>Abortion</v>
      </c>
      <c r="C15" s="49" t="str">
        <f t="shared" si="2"/>
        <v>Abortion; Performing an abortion with knowledge that woman is seeking abortion solely on account of the sex of the unborn child; 1st conviction</v>
      </c>
      <c r="D15" s="49" t="str">
        <f t="shared" si="3"/>
        <v>65-6726(a)</v>
      </c>
      <c r="E15" s="11" t="s">
        <v>133</v>
      </c>
      <c r="F15" s="11">
        <v>3.0</v>
      </c>
      <c r="G15" s="11">
        <v>3.0</v>
      </c>
      <c r="H15" s="11">
        <v>3.0</v>
      </c>
      <c r="I15" s="11">
        <v>3.0</v>
      </c>
    </row>
    <row r="16">
      <c r="A16" s="48" t="s">
        <v>6413</v>
      </c>
      <c r="B16" s="49" t="str">
        <f t="shared" si="1"/>
        <v>Abortion</v>
      </c>
      <c r="C16" s="49" t="str">
        <f t="shared" si="2"/>
        <v>Abortion; Performing an abortion with knowledge that woman is seeking abortion solely on account of the sex of the unborn child; 2nd or subs. conviction</v>
      </c>
      <c r="D16" s="49" t="str">
        <f t="shared" si="3"/>
        <v>65-6726(a)</v>
      </c>
      <c r="E16" s="11" t="s">
        <v>133</v>
      </c>
      <c r="F16" s="11">
        <v>3.0</v>
      </c>
      <c r="G16" s="11">
        <v>3.0</v>
      </c>
      <c r="H16" s="11">
        <v>3.0</v>
      </c>
      <c r="I16" s="11">
        <v>3.0</v>
      </c>
    </row>
    <row r="17">
      <c r="A17" s="48" t="s">
        <v>6414</v>
      </c>
      <c r="B17" s="49" t="str">
        <f t="shared" si="1"/>
        <v>Abortion</v>
      </c>
      <c r="C17" s="49" t="str">
        <f t="shared" si="2"/>
        <v>Abortion; Willful or knowing disclosure of the identity of a minor petitioning the court pursuant to this section or disclosure of any court record relating to such proceeding</v>
      </c>
      <c r="D17" s="49" t="str">
        <f t="shared" si="3"/>
        <v>65-6705(l)(1)</v>
      </c>
      <c r="E17" s="11" t="s">
        <v>133</v>
      </c>
      <c r="F17" s="11">
        <v>3.0</v>
      </c>
      <c r="G17" s="11">
        <v>3.0</v>
      </c>
      <c r="H17" s="11">
        <v>3.0</v>
      </c>
      <c r="I17" s="11">
        <v>3.0</v>
      </c>
    </row>
    <row r="18">
      <c r="A18" s="48" t="s">
        <v>6415</v>
      </c>
      <c r="B18" s="49" t="str">
        <f t="shared" si="1"/>
        <v>Abortion</v>
      </c>
      <c r="C18" s="49" t="str">
        <f t="shared" si="2"/>
        <v>Abortion; Willfully/knowingly permit or encourage disclosure of minor's identity or record</v>
      </c>
      <c r="D18" s="49" t="str">
        <f t="shared" si="3"/>
        <v>65-6705(l)(2)</v>
      </c>
      <c r="E18" s="11" t="s">
        <v>133</v>
      </c>
      <c r="F18" s="11">
        <v>3.0</v>
      </c>
      <c r="G18" s="11">
        <v>3.0</v>
      </c>
      <c r="H18" s="11">
        <v>3.0</v>
      </c>
      <c r="I18" s="11">
        <v>3.0</v>
      </c>
    </row>
    <row r="19">
      <c r="A19" s="48" t="s">
        <v>6416</v>
      </c>
      <c r="B19" s="49" t="str">
        <f t="shared" si="1"/>
        <v>Accountants</v>
      </c>
      <c r="C19" s="49" t="str">
        <f t="shared" si="2"/>
        <v>Accountants; Firm practicing certified public accountancy as a certified public accounting firm or C.P.A. firm without registering</v>
      </c>
      <c r="D19" s="49" t="str">
        <f t="shared" si="3"/>
        <v>1-316(b)</v>
      </c>
      <c r="E19" s="11" t="s">
        <v>133</v>
      </c>
      <c r="F19" s="11">
        <v>3.0</v>
      </c>
      <c r="G19" s="11">
        <v>3.0</v>
      </c>
      <c r="H19" s="11">
        <v>3.0</v>
      </c>
      <c r="I19" s="11">
        <v>3.0</v>
      </c>
    </row>
    <row r="20">
      <c r="A20" s="48" t="s">
        <v>6417</v>
      </c>
      <c r="B20" s="49" t="str">
        <f t="shared" si="1"/>
        <v>Accountants</v>
      </c>
      <c r="C20" s="49" t="str">
        <f t="shared" si="2"/>
        <v>Accountants; Issue a report or financial statements that references the American institute of certified public accountants without holding a permit to practice</v>
      </c>
      <c r="D20" s="49" t="str">
        <f t="shared" si="3"/>
        <v>1-316(e)</v>
      </c>
      <c r="E20" s="11" t="s">
        <v>133</v>
      </c>
      <c r="F20" s="11">
        <v>3.0</v>
      </c>
      <c r="G20" s="11">
        <v>3.0</v>
      </c>
      <c r="H20" s="11">
        <v>3.0</v>
      </c>
      <c r="I20" s="11">
        <v>3.0</v>
      </c>
    </row>
    <row r="21">
      <c r="A21" s="48" t="s">
        <v>6418</v>
      </c>
      <c r="B21" s="49" t="str">
        <f t="shared" si="1"/>
        <v>Accountants</v>
      </c>
      <c r="C21" s="49" t="str">
        <f t="shared" si="2"/>
        <v>Accountants; Use or assume title, abbreviation, designation, words, letters, sign, card or device likely to be confused with "certified public accountant." without valid Kansas certificate</v>
      </c>
      <c r="D21" s="49" t="str">
        <f t="shared" si="3"/>
        <v>1-316(c)</v>
      </c>
      <c r="E21" s="11" t="s">
        <v>133</v>
      </c>
      <c r="F21" s="11">
        <v>3.0</v>
      </c>
      <c r="G21" s="11">
        <v>3.0</v>
      </c>
      <c r="H21" s="11">
        <v>3.0</v>
      </c>
      <c r="I21" s="11">
        <v>3.0</v>
      </c>
    </row>
    <row r="22">
      <c r="A22" s="10" t="s">
        <v>6419</v>
      </c>
      <c r="B22" s="49" t="str">
        <f t="shared" si="1"/>
        <v>Accountants</v>
      </c>
      <c r="C22" s="49" t="str">
        <f t="shared" si="2"/>
        <v>Accountants; Use professional or firm name or designation that is misleading as to any other matter</v>
      </c>
      <c r="D22" s="49" t="str">
        <f t="shared" si="3"/>
        <v>1-316(d)(3)</v>
      </c>
      <c r="E22" s="11" t="s">
        <v>133</v>
      </c>
      <c r="F22" s="11">
        <v>3.0</v>
      </c>
      <c r="G22" s="11">
        <v>3.0</v>
      </c>
      <c r="H22" s="11">
        <v>3.0</v>
      </c>
      <c r="I22" s="11">
        <v>3.0</v>
      </c>
    </row>
    <row r="23">
      <c r="A23" s="10" t="s">
        <v>6420</v>
      </c>
      <c r="B23" s="49" t="str">
        <f t="shared" si="1"/>
        <v>Accountants</v>
      </c>
      <c r="C23" s="49" t="str">
        <f t="shared" si="2"/>
        <v>Accountants; Use professional or firm name or designation that is misleading as to the legal form of the firm</v>
      </c>
      <c r="D23" s="49" t="str">
        <f t="shared" si="3"/>
        <v>1-316(d)(1)</v>
      </c>
      <c r="E23" s="11" t="s">
        <v>133</v>
      </c>
      <c r="F23" s="11">
        <v>3.0</v>
      </c>
      <c r="G23" s="11">
        <v>3.0</v>
      </c>
      <c r="H23" s="11">
        <v>3.0</v>
      </c>
      <c r="I23" s="11">
        <v>3.0</v>
      </c>
    </row>
    <row r="24">
      <c r="A24" s="10" t="s">
        <v>6421</v>
      </c>
      <c r="B24" s="49" t="str">
        <f t="shared" si="1"/>
        <v>Accountants</v>
      </c>
      <c r="C24" s="49" t="str">
        <f t="shared" si="2"/>
        <v>Accountants; Use professional or firm name or designation that is misleading as to the persons who are partners, officers, members, managers or shareholders of the firm</v>
      </c>
      <c r="D24" s="49" t="str">
        <f t="shared" si="3"/>
        <v>1-316(d)(2)</v>
      </c>
      <c r="E24" s="11" t="s">
        <v>133</v>
      </c>
      <c r="F24" s="11">
        <v>3.0</v>
      </c>
      <c r="G24" s="11">
        <v>3.0</v>
      </c>
      <c r="H24" s="11">
        <v>3.0</v>
      </c>
      <c r="I24" s="11">
        <v>3.0</v>
      </c>
    </row>
    <row r="25">
      <c r="A25" s="10" t="s">
        <v>6422</v>
      </c>
      <c r="B25" s="49" t="str">
        <f t="shared" si="1"/>
        <v>Addiction Counselor Licensure Act</v>
      </c>
      <c r="C25" s="49" t="str">
        <f t="shared" si="2"/>
        <v>Addiction Counselor Licensure Act; Effective Sept. 1, 2011; Engage in the practice of addiction counseling as a clinical addiction counselor or represent that such person is a licensed clinical addiction counselor or substance abuse counselor without having such license</v>
      </c>
      <c r="D25" s="49" t="str">
        <f t="shared" si="3"/>
        <v>65-6609(a)</v>
      </c>
      <c r="E25" s="11" t="s">
        <v>133</v>
      </c>
      <c r="F25" s="11">
        <v>3.0</v>
      </c>
      <c r="G25" s="11">
        <v>3.0</v>
      </c>
      <c r="H25" s="11">
        <v>3.0</v>
      </c>
      <c r="I25" s="11">
        <v>3.0</v>
      </c>
    </row>
    <row r="26">
      <c r="A26" s="10" t="s">
        <v>6423</v>
      </c>
      <c r="B26" s="49" t="str">
        <f t="shared" si="1"/>
        <v>Addiction Counselor Licensure Act</v>
      </c>
      <c r="C26" s="49" t="str">
        <f t="shared" si="2"/>
        <v>Addiction Counselor Licensure Act; Effective Sept. 1, 2011; Engage in the practice of addiction counseling or represent that such person is a licensed addiction counselor, substance abuse counselor or alcohol and drug counselor without having such license</v>
      </c>
      <c r="D26" s="49" t="str">
        <f t="shared" si="3"/>
        <v>65-6609(b)</v>
      </c>
      <c r="E26" s="11" t="s">
        <v>133</v>
      </c>
      <c r="F26" s="11">
        <v>3.0</v>
      </c>
      <c r="G26" s="11">
        <v>3.0</v>
      </c>
      <c r="H26" s="11">
        <v>3.0</v>
      </c>
      <c r="I26" s="11">
        <v>3.0</v>
      </c>
    </row>
    <row r="27">
      <c r="A27" s="10" t="s">
        <v>6424</v>
      </c>
      <c r="B27" s="49" t="str">
        <f t="shared" si="1"/>
        <v>Adding Dockage or Foreign Material to Grain</v>
      </c>
      <c r="C27" s="49" t="str">
        <f t="shared" si="2"/>
        <v>Adding Dockage or Foreign Material to Grain; Knowingly recombining any dockage or foreign material once removed from grain with any grain intended to be marketed</v>
      </c>
      <c r="D27" s="49" t="str">
        <f t="shared" si="3"/>
        <v>21-5837(a)(2)</v>
      </c>
      <c r="E27" s="11" t="s">
        <v>133</v>
      </c>
      <c r="F27" s="11">
        <v>3.0</v>
      </c>
      <c r="G27" s="11">
        <v>3.0</v>
      </c>
      <c r="H27" s="11">
        <v>3.0</v>
      </c>
      <c r="I27" s="11">
        <v>3.0</v>
      </c>
    </row>
    <row r="28">
      <c r="A28" s="10" t="s">
        <v>6425</v>
      </c>
      <c r="B28" s="49" t="str">
        <f t="shared" si="1"/>
        <v>Adding Dockage or Foreign Material to Grain</v>
      </c>
      <c r="C28" s="49" t="str">
        <f t="shared" si="2"/>
        <v>Adding Dockage or Foreign Material to Grain; Knowingly; grain intended to be marketed</v>
      </c>
      <c r="D28" s="49" t="str">
        <f t="shared" si="3"/>
        <v>21-5837(a)(1)</v>
      </c>
      <c r="E28" s="11" t="s">
        <v>133</v>
      </c>
      <c r="F28" s="11">
        <v>3.0</v>
      </c>
      <c r="G28" s="11">
        <v>3.0</v>
      </c>
      <c r="H28" s="11">
        <v>3.0</v>
      </c>
      <c r="I28" s="11">
        <v>3.0</v>
      </c>
    </row>
    <row r="29">
      <c r="A29" s="10" t="s">
        <v>6426</v>
      </c>
      <c r="B29" s="49" t="str">
        <f t="shared" si="1"/>
        <v>Adoption</v>
      </c>
      <c r="C29" s="49" t="str">
        <f t="shared" si="2"/>
        <v>Adoption; Advertise that one will adopt, find an adoptive home for a child or otherwise place a child for adoption, if not a licensed child placement agency</v>
      </c>
      <c r="D29" s="49" t="str">
        <f t="shared" si="3"/>
        <v>59-2123(a)(1)</v>
      </c>
      <c r="E29" s="11" t="s">
        <v>133</v>
      </c>
      <c r="F29" s="11">
        <v>3.0</v>
      </c>
      <c r="G29" s="11">
        <v>3.0</v>
      </c>
      <c r="H29" s="11">
        <v>3.0</v>
      </c>
      <c r="I29" s="11">
        <v>3.0</v>
      </c>
    </row>
    <row r="30">
      <c r="A30" s="10" t="s">
        <v>6427</v>
      </c>
      <c r="B30" s="49" t="str">
        <f t="shared" si="1"/>
        <v>Adoption</v>
      </c>
      <c r="C30" s="49" t="str">
        <f t="shared" si="2"/>
        <v>Adoption; Employee or agent of the department of social and rehabilitation services, a child-placing agency or a district court who intentionally destroys any information required to be filed under this section</v>
      </c>
      <c r="D30" s="49" t="str">
        <f t="shared" si="3"/>
        <v>59-2130(e)</v>
      </c>
      <c r="E30" s="11" t="s">
        <v>133</v>
      </c>
      <c r="F30" s="11">
        <v>3.0</v>
      </c>
      <c r="G30" s="11">
        <v>3.0</v>
      </c>
      <c r="H30" s="11">
        <v>3.0</v>
      </c>
      <c r="I30" s="11">
        <v>3.0</v>
      </c>
    </row>
    <row r="31">
      <c r="A31" s="10" t="s">
        <v>6428</v>
      </c>
      <c r="B31" s="49" t="str">
        <f t="shared" si="1"/>
        <v>Adoption</v>
      </c>
      <c r="C31" s="49" t="str">
        <f t="shared" si="2"/>
        <v>Adoption; Failure of professional providing services related to the placement of children to comply with the provisions of the interstate compact for the placement of children</v>
      </c>
      <c r="D31" s="49" t="str">
        <f t="shared" si="3"/>
        <v>59-2120</v>
      </c>
      <c r="E31" s="11" t="s">
        <v>133</v>
      </c>
      <c r="F31" s="11">
        <v>3.0</v>
      </c>
      <c r="G31" s="11">
        <v>3.0</v>
      </c>
      <c r="H31" s="11">
        <v>3.0</v>
      </c>
      <c r="I31" s="11">
        <v>3.0</v>
      </c>
    </row>
    <row r="32">
      <c r="A32" s="10" t="s">
        <v>6429</v>
      </c>
      <c r="B32" s="49" t="str">
        <f t="shared" si="1"/>
        <v>Adoption</v>
      </c>
      <c r="C32" s="49" t="str">
        <f t="shared" si="2"/>
        <v>Adoption; Knowingly failing to list all consideration or disbursements</v>
      </c>
      <c r="D32" s="49" t="str">
        <f t="shared" si="3"/>
        <v>59-2121(b)</v>
      </c>
      <c r="E32" s="11" t="s">
        <v>133</v>
      </c>
      <c r="F32" s="11">
        <v>3.0</v>
      </c>
      <c r="G32" s="11">
        <v>3.0</v>
      </c>
      <c r="H32" s="11">
        <v>3.0</v>
      </c>
      <c r="I32" s="11">
        <v>3.0</v>
      </c>
    </row>
    <row r="33">
      <c r="A33" s="10" t="s">
        <v>6430</v>
      </c>
      <c r="B33" s="49" t="str">
        <f t="shared" si="1"/>
        <v>Adoption</v>
      </c>
      <c r="C33" s="49" t="str">
        <f t="shared" si="2"/>
        <v>Adoption; Offer to adopt, find a home for or otherwise place a child as an inducement to a woman to come to such person's maternity center during pregnancy or after delivery</v>
      </c>
      <c r="D33" s="49" t="str">
        <f t="shared" si="3"/>
        <v>59-2123(a)(2)</v>
      </c>
      <c r="E33" s="11" t="s">
        <v>133</v>
      </c>
      <c r="F33" s="11">
        <v>3.0</v>
      </c>
      <c r="G33" s="11">
        <v>3.0</v>
      </c>
      <c r="H33" s="11">
        <v>3.0</v>
      </c>
      <c r="I33" s="11">
        <v>3.0</v>
      </c>
    </row>
    <row r="34">
      <c r="A34" s="10" t="s">
        <v>6431</v>
      </c>
      <c r="B34" s="49" t="str">
        <f t="shared" si="1"/>
        <v>Adoption</v>
      </c>
      <c r="C34" s="49" t="str">
        <f t="shared" si="2"/>
        <v>Adoption; Offer to adopt, find a home for or otherwise place a child as an inducement to any parent, guardian or custodian of a child to place such child in such person's home, institution or establishment</v>
      </c>
      <c r="D34" s="49" t="str">
        <f t="shared" si="3"/>
        <v>59-2123(a)(3)</v>
      </c>
      <c r="E34" s="11" t="s">
        <v>133</v>
      </c>
      <c r="F34" s="11">
        <v>3.0</v>
      </c>
      <c r="G34" s="11">
        <v>3.0</v>
      </c>
      <c r="H34" s="11">
        <v>3.0</v>
      </c>
      <c r="I34" s="11">
        <v>3.0</v>
      </c>
    </row>
    <row r="35">
      <c r="A35" s="10" t="s">
        <v>6432</v>
      </c>
      <c r="B35" s="49" t="str">
        <f t="shared" si="1"/>
        <v>Adoption</v>
      </c>
      <c r="C35" s="49" t="str">
        <f t="shared" si="2"/>
        <v>Adoption; Receive or accept clearly excessive fees or expenses</v>
      </c>
      <c r="D35" s="49" t="str">
        <f t="shared" si="3"/>
        <v>59-2121(a)</v>
      </c>
      <c r="E35" s="11" t="s">
        <v>133</v>
      </c>
      <c r="F35" s="11">
        <v>3.0</v>
      </c>
      <c r="G35" s="11">
        <v>3.0</v>
      </c>
      <c r="H35" s="11">
        <v>3.0</v>
      </c>
      <c r="I35" s="11">
        <v>3.0</v>
      </c>
    </row>
    <row r="36">
      <c r="A36" s="10" t="s">
        <v>6433</v>
      </c>
      <c r="B36" s="49" t="str">
        <f t="shared" si="1"/>
        <v>Adult Care Home Licensure Act</v>
      </c>
      <c r="C36" s="49" t="str">
        <f t="shared" si="2"/>
        <v>Adult Care Home Licensure Act; Abuse, neglect, or cruel treatment of any resident</v>
      </c>
      <c r="D36" s="49" t="str">
        <f t="shared" si="3"/>
        <v>39-939(b)</v>
      </c>
      <c r="E36" s="11" t="s">
        <v>133</v>
      </c>
      <c r="F36" s="11">
        <v>3.0</v>
      </c>
      <c r="G36" s="11">
        <v>3.0</v>
      </c>
      <c r="H36" s="11">
        <v>3.0</v>
      </c>
      <c r="I36" s="11">
        <v>3.0</v>
      </c>
    </row>
    <row r="37">
      <c r="A37" s="10" t="s">
        <v>6434</v>
      </c>
      <c r="B37" s="49" t="str">
        <f t="shared" si="1"/>
        <v>Adult Care Home Licensure Act</v>
      </c>
      <c r="C37" s="49" t="str">
        <f t="shared" si="2"/>
        <v>Adult Care Home Licensure Act; Admit to resident status, any person who is known to suffer from any disease or condition for which the home is not authorized to provide care</v>
      </c>
      <c r="D37" s="49" t="str">
        <f t="shared" si="3"/>
        <v>39-939(c)</v>
      </c>
      <c r="E37" s="11" t="s">
        <v>133</v>
      </c>
      <c r="F37" s="11">
        <v>3.0</v>
      </c>
      <c r="G37" s="11">
        <v>3.0</v>
      </c>
      <c r="H37" s="11">
        <v>3.0</v>
      </c>
      <c r="I37" s="11">
        <v>3.0</v>
      </c>
    </row>
    <row r="38">
      <c r="A38" s="10" t="s">
        <v>6435</v>
      </c>
      <c r="B38" s="49" t="str">
        <f t="shared" si="1"/>
        <v>Adult Care Home Licensure Act</v>
      </c>
      <c r="C38" s="49" t="str">
        <f t="shared" si="2"/>
        <v>Adult Care Home Licensure Act; House, care for or permit any resident to stay in any unapproved room, area, or detached building</v>
      </c>
      <c r="D38" s="49" t="str">
        <f t="shared" si="3"/>
        <v>39-939(a)</v>
      </c>
      <c r="E38" s="11" t="s">
        <v>133</v>
      </c>
      <c r="F38" s="11">
        <v>3.0</v>
      </c>
      <c r="G38" s="11">
        <v>3.0</v>
      </c>
      <c r="H38" s="11">
        <v>3.0</v>
      </c>
      <c r="I38" s="11">
        <v>3.0</v>
      </c>
    </row>
    <row r="39">
      <c r="A39" s="10" t="s">
        <v>6436</v>
      </c>
      <c r="B39" s="49" t="str">
        <f t="shared" si="1"/>
        <v>Adult Care Home Licensure Act</v>
      </c>
      <c r="C39" s="49" t="str">
        <f t="shared" si="2"/>
        <v>Adult Care Home Licensure Act; Knowingly file false or incomplete records or reports</v>
      </c>
      <c r="D39" s="49" t="str">
        <f t="shared" si="3"/>
        <v>39-940(b)(3)</v>
      </c>
      <c r="E39" s="11" t="s">
        <v>133</v>
      </c>
      <c r="F39" s="11">
        <v>3.0</v>
      </c>
      <c r="G39" s="11">
        <v>3.0</v>
      </c>
      <c r="H39" s="11">
        <v>3.0</v>
      </c>
      <c r="I39" s="11">
        <v>3.0</v>
      </c>
    </row>
    <row r="40">
      <c r="A40" s="10" t="s">
        <v>6437</v>
      </c>
      <c r="B40" s="49" t="str">
        <f t="shared" si="1"/>
        <v>Adult Care Home Licensure Act</v>
      </c>
      <c r="C40" s="49" t="str">
        <f t="shared" si="2"/>
        <v>Adult Care Home Licensure Act; Make false entries in forms for application, reports, records or inspections</v>
      </c>
      <c r="D40" s="49" t="str">
        <f t="shared" si="3"/>
        <v>39-940(b)(1)</v>
      </c>
      <c r="E40" s="11" t="s">
        <v>133</v>
      </c>
      <c r="F40" s="11">
        <v>3.0</v>
      </c>
      <c r="G40" s="11">
        <v>3.0</v>
      </c>
      <c r="H40" s="11">
        <v>3.0</v>
      </c>
      <c r="I40" s="11">
        <v>3.0</v>
      </c>
    </row>
    <row r="41">
      <c r="A41" s="10" t="s">
        <v>6438</v>
      </c>
      <c r="B41" s="49" t="str">
        <f t="shared" si="1"/>
        <v>Adult Care Home Licensure Act</v>
      </c>
      <c r="C41" s="49" t="str">
        <f t="shared" si="2"/>
        <v>Adult Care Home Licensure Act; Omit information required or make false report concerning adult care home</v>
      </c>
      <c r="D41" s="49" t="str">
        <f t="shared" si="3"/>
        <v>39-940(b)(2)</v>
      </c>
      <c r="E41" s="11" t="s">
        <v>133</v>
      </c>
      <c r="F41" s="11">
        <v>3.0</v>
      </c>
      <c r="G41" s="11">
        <v>3.0</v>
      </c>
      <c r="H41" s="11">
        <v>3.0</v>
      </c>
      <c r="I41" s="11">
        <v>3.0</v>
      </c>
    </row>
    <row r="42">
      <c r="A42" s="10" t="s">
        <v>6439</v>
      </c>
      <c r="B42" s="49" t="str">
        <f t="shared" si="1"/>
        <v>Adult Care Home Licensure Act</v>
      </c>
      <c r="C42" s="49" t="str">
        <f t="shared" si="2"/>
        <v>Adult Care Home Licensure Act; Unauthorized disclosure of criminal history record</v>
      </c>
      <c r="D42" s="49" t="str">
        <f t="shared" si="3"/>
        <v>39-970(f)(5)</v>
      </c>
      <c r="E42" s="11" t="s">
        <v>133</v>
      </c>
      <c r="F42" s="11">
        <v>3.0</v>
      </c>
      <c r="G42" s="11">
        <v>3.0</v>
      </c>
      <c r="H42" s="11">
        <v>3.0</v>
      </c>
      <c r="I42" s="11">
        <v>3.0</v>
      </c>
    </row>
    <row r="43">
      <c r="A43" s="10" t="s">
        <v>6440</v>
      </c>
      <c r="B43" s="49" t="str">
        <f t="shared" si="1"/>
        <v>Adult Care Homes</v>
      </c>
      <c r="C43" s="49" t="str">
        <f t="shared" si="2"/>
        <v>Adult Care Homes; Representing a person as an operator without registration under the act</v>
      </c>
      <c r="D43" s="49" t="str">
        <f t="shared" si="3"/>
        <v>39-975(a)</v>
      </c>
      <c r="E43" s="11" t="s">
        <v>133</v>
      </c>
      <c r="F43" s="11">
        <v>3.0</v>
      </c>
      <c r="G43" s="11">
        <v>3.0</v>
      </c>
      <c r="H43" s="11">
        <v>3.0</v>
      </c>
      <c r="I43" s="11">
        <v>3.0</v>
      </c>
    </row>
    <row r="44">
      <c r="A44" s="10" t="s">
        <v>6441</v>
      </c>
      <c r="B44" s="49" t="str">
        <f t="shared" si="1"/>
        <v>Adultery</v>
      </c>
      <c r="C44" s="49" t="str">
        <f t="shared" si="2"/>
        <v>Adultery; Engaging in sexual intercourse or sodomy; when offender is married</v>
      </c>
      <c r="D44" s="49" t="str">
        <f t="shared" si="3"/>
        <v>21-5511(a)(1)</v>
      </c>
      <c r="E44" s="11" t="s">
        <v>133</v>
      </c>
      <c r="F44" s="11">
        <v>3.0</v>
      </c>
      <c r="G44" s="11">
        <v>3.0</v>
      </c>
      <c r="H44" s="11">
        <v>3.0</v>
      </c>
      <c r="I44" s="11">
        <v>3.0</v>
      </c>
    </row>
    <row r="45">
      <c r="A45" s="10" t="s">
        <v>6442</v>
      </c>
      <c r="B45" s="49" t="str">
        <f t="shared" si="1"/>
        <v>Adultery</v>
      </c>
      <c r="C45" s="49" t="str">
        <f t="shared" si="2"/>
        <v>Adultery; Engaging in sexual intercourse or sodomy; when offender is not married but knows other person is married</v>
      </c>
      <c r="D45" s="49" t="str">
        <f t="shared" si="3"/>
        <v>21-5511(a)(2)</v>
      </c>
      <c r="E45" s="11" t="s">
        <v>133</v>
      </c>
      <c r="F45" s="11">
        <v>3.0</v>
      </c>
      <c r="G45" s="11">
        <v>3.0</v>
      </c>
      <c r="H45" s="11">
        <v>3.0</v>
      </c>
      <c r="I45" s="11">
        <v>3.0</v>
      </c>
    </row>
    <row r="46">
      <c r="A46" s="10" t="s">
        <v>6443</v>
      </c>
      <c r="B46" s="49" t="str">
        <f t="shared" si="1"/>
        <v>Aggravated Abandonment</v>
      </c>
      <c r="C46" s="49" t="str">
        <f t="shared" si="2"/>
        <v>Aggravated Abandonment; Of a child less than 16 resulting in great bodily harm</v>
      </c>
      <c r="D46" s="49" t="str">
        <f t="shared" si="3"/>
        <v>21-5605(b)</v>
      </c>
      <c r="E46" s="11" t="s">
        <v>133</v>
      </c>
      <c r="F46" s="11">
        <v>3.0</v>
      </c>
      <c r="G46" s="11">
        <v>3.0</v>
      </c>
      <c r="H46" s="11">
        <v>3.0</v>
      </c>
      <c r="I46" s="11">
        <v>3.0</v>
      </c>
    </row>
    <row r="47">
      <c r="A47" s="10" t="s">
        <v>6444</v>
      </c>
      <c r="B47" s="49" t="str">
        <f t="shared" si="1"/>
        <v>Aggravated Arson</v>
      </c>
      <c r="C47" s="49" t="str">
        <f t="shared" si="2"/>
        <v>Aggravated Arson; Arson resulting in great bodily harm or disfigurement to a firefighter or law enforcement officer</v>
      </c>
      <c r="D47" s="49" t="str">
        <f t="shared" si="3"/>
        <v>21-5812(b)(2)</v>
      </c>
      <c r="E47" s="11" t="s">
        <v>133</v>
      </c>
      <c r="F47" s="11">
        <v>3.0</v>
      </c>
      <c r="G47" s="11">
        <v>3.0</v>
      </c>
      <c r="H47" s="11">
        <v>3.0</v>
      </c>
      <c r="I47" s="11">
        <v>3.0</v>
      </c>
    </row>
    <row r="48">
      <c r="A48" s="10" t="s">
        <v>6445</v>
      </c>
      <c r="B48" s="49" t="str">
        <f t="shared" si="1"/>
        <v>Aggravated Arson</v>
      </c>
      <c r="C48" s="49" t="str">
        <f t="shared" si="2"/>
        <v>Aggravated Arson; Arson to building or property in which there is a human being; resulting in no substantial risk of bodily harm</v>
      </c>
      <c r="D48" s="49" t="str">
        <f t="shared" si="3"/>
        <v>21-5812(b)(1)</v>
      </c>
      <c r="E48" s="11" t="s">
        <v>133</v>
      </c>
      <c r="F48" s="11">
        <v>3.0</v>
      </c>
      <c r="G48" s="11">
        <v>3.0</v>
      </c>
      <c r="H48" s="11">
        <v>3.0</v>
      </c>
      <c r="I48" s="11">
        <v>3.0</v>
      </c>
    </row>
    <row r="49">
      <c r="A49" s="10" t="s">
        <v>6446</v>
      </c>
      <c r="B49" s="49" t="str">
        <f t="shared" si="1"/>
        <v>Aggravated Arson</v>
      </c>
      <c r="C49" s="49" t="str">
        <f t="shared" si="2"/>
        <v>Aggravated Arson; Arson to building or property in which there is a human being; resulting in substantial risk of bodily harm</v>
      </c>
      <c r="D49" s="49" t="str">
        <f t="shared" si="3"/>
        <v>21-5812(b)(1)</v>
      </c>
      <c r="E49" s="11" t="s">
        <v>133</v>
      </c>
      <c r="F49" s="11">
        <v>3.0</v>
      </c>
      <c r="G49" s="11">
        <v>3.0</v>
      </c>
      <c r="H49" s="11">
        <v>3.0</v>
      </c>
      <c r="I49" s="11">
        <v>3.0</v>
      </c>
    </row>
    <row r="50">
      <c r="A50" s="10" t="s">
        <v>6447</v>
      </c>
      <c r="B50" s="49" t="str">
        <f t="shared" si="1"/>
        <v>Aggravated Assault</v>
      </c>
      <c r="C50" s="49" t="str">
        <f t="shared" si="2"/>
        <v>Aggravated Assault; On a state, county, city, university or campus law enforcement officer while disguised in any manner designed to conceal identity</v>
      </c>
      <c r="D50" s="49" t="str">
        <f t="shared" si="3"/>
        <v>21-5412(d)(2)</v>
      </c>
      <c r="E50" s="11" t="s">
        <v>133</v>
      </c>
      <c r="F50" s="11">
        <v>3.0</v>
      </c>
      <c r="G50" s="11">
        <v>3.0</v>
      </c>
      <c r="H50" s="11">
        <v>3.0</v>
      </c>
      <c r="I50" s="11">
        <v>3.0</v>
      </c>
    </row>
    <row r="51">
      <c r="A51" s="10" t="s">
        <v>6448</v>
      </c>
      <c r="B51" s="49" t="str">
        <f t="shared" si="1"/>
        <v>Aggravated Assault</v>
      </c>
      <c r="C51" s="49" t="str">
        <f t="shared" si="2"/>
        <v>Aggravated Assault; On a state, county, city, university or campus law enforcement officer with a deadly weapon</v>
      </c>
      <c r="D51" s="49" t="str">
        <f t="shared" si="3"/>
        <v>21-5412(d)(1)</v>
      </c>
      <c r="E51" s="11" t="s">
        <v>133</v>
      </c>
      <c r="F51" s="11">
        <v>3.0</v>
      </c>
      <c r="G51" s="11">
        <v>3.0</v>
      </c>
      <c r="H51" s="11">
        <v>3.0</v>
      </c>
      <c r="I51" s="11">
        <v>3.0</v>
      </c>
    </row>
    <row r="52">
      <c r="A52" s="10" t="s">
        <v>6449</v>
      </c>
      <c r="B52" s="49" t="str">
        <f t="shared" si="1"/>
        <v>Aggravated Assault</v>
      </c>
      <c r="C52" s="49" t="str">
        <f t="shared" si="2"/>
        <v>Aggravated Assault; On a state, county, city, university or campus law enforcement officer with the intent to commit a felony</v>
      </c>
      <c r="D52" s="49" t="str">
        <f t="shared" si="3"/>
        <v>21-5412(d)(3)</v>
      </c>
      <c r="E52" s="11" t="s">
        <v>133</v>
      </c>
      <c r="F52" s="11">
        <v>3.0</v>
      </c>
      <c r="G52" s="11">
        <v>3.0</v>
      </c>
      <c r="H52" s="11">
        <v>3.0</v>
      </c>
      <c r="I52" s="11">
        <v>3.0</v>
      </c>
    </row>
    <row r="53">
      <c r="A53" s="10" t="s">
        <v>6450</v>
      </c>
      <c r="B53" s="49" t="str">
        <f t="shared" si="1"/>
        <v>Aggravated Assault</v>
      </c>
      <c r="C53" s="49" t="str">
        <f t="shared" si="2"/>
        <v>Aggravated Assault; While disguised in any manner designed to conceal identity</v>
      </c>
      <c r="D53" s="49" t="str">
        <f t="shared" si="3"/>
        <v>21-5412(b)(2)</v>
      </c>
      <c r="E53" s="11" t="s">
        <v>133</v>
      </c>
      <c r="F53" s="11">
        <v>3.0</v>
      </c>
      <c r="G53" s="11">
        <v>3.0</v>
      </c>
      <c r="H53" s="11">
        <v>3.0</v>
      </c>
      <c r="I53" s="11">
        <v>3.0</v>
      </c>
    </row>
    <row r="54">
      <c r="A54" s="10" t="s">
        <v>6451</v>
      </c>
      <c r="B54" s="49" t="str">
        <f t="shared" si="1"/>
        <v>Aggravated Assault</v>
      </c>
      <c r="C54" s="49" t="str">
        <f t="shared" si="2"/>
        <v>Aggravated Assault; With a deadly weapon</v>
      </c>
      <c r="D54" s="49" t="str">
        <f t="shared" si="3"/>
        <v>21-5412(b)(1)</v>
      </c>
      <c r="E54" s="11" t="s">
        <v>133</v>
      </c>
      <c r="F54" s="11">
        <v>3.0</v>
      </c>
      <c r="G54" s="11">
        <v>3.0</v>
      </c>
      <c r="H54" s="11">
        <v>3.0</v>
      </c>
      <c r="I54" s="11">
        <v>3.0</v>
      </c>
    </row>
    <row r="55">
      <c r="A55" s="10" t="s">
        <v>6452</v>
      </c>
      <c r="B55" s="49" t="str">
        <f t="shared" si="1"/>
        <v>Aggravated Assault</v>
      </c>
      <c r="C55" s="49" t="str">
        <f t="shared" si="2"/>
        <v>Aggravated Assault; With intent to commit any felony</v>
      </c>
      <c r="D55" s="49" t="str">
        <f t="shared" si="3"/>
        <v>21-5412(b)(3)</v>
      </c>
      <c r="E55" s="11" t="s">
        <v>133</v>
      </c>
      <c r="F55" s="11">
        <v>3.0</v>
      </c>
      <c r="G55" s="11">
        <v>3.0</v>
      </c>
      <c r="H55" s="11">
        <v>3.0</v>
      </c>
      <c r="I55" s="11">
        <v>3.0</v>
      </c>
    </row>
    <row r="56">
      <c r="A56" s="10" t="s">
        <v>6453</v>
      </c>
      <c r="B56" s="49" t="str">
        <f t="shared" si="1"/>
        <v>Aggravated Battery</v>
      </c>
      <c r="C56" s="49" t="str">
        <f t="shared" si="2"/>
        <v>Aggravated Battery; Attorney while engaged in performance of duty</v>
      </c>
      <c r="D56" s="49" t="str">
        <f t="shared" si="3"/>
        <v>21-5413(d)(1)(D)</v>
      </c>
      <c r="E56" s="11" t="s">
        <v>133</v>
      </c>
      <c r="F56" s="11">
        <v>3.0</v>
      </c>
      <c r="G56" s="11">
        <v>3.0</v>
      </c>
      <c r="H56" s="11">
        <v>3.0</v>
      </c>
      <c r="I56" s="11">
        <v>3.0</v>
      </c>
    </row>
    <row r="57">
      <c r="A57" s="10" t="s">
        <v>6454</v>
      </c>
      <c r="B57" s="49" t="str">
        <f t="shared" si="1"/>
        <v>Aggravated Battery</v>
      </c>
      <c r="C57" s="49" t="str">
        <f t="shared" si="2"/>
        <v>Aggravated Battery; Attorney while engaged in performance of duty</v>
      </c>
      <c r="D57" s="49" t="str">
        <f t="shared" si="3"/>
        <v>21-5413(d)(2)(D)</v>
      </c>
      <c r="E57" s="11" t="s">
        <v>133</v>
      </c>
      <c r="F57" s="11">
        <v>3.0</v>
      </c>
      <c r="G57" s="11">
        <v>3.0</v>
      </c>
      <c r="H57" s="11">
        <v>3.0</v>
      </c>
      <c r="I57" s="11">
        <v>3.0</v>
      </c>
    </row>
    <row r="58">
      <c r="A58" s="10" t="s">
        <v>6455</v>
      </c>
      <c r="B58" s="49" t="str">
        <f t="shared" si="1"/>
        <v>Aggravated Battery</v>
      </c>
      <c r="C58" s="49" t="str">
        <f t="shared" si="2"/>
        <v>Aggravated Battery; Campus or university police officer; knowingly causing bodily harm with a deadly weapon; physical contact done in a rude, insulting or angry manner, with a deadly weapon or in a manner whereby great bodily harm, disfigurement or death can be inflicted</v>
      </c>
      <c r="D58" s="49" t="str">
        <f t="shared" si="3"/>
        <v>21-5413(d)(2)(B)</v>
      </c>
      <c r="E58" s="11" t="s">
        <v>133</v>
      </c>
      <c r="F58" s="11">
        <v>3.0</v>
      </c>
      <c r="G58" s="11">
        <v>3.0</v>
      </c>
      <c r="H58" s="11">
        <v>3.0</v>
      </c>
      <c r="I58" s="11">
        <v>3.0</v>
      </c>
    </row>
    <row r="59">
      <c r="A59" s="10" t="s">
        <v>6456</v>
      </c>
      <c r="B59" s="49" t="str">
        <f t="shared" si="1"/>
        <v>Aggravated Battery</v>
      </c>
      <c r="C59" s="49" t="str">
        <f t="shared" si="2"/>
        <v>Aggravated Battery; Campus or university police officer; knowingly causing bodily harm with a motor vehicle</v>
      </c>
      <c r="D59" s="49" t="str">
        <f t="shared" si="3"/>
        <v>21-5413(d)(3)(B)</v>
      </c>
      <c r="E59" s="11" t="s">
        <v>133</v>
      </c>
      <c r="F59" s="11">
        <v>3.0</v>
      </c>
      <c r="G59" s="11">
        <v>3.0</v>
      </c>
      <c r="H59" s="11">
        <v>3.0</v>
      </c>
      <c r="I59" s="11">
        <v>3.0</v>
      </c>
    </row>
    <row r="60">
      <c r="A60" s="10" t="s">
        <v>6457</v>
      </c>
      <c r="B60" s="49" t="str">
        <f t="shared" si="1"/>
        <v>Aggravated Battery</v>
      </c>
      <c r="C60" s="49" t="str">
        <f t="shared" si="2"/>
        <v>Aggravated Battery; Campus or university police officer; knowingly causing great bodily harm or disfigurement</v>
      </c>
      <c r="D60" s="49" t="str">
        <f t="shared" si="3"/>
        <v>21-5413(d)(1)(B)</v>
      </c>
      <c r="E60" s="11" t="s">
        <v>133</v>
      </c>
      <c r="F60" s="11">
        <v>3.0</v>
      </c>
      <c r="G60" s="11">
        <v>3.0</v>
      </c>
      <c r="H60" s="11">
        <v>3.0</v>
      </c>
      <c r="I60" s="11">
        <v>3.0</v>
      </c>
    </row>
    <row r="61">
      <c r="A61" s="10" t="s">
        <v>6458</v>
      </c>
      <c r="B61" s="49" t="str">
        <f t="shared" si="1"/>
        <v>Aggravated Battery</v>
      </c>
      <c r="C61" s="49" t="str">
        <f t="shared" si="2"/>
        <v>Aggravated Battery; Committing an act described in K.S.A. 8-1567 (DUI) when bodily harm results and great bodily harm, disfigurement or death can result</v>
      </c>
      <c r="D61" s="49" t="str">
        <f t="shared" si="3"/>
        <v>21-5413(b)(3)(B)</v>
      </c>
      <c r="E61" s="11" t="s">
        <v>133</v>
      </c>
      <c r="F61" s="11">
        <v>3.0</v>
      </c>
      <c r="G61" s="11">
        <v>3.0</v>
      </c>
      <c r="H61" s="11">
        <v>3.0</v>
      </c>
      <c r="I61" s="11">
        <v>3.0</v>
      </c>
    </row>
    <row r="62">
      <c r="A62" s="10" t="s">
        <v>6459</v>
      </c>
      <c r="B62" s="49" t="str">
        <f t="shared" si="1"/>
        <v>Aggravated Battery</v>
      </c>
      <c r="C62" s="49" t="str">
        <f t="shared" si="2"/>
        <v>Aggravated Battery; Committing an act described in K.S.A. 8-1567 (DUI) when great bodily harm or disfigurement results</v>
      </c>
      <c r="D62" s="49" t="str">
        <f t="shared" si="3"/>
        <v>21-5413(b)(3)(A)</v>
      </c>
      <c r="E62" s="11" t="s">
        <v>133</v>
      </c>
      <c r="F62" s="11">
        <v>3.0</v>
      </c>
      <c r="G62" s="11">
        <v>3.0</v>
      </c>
      <c r="H62" s="11">
        <v>3.0</v>
      </c>
      <c r="I62" s="11">
        <v>3.0</v>
      </c>
    </row>
    <row r="63">
      <c r="A63" s="10" t="s">
        <v>6460</v>
      </c>
      <c r="B63" s="49" t="str">
        <f t="shared" si="1"/>
        <v>Aggravated Battery</v>
      </c>
      <c r="C63" s="49" t="str">
        <f t="shared" si="2"/>
        <v>Aggravated Battery; Community corrections or court services officer while engaged in performance of duty</v>
      </c>
      <c r="D63" s="49" t="str">
        <f t="shared" si="3"/>
        <v>21-5413(d)(1)(E)</v>
      </c>
      <c r="E63" s="11" t="s">
        <v>133</v>
      </c>
      <c r="F63" s="11">
        <v>3.0</v>
      </c>
      <c r="G63" s="11">
        <v>3.0</v>
      </c>
      <c r="H63" s="11">
        <v>3.0</v>
      </c>
      <c r="I63" s="11">
        <v>3.0</v>
      </c>
    </row>
    <row r="64">
      <c r="A64" s="10" t="s">
        <v>6461</v>
      </c>
      <c r="B64" s="49" t="str">
        <f t="shared" si="1"/>
        <v>Aggravated Battery</v>
      </c>
      <c r="C64" s="49" t="str">
        <f t="shared" si="2"/>
        <v>Aggravated Battery; Community corrections or court services officer while engaged in performance of duty</v>
      </c>
      <c r="D64" s="49" t="str">
        <f t="shared" si="3"/>
        <v>21-5413(d)(2)(E)</v>
      </c>
      <c r="E64" s="11" t="s">
        <v>133</v>
      </c>
      <c r="F64" s="11">
        <v>3.0</v>
      </c>
      <c r="G64" s="11">
        <v>3.0</v>
      </c>
      <c r="H64" s="11">
        <v>3.0</v>
      </c>
      <c r="I64" s="11">
        <v>3.0</v>
      </c>
    </row>
    <row r="65">
      <c r="A65" s="10" t="s">
        <v>6462</v>
      </c>
      <c r="B65" s="49" t="str">
        <f t="shared" si="1"/>
        <v>Aggravated Battery</v>
      </c>
      <c r="C65" s="49" t="str">
        <f t="shared" si="2"/>
        <v>Aggravated Battery; Judge while engaged in performance of duty</v>
      </c>
      <c r="D65" s="49" t="str">
        <f t="shared" si="3"/>
        <v>21-5413(d)(1)(C)</v>
      </c>
      <c r="E65" s="11" t="s">
        <v>133</v>
      </c>
      <c r="F65" s="11">
        <v>3.0</v>
      </c>
      <c r="G65" s="11">
        <v>3.0</v>
      </c>
      <c r="H65" s="11">
        <v>3.0</v>
      </c>
      <c r="I65" s="11">
        <v>3.0</v>
      </c>
    </row>
    <row r="66">
      <c r="A66" s="10" t="s">
        <v>6463</v>
      </c>
      <c r="B66" s="49" t="str">
        <f t="shared" si="1"/>
        <v>Aggravated Battery</v>
      </c>
      <c r="C66" s="49" t="str">
        <f t="shared" si="2"/>
        <v>Aggravated Battery; Judge while engaged in performance of duty</v>
      </c>
      <c r="D66" s="49" t="str">
        <f t="shared" si="3"/>
        <v>21-5413(d)(2)(C)</v>
      </c>
      <c r="E66" s="11" t="s">
        <v>133</v>
      </c>
      <c r="F66" s="11">
        <v>3.0</v>
      </c>
      <c r="G66" s="11">
        <v>3.0</v>
      </c>
      <c r="H66" s="11">
        <v>3.0</v>
      </c>
      <c r="I66" s="11">
        <v>3.0</v>
      </c>
    </row>
    <row r="67">
      <c r="A67" s="10" t="s">
        <v>6464</v>
      </c>
      <c r="B67" s="49" t="str">
        <f t="shared" si="1"/>
        <v>Aggravated Battery</v>
      </c>
      <c r="C67" s="49" t="str">
        <f t="shared" si="2"/>
        <v>Aggravated Battery; Knowingly causing bodily harm to another with a deadly weapon, or in a manner whereby great bodily harm, disfigurement or death can be inflicted</v>
      </c>
      <c r="D67" s="49" t="str">
        <f t="shared" si="3"/>
        <v>21-5413(b)(1)(B)</v>
      </c>
      <c r="E67" s="11" t="s">
        <v>133</v>
      </c>
      <c r="F67" s="11">
        <v>3.0</v>
      </c>
      <c r="G67" s="11">
        <v>3.0</v>
      </c>
      <c r="H67" s="11">
        <v>3.0</v>
      </c>
      <c r="I67" s="11">
        <v>3.0</v>
      </c>
    </row>
    <row r="68">
      <c r="A68" s="10" t="s">
        <v>6465</v>
      </c>
      <c r="B68" s="49" t="str">
        <f t="shared" si="1"/>
        <v>Aggravated Battery</v>
      </c>
      <c r="C68" s="49" t="str">
        <f t="shared" si="2"/>
        <v>Aggravated Battery; Knowingly causing great bodily harm or disfigurement</v>
      </c>
      <c r="D68" s="49" t="str">
        <f t="shared" si="3"/>
        <v>21-5413(b)(1)(A)</v>
      </c>
      <c r="E68" s="11" t="s">
        <v>133</v>
      </c>
      <c r="F68" s="11">
        <v>3.0</v>
      </c>
      <c r="G68" s="11">
        <v>3.0</v>
      </c>
      <c r="H68" s="11">
        <v>3.0</v>
      </c>
      <c r="I68" s="11">
        <v>3.0</v>
      </c>
    </row>
    <row r="69">
      <c r="A69" s="10" t="s">
        <v>6466</v>
      </c>
      <c r="B69" s="49" t="str">
        <f t="shared" si="1"/>
        <v>Aggravated Battery</v>
      </c>
      <c r="C69" s="49" t="str">
        <f t="shared" si="2"/>
        <v>Aggravated Battery; Knowingly causing physical contact when done in a rude, insulting or angry manner with a deadly weapon, or in a manner whereby great bodily harm, disfigurement or death can be inflicted</v>
      </c>
      <c r="D69" s="49" t="str">
        <f t="shared" si="3"/>
        <v>21-5413(b)(1)(C)</v>
      </c>
      <c r="E69" s="11" t="s">
        <v>133</v>
      </c>
      <c r="F69" s="11">
        <v>3.0</v>
      </c>
      <c r="G69" s="11">
        <v>3.0</v>
      </c>
      <c r="H69" s="11">
        <v>3.0</v>
      </c>
      <c r="I69" s="11">
        <v>3.0</v>
      </c>
    </row>
    <row r="70">
      <c r="A70" s="10" t="s">
        <v>6467</v>
      </c>
      <c r="B70" s="49" t="str">
        <f t="shared" si="1"/>
        <v>Aggravated Battery</v>
      </c>
      <c r="C70" s="49" t="str">
        <f t="shared" si="2"/>
        <v>Aggravated Battery; Recklessly causing bodily harm to another with a deadly weapon, or in a manner whereby great bodily harm, disfigurement or death can be inflicted</v>
      </c>
      <c r="D70" s="49" t="str">
        <f t="shared" si="3"/>
        <v>21-5413(b)(2)(B)</v>
      </c>
      <c r="E70" s="11" t="s">
        <v>133</v>
      </c>
      <c r="F70" s="11">
        <v>3.0</v>
      </c>
      <c r="G70" s="11">
        <v>3.0</v>
      </c>
      <c r="H70" s="11">
        <v>3.0</v>
      </c>
      <c r="I70" s="11">
        <v>3.0</v>
      </c>
    </row>
    <row r="71">
      <c r="A71" s="10" t="s">
        <v>6468</v>
      </c>
      <c r="B71" s="49" t="str">
        <f t="shared" si="1"/>
        <v>Aggravated Battery</v>
      </c>
      <c r="C71" s="49" t="str">
        <f t="shared" si="2"/>
        <v>Aggravated Battery; Recklessly causing great bodily harm or disfigurement</v>
      </c>
      <c r="D71" s="49" t="str">
        <f t="shared" si="3"/>
        <v>21-5413(b)(2)(A)</v>
      </c>
      <c r="E71" s="11" t="s">
        <v>133</v>
      </c>
      <c r="F71" s="11">
        <v>3.0</v>
      </c>
      <c r="G71" s="11">
        <v>3.0</v>
      </c>
      <c r="H71" s="11">
        <v>3.0</v>
      </c>
      <c r="I71" s="11">
        <v>3.0</v>
      </c>
    </row>
    <row r="72">
      <c r="A72" s="10" t="s">
        <v>6469</v>
      </c>
      <c r="B72" s="49" t="str">
        <f t="shared" si="1"/>
        <v>Aggravated Battery</v>
      </c>
      <c r="C72" s="49" t="str">
        <f t="shared" si="2"/>
        <v>Aggravated Battery; State, county or city law enforcement officer; knowingly causing bodily harm with a deadly weapon; physical contact done in a rude, insulting or angry manner, with a deadly weapon or in a manner whereby great bodily harm, disfigurement or death can be inflicted</v>
      </c>
      <c r="D72" s="49" t="str">
        <f t="shared" si="3"/>
        <v>21-5413(d)(2)(A)</v>
      </c>
      <c r="E72" s="11" t="s">
        <v>133</v>
      </c>
      <c r="F72" s="11">
        <v>3.0</v>
      </c>
      <c r="G72" s="11">
        <v>3.0</v>
      </c>
      <c r="H72" s="11">
        <v>3.0</v>
      </c>
      <c r="I72" s="11">
        <v>3.0</v>
      </c>
    </row>
    <row r="73">
      <c r="A73" s="10" t="s">
        <v>6470</v>
      </c>
      <c r="B73" s="49" t="str">
        <f t="shared" si="1"/>
        <v>Aggravated Battery</v>
      </c>
      <c r="C73" s="49" t="str">
        <f t="shared" si="2"/>
        <v>Aggravated Battery; State, county or city law enforcement officer; knowingly causing bodily harm with a motor vehicle</v>
      </c>
      <c r="D73" s="49" t="str">
        <f t="shared" si="3"/>
        <v>21-5413(d)(3)(A)</v>
      </c>
      <c r="E73" s="11" t="s">
        <v>133</v>
      </c>
      <c r="F73" s="11">
        <v>3.0</v>
      </c>
      <c r="G73" s="11">
        <v>3.0</v>
      </c>
      <c r="H73" s="11">
        <v>3.0</v>
      </c>
      <c r="I73" s="11">
        <v>3.0</v>
      </c>
    </row>
    <row r="74">
      <c r="A74" s="10" t="s">
        <v>6471</v>
      </c>
      <c r="B74" s="49" t="str">
        <f t="shared" si="1"/>
        <v>Aggravated Battery</v>
      </c>
      <c r="C74" s="49" t="str">
        <f t="shared" si="2"/>
        <v>Aggravated Battery; State, county or city law enforcement officer; knowingly causing great bodily harm or disfigurement</v>
      </c>
      <c r="D74" s="49" t="str">
        <f t="shared" si="3"/>
        <v>21-5413(d)(1)(A)</v>
      </c>
      <c r="E74" s="11" t="s">
        <v>133</v>
      </c>
      <c r="F74" s="11">
        <v>3.0</v>
      </c>
      <c r="G74" s="11">
        <v>3.0</v>
      </c>
      <c r="H74" s="11">
        <v>3.0</v>
      </c>
      <c r="I74" s="11">
        <v>3.0</v>
      </c>
    </row>
    <row r="75">
      <c r="A75" s="10" t="s">
        <v>6472</v>
      </c>
      <c r="B75" s="49" t="str">
        <f t="shared" si="1"/>
        <v>Aggravated Burglary</v>
      </c>
      <c r="C75" s="49" t="str">
        <f t="shared" si="2"/>
        <v>Aggravated Burglary; Without authority, enter a vehicle, aircraft, watercraft, railroad car or other means of conveyance in which there is a human being with intent to commit a felony, theft or sexually motivated crime therein</v>
      </c>
      <c r="D75" s="49" t="str">
        <f t="shared" si="3"/>
        <v>21-5807(b)(3)</v>
      </c>
      <c r="E75" s="11" t="s">
        <v>133</v>
      </c>
      <c r="F75" s="11">
        <v>3.0</v>
      </c>
      <c r="G75" s="11">
        <v>3.0</v>
      </c>
      <c r="H75" s="11">
        <v>3.0</v>
      </c>
      <c r="I75" s="11">
        <v>3.0</v>
      </c>
    </row>
    <row r="76">
      <c r="A76" s="10" t="s">
        <v>6473</v>
      </c>
      <c r="B76" s="49" t="str">
        <f t="shared" si="1"/>
        <v>Aggravated Burglary</v>
      </c>
      <c r="C76" s="49" t="str">
        <f t="shared" si="2"/>
        <v>Aggravated Burglary; Without authority, enter into or remain within any building, or other structure which is not a dwelling in which there is a human being, with intent to commit a felony, theft or sexually motivated crime therein</v>
      </c>
      <c r="D76" s="49" t="str">
        <f t="shared" si="3"/>
        <v>21-5807(b)(2)</v>
      </c>
      <c r="E76" s="11" t="s">
        <v>133</v>
      </c>
      <c r="F76" s="11">
        <v>3.0</v>
      </c>
      <c r="G76" s="11">
        <v>3.0</v>
      </c>
      <c r="H76" s="11">
        <v>3.0</v>
      </c>
      <c r="I76" s="11">
        <v>3.0</v>
      </c>
    </row>
    <row r="77">
      <c r="A77" s="10" t="s">
        <v>6474</v>
      </c>
      <c r="B77" s="49" t="str">
        <f t="shared" si="1"/>
        <v>Aggravated Burglary</v>
      </c>
      <c r="C77" s="49" t="str">
        <f t="shared" si="2"/>
        <v>Aggravated Burglary; Without authority, enter into or remain within any dwelling in which there is a human being, with intent to commit a felony, theft or sexually motivated crime therein</v>
      </c>
      <c r="D77" s="49" t="str">
        <f t="shared" si="3"/>
        <v>21-5807(b)(1)</v>
      </c>
      <c r="E77" s="11" t="s">
        <v>133</v>
      </c>
      <c r="F77" s="11">
        <v>3.0</v>
      </c>
      <c r="G77" s="11">
        <v>3.0</v>
      </c>
      <c r="H77" s="11">
        <v>3.0</v>
      </c>
      <c r="I77" s="11">
        <v>3.0</v>
      </c>
    </row>
    <row r="78">
      <c r="A78" s="10" t="s">
        <v>6475</v>
      </c>
      <c r="B78" s="49" t="str">
        <f t="shared" si="1"/>
        <v>Aggravated Criminal Damage to Property</v>
      </c>
      <c r="C78" s="49" t="str">
        <f t="shared" si="2"/>
        <v>Aggravated Criminal Damage to Property; By means other than fire or explosive; Knowingly damage, deface, destroy, or substantially impair the use of any property without consent; value or amount of damage exceeds $5,000, committed with intent to obtain scrap metal</v>
      </c>
      <c r="D78" s="49" t="str">
        <f t="shared" si="3"/>
        <v>21-5813(b)</v>
      </c>
      <c r="E78" s="11" t="s">
        <v>133</v>
      </c>
      <c r="F78" s="11">
        <v>3.0</v>
      </c>
      <c r="G78" s="11">
        <v>3.0</v>
      </c>
      <c r="H78" s="11">
        <v>3.0</v>
      </c>
      <c r="I78" s="11">
        <v>3.0</v>
      </c>
    </row>
    <row r="79">
      <c r="A79" s="10" t="s">
        <v>6476</v>
      </c>
      <c r="B79" s="49" t="str">
        <f t="shared" si="1"/>
        <v>Aggravated Criminal Threat</v>
      </c>
      <c r="C79" s="49" t="str">
        <f t="shared" si="2"/>
        <v>Aggravated Criminal Threat; When public, commercial or industrial building, place of assembly or facility of transportation is evacuated, locked down or disrupted as to regular, ongoing activities as result of threat</v>
      </c>
      <c r="D79" s="49" t="str">
        <f t="shared" si="3"/>
        <v>21-5415(b)</v>
      </c>
      <c r="E79" s="11" t="s">
        <v>133</v>
      </c>
      <c r="F79" s="11">
        <v>3.0</v>
      </c>
      <c r="G79" s="11">
        <v>3.0</v>
      </c>
      <c r="H79" s="11">
        <v>3.0</v>
      </c>
      <c r="I79" s="11">
        <v>3.0</v>
      </c>
    </row>
    <row r="80">
      <c r="A80" s="10" t="s">
        <v>6477</v>
      </c>
      <c r="B80" s="49" t="str">
        <f t="shared" si="1"/>
        <v>Aggravated Endangering the Food Supply</v>
      </c>
      <c r="C80" s="49" t="str">
        <f t="shared" si="2"/>
        <v>Aggravated Endangering the Food Supply; Knowingly endangering with intent to cause damage to plants or animals or economic harm or social unrest</v>
      </c>
      <c r="D80" s="49" t="str">
        <f t="shared" si="3"/>
        <v>21-6317(b)(1)</v>
      </c>
      <c r="E80" s="11" t="s">
        <v>133</v>
      </c>
      <c r="F80" s="11">
        <v>3.0</v>
      </c>
      <c r="G80" s="11">
        <v>3.0</v>
      </c>
      <c r="H80" s="11">
        <v>3.0</v>
      </c>
      <c r="I80" s="11">
        <v>3.0</v>
      </c>
    </row>
    <row r="81">
      <c r="A81" s="10" t="s">
        <v>6478</v>
      </c>
      <c r="B81" s="49" t="str">
        <f t="shared" si="1"/>
        <v>Aggravated Endangering the Food Supply</v>
      </c>
      <c r="C81" s="49" t="str">
        <f t="shared" si="2"/>
        <v>Aggravated Endangering the Food Supply; Knowingly endangering with intent to cause illness or injury or death to human being(s)</v>
      </c>
      <c r="D81" s="49" t="str">
        <f t="shared" si="3"/>
        <v>21-6317(b)(2)</v>
      </c>
      <c r="E81" s="11" t="s">
        <v>133</v>
      </c>
      <c r="F81" s="11">
        <v>3.0</v>
      </c>
      <c r="G81" s="11">
        <v>3.0</v>
      </c>
      <c r="H81" s="11">
        <v>3.0</v>
      </c>
      <c r="I81" s="11">
        <v>3.0</v>
      </c>
    </row>
    <row r="82">
      <c r="A82" s="10" t="s">
        <v>6479</v>
      </c>
      <c r="B82" s="49" t="str">
        <f t="shared" si="1"/>
        <v>Aggravated Escape From Custody</v>
      </c>
      <c r="C82" s="49" t="str">
        <f t="shared" si="2"/>
        <v>Aggravated Escape From Custody; By use of or threat of violence against any person while held by a person 18 or over who is being held on charge or adjudication of a misdemeanor or felony</v>
      </c>
      <c r="D82" s="49" t="str">
        <f t="shared" si="3"/>
        <v>21-5911(b)(2)(F)</v>
      </c>
      <c r="E82" s="11" t="s">
        <v>133</v>
      </c>
      <c r="F82" s="11">
        <v>3.0</v>
      </c>
      <c r="G82" s="11">
        <v>3.0</v>
      </c>
      <c r="H82" s="11">
        <v>3.0</v>
      </c>
      <c r="I82" s="11">
        <v>3.0</v>
      </c>
    </row>
    <row r="83">
      <c r="A83" s="10" t="s">
        <v>6480</v>
      </c>
      <c r="B83" s="49" t="str">
        <f t="shared" si="1"/>
        <v>Aggravated Escape From Custody</v>
      </c>
      <c r="C83" s="49" t="str">
        <f t="shared" si="2"/>
        <v>Aggravated Escape From Custody; By use of or threat of violence against any person while held on a charge or adjudication as a juvenile offender where act, if committed by adult, would be a felony</v>
      </c>
      <c r="D83" s="49" t="str">
        <f t="shared" si="3"/>
        <v>21-5911(b)(2)(B)</v>
      </c>
      <c r="E83" s="11" t="s">
        <v>133</v>
      </c>
      <c r="F83" s="11">
        <v>3.0</v>
      </c>
      <c r="G83" s="11">
        <v>3.0</v>
      </c>
      <c r="H83" s="11">
        <v>3.0</v>
      </c>
      <c r="I83" s="11">
        <v>3.0</v>
      </c>
    </row>
    <row r="84">
      <c r="A84" s="10" t="s">
        <v>6481</v>
      </c>
      <c r="B84" s="49" t="str">
        <f t="shared" si="1"/>
        <v>Aggravated Escape From Custody</v>
      </c>
      <c r="C84" s="49" t="str">
        <f t="shared" si="2"/>
        <v>Aggravated Escape From Custody; By use of or threat of violence against any person while held on a charge or conviction of any crime</v>
      </c>
      <c r="D84" s="49" t="str">
        <f t="shared" si="3"/>
        <v>21-5911(b)(2)(A)</v>
      </c>
      <c r="E84" s="11" t="s">
        <v>133</v>
      </c>
      <c r="F84" s="11">
        <v>3.0</v>
      </c>
      <c r="G84" s="11">
        <v>3.0</v>
      </c>
      <c r="H84" s="11">
        <v>3.0</v>
      </c>
      <c r="I84" s="11">
        <v>3.0</v>
      </c>
    </row>
    <row r="85">
      <c r="A85" s="10" t="s">
        <v>6482</v>
      </c>
      <c r="B85" s="49" t="str">
        <f t="shared" si="1"/>
        <v>Aggravated Escape From Custody</v>
      </c>
      <c r="C85" s="49" t="str">
        <f t="shared" si="2"/>
        <v>Aggravated Escape From Custody; By use of or threat of violence against any person while held prior to or upon a finding of probable cause for evaluation as a sexually violent predator</v>
      </c>
      <c r="D85" s="49" t="str">
        <f t="shared" si="3"/>
        <v>21-5911(b)(2)(C)</v>
      </c>
      <c r="E85" s="11" t="s">
        <v>133</v>
      </c>
      <c r="F85" s="11">
        <v>3.0</v>
      </c>
      <c r="G85" s="11">
        <v>3.0</v>
      </c>
      <c r="H85" s="11">
        <v>3.0</v>
      </c>
      <c r="I85" s="11">
        <v>3.0</v>
      </c>
    </row>
    <row r="86">
      <c r="A86" s="10" t="s">
        <v>6483</v>
      </c>
      <c r="B86" s="49" t="str">
        <f t="shared" si="1"/>
        <v>Aggravated Escape From Custody</v>
      </c>
      <c r="C86" s="49" t="str">
        <f t="shared" si="2"/>
        <v>Aggravated Escape From Custody; By use of or threat of violence against any person while held upon a commitment to the state security hospital</v>
      </c>
      <c r="D86" s="49" t="str">
        <f t="shared" si="3"/>
        <v>21-5911(b)(2)(E)</v>
      </c>
      <c r="E86" s="11" t="s">
        <v>133</v>
      </c>
      <c r="F86" s="11">
        <v>3.0</v>
      </c>
      <c r="G86" s="11">
        <v>3.0</v>
      </c>
      <c r="H86" s="11">
        <v>3.0</v>
      </c>
      <c r="I86" s="11">
        <v>3.0</v>
      </c>
    </row>
    <row r="87">
      <c r="A87" s="10" t="s">
        <v>6484</v>
      </c>
      <c r="B87" s="49" t="str">
        <f t="shared" si="1"/>
        <v>Aggravated Escape From Custody</v>
      </c>
      <c r="C87" s="49" t="str">
        <f t="shared" si="2"/>
        <v>Aggravated Escape From Custody; By use of or threat of violence against any person while held upon commitment to a treatment facility as a sexually violent predator</v>
      </c>
      <c r="D87" s="49" t="str">
        <f t="shared" si="3"/>
        <v>21-5911(b)(2)(D)</v>
      </c>
      <c r="E87" s="11" t="s">
        <v>133</v>
      </c>
      <c r="F87" s="11">
        <v>3.0</v>
      </c>
      <c r="G87" s="11">
        <v>3.0</v>
      </c>
      <c r="H87" s="11">
        <v>3.0</v>
      </c>
      <c r="I87" s="11">
        <v>3.0</v>
      </c>
    </row>
    <row r="88">
      <c r="A88" s="10" t="s">
        <v>6485</v>
      </c>
      <c r="B88" s="49" t="str">
        <f t="shared" si="1"/>
        <v>Aggravated Escape From Custody</v>
      </c>
      <c r="C88" s="49" t="str">
        <f t="shared" si="2"/>
        <v>Aggravated Escape From Custody; By use of or threat of violence against any person while held upon incarceration at a state correctional institution in the custody of secretary of corrections</v>
      </c>
      <c r="D88" s="49" t="str">
        <f t="shared" si="3"/>
        <v>21-5911(b)(2)(G)</v>
      </c>
      <c r="E88" s="11" t="s">
        <v>133</v>
      </c>
      <c r="F88" s="11">
        <v>3.0</v>
      </c>
      <c r="G88" s="11">
        <v>3.0</v>
      </c>
      <c r="H88" s="11">
        <v>3.0</v>
      </c>
      <c r="I88" s="11">
        <v>3.0</v>
      </c>
    </row>
    <row r="89">
      <c r="A89" s="10" t="s">
        <v>6486</v>
      </c>
      <c r="B89" s="49" t="str">
        <f t="shared" si="1"/>
        <v>Aggravated Escape From Custody</v>
      </c>
      <c r="C89" s="49" t="str">
        <f t="shared" si="2"/>
        <v>Aggravated Escape From Custody; While held in custody by a person 18 or over who is being held on an adjudication of a felony</v>
      </c>
      <c r="D89" s="49" t="str">
        <f t="shared" si="3"/>
        <v>21-5911(b)(1)(F)</v>
      </c>
      <c r="E89" s="11" t="s">
        <v>133</v>
      </c>
      <c r="F89" s="11">
        <v>3.0</v>
      </c>
      <c r="G89" s="11">
        <v>3.0</v>
      </c>
      <c r="H89" s="11">
        <v>3.0</v>
      </c>
      <c r="I89" s="11">
        <v>3.0</v>
      </c>
    </row>
    <row r="90">
      <c r="A90" s="10" t="s">
        <v>6487</v>
      </c>
      <c r="B90" s="49" t="str">
        <f t="shared" si="1"/>
        <v>Aggravated Escape From Custody</v>
      </c>
      <c r="C90" s="49" t="str">
        <f t="shared" si="2"/>
        <v>Aggravated Escape From Custody; While held on charge, adjudication or arrest as a juvenile offender where act, if committed by adult, would be a felony</v>
      </c>
      <c r="D90" s="49" t="str">
        <f t="shared" si="3"/>
        <v>21-5911(b)(1)(B)</v>
      </c>
      <c r="E90" s="11" t="s">
        <v>133</v>
      </c>
      <c r="F90" s="11">
        <v>3.0</v>
      </c>
      <c r="G90" s="11">
        <v>3.0</v>
      </c>
      <c r="H90" s="11">
        <v>3.0</v>
      </c>
      <c r="I90" s="11">
        <v>3.0</v>
      </c>
    </row>
    <row r="91">
      <c r="A91" s="10" t="s">
        <v>6488</v>
      </c>
      <c r="B91" s="49" t="str">
        <f t="shared" si="1"/>
        <v>Aggravated Escape From Custody</v>
      </c>
      <c r="C91" s="49" t="str">
        <f t="shared" si="2"/>
        <v>Aggravated Escape From Custody; While held on charge, conviction of or arrest for a felony</v>
      </c>
      <c r="D91" s="49" t="str">
        <f t="shared" si="3"/>
        <v>21-5911(b)(1)(A)</v>
      </c>
      <c r="E91" s="11" t="s">
        <v>133</v>
      </c>
      <c r="F91" s="11">
        <v>3.0</v>
      </c>
      <c r="G91" s="11">
        <v>3.0</v>
      </c>
      <c r="H91" s="11">
        <v>3.0</v>
      </c>
      <c r="I91" s="11">
        <v>3.0</v>
      </c>
    </row>
    <row r="92">
      <c r="A92" s="10" t="s">
        <v>6489</v>
      </c>
      <c r="B92" s="49" t="str">
        <f t="shared" si="1"/>
        <v>Aggravated Escape From Custody</v>
      </c>
      <c r="C92" s="49" t="str">
        <f t="shared" si="2"/>
        <v>Aggravated Escape From Custody; While held prior to or upon finding of probable cause for evaluation as a sexually violent predator</v>
      </c>
      <c r="D92" s="49" t="str">
        <f t="shared" si="3"/>
        <v>21-5911(b)(1)(C)</v>
      </c>
      <c r="E92" s="11" t="s">
        <v>133</v>
      </c>
      <c r="F92" s="11">
        <v>3.0</v>
      </c>
      <c r="G92" s="11">
        <v>3.0</v>
      </c>
      <c r="H92" s="11">
        <v>3.0</v>
      </c>
      <c r="I92" s="11">
        <v>3.0</v>
      </c>
    </row>
    <row r="93">
      <c r="A93" s="10" t="s">
        <v>6490</v>
      </c>
      <c r="B93" s="49" t="str">
        <f t="shared" si="1"/>
        <v>Aggravated Escape From Custody</v>
      </c>
      <c r="C93" s="49" t="str">
        <f t="shared" si="2"/>
        <v>Aggravated Escape From Custody; While held upon a commitment to the state security hospital as provided in K.S.A. 22-3428, based on a finding that the person committed an act constituting a felony</v>
      </c>
      <c r="D93" s="49" t="str">
        <f t="shared" si="3"/>
        <v>21-5911(b)(1)(E)</v>
      </c>
      <c r="E93" s="11" t="s">
        <v>133</v>
      </c>
      <c r="F93" s="11">
        <v>3.0</v>
      </c>
      <c r="G93" s="11">
        <v>3.0</v>
      </c>
      <c r="H93" s="11">
        <v>3.0</v>
      </c>
      <c r="I93" s="11">
        <v>3.0</v>
      </c>
    </row>
    <row r="94">
      <c r="A94" s="10" t="s">
        <v>6491</v>
      </c>
      <c r="B94" s="49" t="str">
        <f t="shared" si="1"/>
        <v>Aggravated Escape From Custody</v>
      </c>
      <c r="C94" s="49" t="str">
        <f t="shared" si="2"/>
        <v>Aggravated Escape From Custody; While held upon commitment to treatment facility as a sexually violent predator</v>
      </c>
      <c r="D94" s="49" t="str">
        <f t="shared" si="3"/>
        <v>21-5911(b)(1)(D)</v>
      </c>
      <c r="E94" s="11" t="s">
        <v>133</v>
      </c>
      <c r="F94" s="11">
        <v>3.0</v>
      </c>
      <c r="G94" s="11">
        <v>3.0</v>
      </c>
      <c r="H94" s="11">
        <v>3.0</v>
      </c>
      <c r="I94" s="11">
        <v>3.0</v>
      </c>
    </row>
    <row r="95">
      <c r="A95" s="10" t="s">
        <v>6492</v>
      </c>
      <c r="B95" s="49" t="str">
        <f t="shared" si="1"/>
        <v>Aggravated Escape From Custody</v>
      </c>
      <c r="C95" s="49" t="str">
        <f t="shared" si="2"/>
        <v>Aggravated Escape From Custody; While held upon incarceration at a state correctional institution in the custody of the secretary of corrections</v>
      </c>
      <c r="D95" s="49" t="str">
        <f t="shared" si="3"/>
        <v>21-5911(b)(1)(G)</v>
      </c>
      <c r="E95" s="11" t="s">
        <v>133</v>
      </c>
      <c r="F95" s="11">
        <v>3.0</v>
      </c>
      <c r="G95" s="11">
        <v>3.0</v>
      </c>
      <c r="H95" s="11">
        <v>3.0</v>
      </c>
      <c r="I95" s="11">
        <v>3.0</v>
      </c>
    </row>
    <row r="96">
      <c r="A96" s="10" t="s">
        <v>6493</v>
      </c>
      <c r="B96" s="49" t="str">
        <f t="shared" si="1"/>
        <v>Aggravated Failure to Appear</v>
      </c>
      <c r="C96" s="49" t="str">
        <f t="shared" si="2"/>
        <v>Aggravated Failure to Appear; Knowingly incurring a forfeiture of an appearance bond and failing to surrender oneself within 30 days of forfeiture or conviction by one who is charged with or convicted of a felony</v>
      </c>
      <c r="D96" s="49" t="str">
        <f t="shared" si="3"/>
        <v>21-5915(b)</v>
      </c>
      <c r="E96" s="11" t="s">
        <v>133</v>
      </c>
      <c r="F96" s="11">
        <v>3.0</v>
      </c>
      <c r="G96" s="11">
        <v>3.0</v>
      </c>
      <c r="H96" s="11">
        <v>3.0</v>
      </c>
      <c r="I96" s="11">
        <v>3.0</v>
      </c>
    </row>
    <row r="97">
      <c r="A97" s="10" t="s">
        <v>6494</v>
      </c>
      <c r="B97" s="49" t="str">
        <f t="shared" si="1"/>
        <v>Aggravated False Impersonation</v>
      </c>
      <c r="C97" s="49" t="str">
        <f t="shared" si="2"/>
        <v>Aggravated False Impersonation; Acknowledging the execution of any conveyance of property, or any other instrument which by law may be recorded</v>
      </c>
      <c r="D97" s="49" t="str">
        <f t="shared" si="3"/>
        <v>21-5917(b)(3)</v>
      </c>
      <c r="E97" s="11" t="s">
        <v>133</v>
      </c>
      <c r="F97" s="11">
        <v>3.0</v>
      </c>
      <c r="G97" s="11">
        <v>3.0</v>
      </c>
      <c r="H97" s="11">
        <v>3.0</v>
      </c>
      <c r="I97" s="11">
        <v>3.0</v>
      </c>
    </row>
    <row r="98">
      <c r="A98" s="10" t="s">
        <v>6495</v>
      </c>
      <c r="B98" s="49" t="str">
        <f t="shared" si="1"/>
        <v>Aggravated False Impersonation</v>
      </c>
      <c r="C98" s="49" t="str">
        <f t="shared" si="2"/>
        <v>Aggravated False Impersonation; Any other act in the course of a suit, proceeding or prosecution whereby the person who is represented or impersonated may be made liable for payment of any debt, damages, costs or sum of money, or such person's rights or interests may be in any manner affected</v>
      </c>
      <c r="D98" s="49" t="str">
        <f t="shared" si="3"/>
        <v>21-5917(b)(4)</v>
      </c>
      <c r="E98" s="11" t="s">
        <v>133</v>
      </c>
      <c r="F98" s="11">
        <v>3.0</v>
      </c>
      <c r="G98" s="11">
        <v>3.0</v>
      </c>
      <c r="H98" s="11">
        <v>3.0</v>
      </c>
      <c r="I98" s="11">
        <v>3.0</v>
      </c>
    </row>
    <row r="99">
      <c r="A99" s="10" t="s">
        <v>6496</v>
      </c>
      <c r="B99" s="49" t="str">
        <f t="shared" si="1"/>
        <v>Aggravated False Impersonation</v>
      </c>
      <c r="C99" s="49" t="str">
        <f t="shared" si="2"/>
        <v>Aggravated False Impersonation; Becoming bail or security, or acknowledging or executing any bond or other instrument as bail or security, for any party in any proceeding</v>
      </c>
      <c r="D99" s="49" t="str">
        <f t="shared" si="3"/>
        <v>21-5917(b)(1)</v>
      </c>
      <c r="E99" s="11" t="s">
        <v>133</v>
      </c>
      <c r="F99" s="11">
        <v>3.0</v>
      </c>
      <c r="G99" s="11">
        <v>3.0</v>
      </c>
      <c r="H99" s="11">
        <v>3.0</v>
      </c>
      <c r="I99" s="11">
        <v>3.0</v>
      </c>
    </row>
    <row r="100">
      <c r="A100" s="10" t="s">
        <v>6497</v>
      </c>
      <c r="B100" s="49" t="str">
        <f t="shared" si="1"/>
        <v>Aggravated False Impersonation</v>
      </c>
      <c r="C100" s="49" t="str">
        <f t="shared" si="2"/>
        <v>Aggravated False Impersonation; Confessing any judgment</v>
      </c>
      <c r="D100" s="49" t="str">
        <f t="shared" si="3"/>
        <v>21-5917(b)(2)</v>
      </c>
      <c r="E100" s="11" t="s">
        <v>133</v>
      </c>
      <c r="F100" s="11">
        <v>3.0</v>
      </c>
      <c r="G100" s="11">
        <v>3.0</v>
      </c>
      <c r="H100" s="11">
        <v>3.0</v>
      </c>
      <c r="I100" s="11">
        <v>3.0</v>
      </c>
    </row>
    <row r="101">
      <c r="A101" s="10" t="s">
        <v>6498</v>
      </c>
      <c r="B101" s="49" t="str">
        <f t="shared" si="1"/>
        <v>Aggravated Human Trafficking</v>
      </c>
      <c r="C101" s="49" t="str">
        <f t="shared" si="2"/>
        <v>Aggravated Human Trafficking; Commit, attempt, conspire or solicit to commit; Human trafficking committed for the purpose of sexual gratification; victim under 14; offender 18 or older</v>
      </c>
      <c r="D101" s="49" t="str">
        <f t="shared" si="3"/>
        <v>21-5426(b)(2)</v>
      </c>
      <c r="E101" s="11" t="s">
        <v>133</v>
      </c>
      <c r="F101" s="11">
        <v>3.0</v>
      </c>
      <c r="G101" s="11">
        <v>3.0</v>
      </c>
      <c r="H101" s="11">
        <v>3.0</v>
      </c>
      <c r="I101" s="11">
        <v>3.0</v>
      </c>
    </row>
    <row r="102">
      <c r="A102" s="10" t="s">
        <v>6499</v>
      </c>
      <c r="B102" s="49" t="str">
        <f t="shared" si="1"/>
        <v>Aggravated Human Trafficking</v>
      </c>
      <c r="C102" s="49" t="str">
        <f t="shared" si="2"/>
        <v>Aggravated Human Trafficking; Commit, attempt, conspire or solicit to commit; Human trafficking involving kidnapping or attempted kidnapping; victim under 14; offender 18 or older</v>
      </c>
      <c r="D102" s="49" t="str">
        <f t="shared" si="3"/>
        <v>21-5426(b)(1)</v>
      </c>
      <c r="E102" s="11" t="s">
        <v>133</v>
      </c>
      <c r="F102" s="11">
        <v>3.0</v>
      </c>
      <c r="G102" s="11">
        <v>3.0</v>
      </c>
      <c r="H102" s="11">
        <v>3.0</v>
      </c>
      <c r="I102" s="11">
        <v>3.0</v>
      </c>
    </row>
    <row r="103">
      <c r="A103" s="10" t="s">
        <v>6500</v>
      </c>
      <c r="B103" s="49" t="str">
        <f t="shared" si="1"/>
        <v>Aggravated Human Trafficking</v>
      </c>
      <c r="C103" s="49" t="str">
        <f t="shared" si="2"/>
        <v>Aggravated Human Trafficking; Commit, attempt, conspire or solicit to commit; Human trafficking resulting in a death; victim under 14; offender 18 or older</v>
      </c>
      <c r="D103" s="49" t="str">
        <f t="shared" si="3"/>
        <v>21-5426(b)(3)</v>
      </c>
      <c r="E103" s="11" t="s">
        <v>133</v>
      </c>
      <c r="F103" s="11">
        <v>3.0</v>
      </c>
      <c r="G103" s="11">
        <v>3.0</v>
      </c>
      <c r="H103" s="11">
        <v>3.0</v>
      </c>
      <c r="I103" s="11">
        <v>3.0</v>
      </c>
    </row>
    <row r="104">
      <c r="A104" s="10" t="s">
        <v>6501</v>
      </c>
      <c r="B104" s="49" t="str">
        <f t="shared" si="1"/>
        <v>Aggravated Human Trafficking</v>
      </c>
      <c r="C104" s="49" t="str">
        <f t="shared" si="2"/>
        <v>Aggravated Human Trafficking; Commit, attempt, conspire or solicit to commit; Involve, recruit, harbor, transport, provide or obtain a person under 14 for forced labor, involuntary servitude or sexual gratification; offender 18 yrs of age or older</v>
      </c>
      <c r="D104" s="49" t="str">
        <f t="shared" si="3"/>
        <v>21-5426(b)(4)</v>
      </c>
      <c r="E104" s="11" t="s">
        <v>133</v>
      </c>
      <c r="F104" s="11">
        <v>3.0</v>
      </c>
      <c r="G104" s="11">
        <v>3.0</v>
      </c>
      <c r="H104" s="11">
        <v>3.0</v>
      </c>
      <c r="I104" s="11">
        <v>3.0</v>
      </c>
    </row>
    <row r="105">
      <c r="A105" s="10" t="s">
        <v>6502</v>
      </c>
      <c r="B105" s="49" t="str">
        <f t="shared" si="1"/>
        <v>Aggravated Human Trafficking</v>
      </c>
      <c r="C105" s="49" t="str">
        <f t="shared" si="2"/>
        <v>Aggravated Human Trafficking; Human trafficking committed for the purpose of sexual gratification</v>
      </c>
      <c r="D105" s="49" t="str">
        <f t="shared" si="3"/>
        <v>21-5426(b)(2)</v>
      </c>
      <c r="E105" s="11" t="s">
        <v>133</v>
      </c>
      <c r="F105" s="11">
        <v>3.0</v>
      </c>
      <c r="G105" s="11">
        <v>3.0</v>
      </c>
      <c r="H105" s="11">
        <v>3.0</v>
      </c>
      <c r="I105" s="11">
        <v>3.0</v>
      </c>
    </row>
    <row r="106">
      <c r="A106" s="10" t="s">
        <v>6503</v>
      </c>
      <c r="B106" s="49" t="str">
        <f t="shared" si="1"/>
        <v>Aggravated Human Trafficking</v>
      </c>
      <c r="C106" s="49" t="str">
        <f t="shared" si="2"/>
        <v>Aggravated Human Trafficking; Human trafficking involving kidnapping or attempted kidnapping</v>
      </c>
      <c r="D106" s="49" t="str">
        <f t="shared" si="3"/>
        <v>21-5426(b)(1)</v>
      </c>
      <c r="E106" s="11" t="s">
        <v>133</v>
      </c>
      <c r="F106" s="11">
        <v>3.0</v>
      </c>
      <c r="G106" s="11">
        <v>3.0</v>
      </c>
      <c r="H106" s="11">
        <v>3.0</v>
      </c>
      <c r="I106" s="11">
        <v>3.0</v>
      </c>
    </row>
    <row r="107">
      <c r="A107" s="10" t="s">
        <v>6504</v>
      </c>
      <c r="B107" s="49" t="str">
        <f t="shared" si="1"/>
        <v>Aggravated Human Trafficking</v>
      </c>
      <c r="C107" s="49" t="str">
        <f t="shared" si="2"/>
        <v>Aggravated Human Trafficking; Human trafficking resulting in a death</v>
      </c>
      <c r="D107" s="49" t="str">
        <f t="shared" si="3"/>
        <v>21-5426(b)(3)</v>
      </c>
      <c r="E107" s="11" t="s">
        <v>133</v>
      </c>
      <c r="F107" s="11">
        <v>3.0</v>
      </c>
      <c r="G107" s="11">
        <v>3.0</v>
      </c>
      <c r="H107" s="11">
        <v>3.0</v>
      </c>
      <c r="I107" s="11">
        <v>3.0</v>
      </c>
    </row>
    <row r="108">
      <c r="A108" s="10" t="s">
        <v>6505</v>
      </c>
      <c r="B108" s="49" t="str">
        <f t="shared" si="1"/>
        <v>Aggravated Human Trafficking</v>
      </c>
      <c r="C108" s="49" t="str">
        <f t="shared" si="2"/>
        <v>Aggravated Human Trafficking; Involve, recruit, harbor, transport, provide or obtain a person under 18 for forced labor, involuntary servitude or sexual gratification</v>
      </c>
      <c r="D108" s="49" t="str">
        <f t="shared" si="3"/>
        <v>21-5426(b)(4)</v>
      </c>
      <c r="E108" s="11" t="s">
        <v>133</v>
      </c>
      <c r="F108" s="11">
        <v>3.0</v>
      </c>
      <c r="G108" s="11">
        <v>3.0</v>
      </c>
      <c r="H108" s="11">
        <v>3.0</v>
      </c>
      <c r="I108" s="11">
        <v>3.0</v>
      </c>
    </row>
    <row r="109">
      <c r="A109" s="10" t="s">
        <v>6506</v>
      </c>
      <c r="B109" s="49" t="str">
        <f t="shared" si="1"/>
        <v>Aggravated Interference with Parental Custody</v>
      </c>
      <c r="C109" s="49" t="str">
        <f t="shared" si="2"/>
        <v>Aggravated Interference with Parental Custody; Commission of interference with parental custody by one who commits the crime for hire</v>
      </c>
      <c r="D109" s="49" t="str">
        <f t="shared" si="3"/>
        <v>21-5409(b)(2)(B)</v>
      </c>
      <c r="E109" s="11" t="s">
        <v>133</v>
      </c>
      <c r="F109" s="11">
        <v>3.0</v>
      </c>
      <c r="G109" s="11">
        <v>3.0</v>
      </c>
      <c r="H109" s="11">
        <v>3.0</v>
      </c>
      <c r="I109" s="11">
        <v>3.0</v>
      </c>
    </row>
    <row r="110">
      <c r="A110" s="10" t="s">
        <v>6507</v>
      </c>
      <c r="B110" s="49" t="str">
        <f t="shared" si="1"/>
        <v>Aggravated Interference with Parental Custody</v>
      </c>
      <c r="C110" s="49" t="str">
        <f t="shared" si="2"/>
        <v>Aggravated Interference with Parental Custody; Commission of interference with parental custody by one who detains or conceals the child in an unknown place, whether inside or outside the state</v>
      </c>
      <c r="D110" s="49" t="str">
        <f t="shared" si="3"/>
        <v>21-5409(b)(2)(F)</v>
      </c>
      <c r="E110" s="11" t="s">
        <v>133</v>
      </c>
      <c r="F110" s="11">
        <v>3.0</v>
      </c>
      <c r="G110" s="11">
        <v>3.0</v>
      </c>
      <c r="H110" s="11">
        <v>3.0</v>
      </c>
      <c r="I110" s="11">
        <v>3.0</v>
      </c>
    </row>
    <row r="111">
      <c r="A111" s="10" t="s">
        <v>6508</v>
      </c>
      <c r="B111" s="49" t="str">
        <f t="shared" si="1"/>
        <v>Aggravated Interference with Parental Custody</v>
      </c>
      <c r="C111" s="49" t="str">
        <f t="shared" si="2"/>
        <v>Aggravated Interference with Parental Custody; Commission of interference with parental custody by one who has previously been convicted of the crime</v>
      </c>
      <c r="D111" s="49" t="str">
        <f t="shared" si="3"/>
        <v>21-5409(b)(2)(A)</v>
      </c>
      <c r="E111" s="11" t="s">
        <v>133</v>
      </c>
      <c r="F111" s="11">
        <v>3.0</v>
      </c>
      <c r="G111" s="11">
        <v>3.0</v>
      </c>
      <c r="H111" s="11">
        <v>3.0</v>
      </c>
      <c r="I111" s="11">
        <v>3.0</v>
      </c>
    </row>
    <row r="112">
      <c r="A112" s="10" t="s">
        <v>6509</v>
      </c>
      <c r="B112" s="49" t="str">
        <f t="shared" si="1"/>
        <v>Aggravated Interference with Parental Custody</v>
      </c>
      <c r="C112" s="49" t="str">
        <f t="shared" si="2"/>
        <v>Aggravated Interference with Parental Custody; Commission of interference with parental custody by one who takes the child outside the state without consent of one with custody or the court</v>
      </c>
      <c r="D112" s="49" t="str">
        <f t="shared" si="3"/>
        <v>21-5409(b)(2)(C)</v>
      </c>
      <c r="E112" s="11" t="s">
        <v>133</v>
      </c>
      <c r="F112" s="11">
        <v>3.0</v>
      </c>
      <c r="G112" s="11">
        <v>3.0</v>
      </c>
      <c r="H112" s="11">
        <v>3.0</v>
      </c>
      <c r="I112" s="11">
        <v>3.0</v>
      </c>
    </row>
    <row r="113">
      <c r="A113" s="10" t="s">
        <v>6510</v>
      </c>
      <c r="B113" s="49" t="str">
        <f t="shared" si="1"/>
        <v>Aggravated Interference with Parental Custody</v>
      </c>
      <c r="C113" s="49" t="str">
        <f t="shared" si="2"/>
        <v>Aggravated Interference with Parental Custody; Commission of interference with parental custody by one who, after lawfully taking the child outside the state while exercising visitation rights or parenting time, refuses to return the child at the expiration of that time</v>
      </c>
      <c r="D113" s="49" t="str">
        <f t="shared" si="3"/>
        <v>21-5409(b)(2)(D)</v>
      </c>
      <c r="E113" s="11" t="s">
        <v>133</v>
      </c>
      <c r="F113" s="11">
        <v>3.0</v>
      </c>
      <c r="G113" s="11">
        <v>3.0</v>
      </c>
      <c r="H113" s="11">
        <v>3.0</v>
      </c>
      <c r="I113" s="11">
        <v>3.0</v>
      </c>
    </row>
    <row r="114">
      <c r="A114" s="10" t="s">
        <v>6511</v>
      </c>
      <c r="B114" s="49" t="str">
        <f t="shared" si="1"/>
        <v>Aggravated Interference with Parental Custody</v>
      </c>
      <c r="C114" s="49" t="str">
        <f t="shared" si="2"/>
        <v>Aggravated Interference with Parental Custody; Commission of interference with parental custody by one who, at the expiration of any visitation rights or parenting time outside the state, refuses to return or impedes the return of the child</v>
      </c>
      <c r="D114" s="49" t="str">
        <f t="shared" si="3"/>
        <v>21-5409(b)(2)(E)</v>
      </c>
      <c r="E114" s="11" t="s">
        <v>133</v>
      </c>
      <c r="F114" s="11">
        <v>3.0</v>
      </c>
      <c r="G114" s="11">
        <v>3.0</v>
      </c>
      <c r="H114" s="11">
        <v>3.0</v>
      </c>
      <c r="I114" s="11">
        <v>3.0</v>
      </c>
    </row>
    <row r="115">
      <c r="A115" s="10" t="s">
        <v>6512</v>
      </c>
      <c r="B115" s="49" t="str">
        <f t="shared" si="1"/>
        <v>Aggravated Interference with Parental Custody</v>
      </c>
      <c r="C115" s="49" t="str">
        <f t="shared" si="2"/>
        <v>Aggravated Interference with Parental Custody; Hiring one to commit crime of interference with parental custody</v>
      </c>
      <c r="D115" s="49" t="str">
        <f t="shared" si="3"/>
        <v>21-5409(b)(1)</v>
      </c>
      <c r="E115" s="11" t="s">
        <v>133</v>
      </c>
      <c r="F115" s="11">
        <v>3.0</v>
      </c>
      <c r="G115" s="11">
        <v>3.0</v>
      </c>
      <c r="H115" s="11">
        <v>3.0</v>
      </c>
      <c r="I115" s="11">
        <v>3.0</v>
      </c>
    </row>
    <row r="116">
      <c r="A116" s="10" t="s">
        <v>6513</v>
      </c>
      <c r="B116" s="49" t="str">
        <f t="shared" si="1"/>
        <v>Aggravated Interference with Public Business</v>
      </c>
      <c r="C116" s="49" t="str">
        <f t="shared" si="2"/>
        <v>Aggravated Interference with Public Business; Interference when in possession of firearm or weapon</v>
      </c>
      <c r="D116" s="49" t="str">
        <f t="shared" si="3"/>
        <v>21-5922(b)</v>
      </c>
      <c r="E116" s="11" t="s">
        <v>133</v>
      </c>
      <c r="F116" s="11">
        <v>3.0</v>
      </c>
      <c r="G116" s="11">
        <v>3.0</v>
      </c>
      <c r="H116" s="11">
        <v>3.0</v>
      </c>
      <c r="I116" s="11">
        <v>3.0</v>
      </c>
    </row>
    <row r="117">
      <c r="A117" s="10" t="s">
        <v>6514</v>
      </c>
      <c r="B117" s="49" t="str">
        <f t="shared" si="1"/>
        <v>Aggravated Intimidation of a Witness or Victim</v>
      </c>
      <c r="C117" s="49" t="str">
        <f t="shared" si="2"/>
        <v>Aggravated Intimidation of a Witness or Victim; By one who has prior conviction for corruptly influencing a witness, or a violation of this act or any similar crime</v>
      </c>
      <c r="D117" s="49" t="str">
        <f t="shared" si="3"/>
        <v>21-5909(b)(3)</v>
      </c>
      <c r="E117" s="11" t="s">
        <v>133</v>
      </c>
      <c r="F117" s="11">
        <v>3.0</v>
      </c>
      <c r="G117" s="11">
        <v>3.0</v>
      </c>
      <c r="H117" s="11">
        <v>3.0</v>
      </c>
      <c r="I117" s="11">
        <v>3.0</v>
      </c>
    </row>
    <row r="118">
      <c r="A118" s="10" t="s">
        <v>6515</v>
      </c>
      <c r="B118" s="49" t="str">
        <f t="shared" si="1"/>
        <v>Aggravated Intimidation of a Witness or Victim</v>
      </c>
      <c r="C118" s="49" t="str">
        <f t="shared" si="2"/>
        <v>Aggravated Intimidation of a Witness or Victim; Committed for pecuniary gain or for any other consideration by a person acting upon the request of another person</v>
      </c>
      <c r="D118" s="49" t="str">
        <f t="shared" si="3"/>
        <v>21-5909(b)(5)</v>
      </c>
      <c r="E118" s="11" t="s">
        <v>133</v>
      </c>
      <c r="F118" s="11">
        <v>3.0</v>
      </c>
      <c r="G118" s="11">
        <v>3.0</v>
      </c>
      <c r="H118" s="11">
        <v>3.0</v>
      </c>
      <c r="I118" s="11">
        <v>3.0</v>
      </c>
    </row>
    <row r="119">
      <c r="A119" s="10" t="s">
        <v>6516</v>
      </c>
      <c r="B119" s="49" t="str">
        <f t="shared" si="1"/>
        <v>Aggravated Intimidation of a Witness or Victim</v>
      </c>
      <c r="C119" s="49" t="str">
        <f t="shared" si="2"/>
        <v>Aggravated Intimidation of a Witness or Victim; Express or implied threat of force or violence against a witness, victim or other person or the property of any witness, victim or other person</v>
      </c>
      <c r="D119" s="49" t="str">
        <f t="shared" si="3"/>
        <v>21-5909(b)(1)</v>
      </c>
      <c r="E119" s="11" t="s">
        <v>133</v>
      </c>
      <c r="F119" s="11">
        <v>3.0</v>
      </c>
      <c r="G119" s="11">
        <v>3.0</v>
      </c>
      <c r="H119" s="11">
        <v>3.0</v>
      </c>
      <c r="I119" s="11">
        <v>3.0</v>
      </c>
    </row>
    <row r="120">
      <c r="A120" s="10" t="s">
        <v>6517</v>
      </c>
      <c r="B120" s="49" t="str">
        <f t="shared" si="1"/>
        <v>Aggravated Intimidation of a Witness or Victim</v>
      </c>
      <c r="C120" s="49" t="str">
        <f t="shared" si="2"/>
        <v>Aggravated Intimidation of a Witness or Victim; In furtherance of a conspiracy</v>
      </c>
      <c r="D120" s="49" t="str">
        <f t="shared" si="3"/>
        <v>21-5909(b)(2)</v>
      </c>
      <c r="E120" s="11" t="s">
        <v>133</v>
      </c>
      <c r="F120" s="11">
        <v>3.0</v>
      </c>
      <c r="G120" s="11">
        <v>3.0</v>
      </c>
      <c r="H120" s="11">
        <v>3.0</v>
      </c>
      <c r="I120" s="11">
        <v>3.0</v>
      </c>
    </row>
    <row r="121">
      <c r="A121" s="10" t="s">
        <v>6518</v>
      </c>
      <c r="B121" s="49" t="str">
        <f t="shared" si="1"/>
        <v>Aggravated Intimidation of a Witness or Victim</v>
      </c>
      <c r="C121" s="49" t="str">
        <f t="shared" si="2"/>
        <v>Aggravated Intimidation of a Witness or Victim; Witness or victim is under 18</v>
      </c>
      <c r="D121" s="49" t="str">
        <f t="shared" si="3"/>
        <v>21-5909(b)(4)</v>
      </c>
      <c r="E121" s="11" t="s">
        <v>133</v>
      </c>
      <c r="F121" s="11">
        <v>3.0</v>
      </c>
      <c r="G121" s="11">
        <v>3.0</v>
      </c>
      <c r="H121" s="11">
        <v>3.0</v>
      </c>
      <c r="I121" s="11">
        <v>3.0</v>
      </c>
    </row>
    <row r="122">
      <c r="A122" s="10" t="s">
        <v>6519</v>
      </c>
      <c r="B122" s="49" t="str">
        <f t="shared" si="1"/>
        <v>Aggravated Kidnapping</v>
      </c>
      <c r="C122" s="49" t="str">
        <f t="shared" si="2"/>
        <v>Aggravated Kidnapping; Bodily harm inflicted upon the person kidnapped</v>
      </c>
      <c r="D122" s="49" t="str">
        <f t="shared" si="3"/>
        <v>21-5408(b)</v>
      </c>
      <c r="E122" s="11" t="s">
        <v>133</v>
      </c>
      <c r="F122" s="11">
        <v>3.0</v>
      </c>
      <c r="G122" s="11">
        <v>3.0</v>
      </c>
      <c r="H122" s="11">
        <v>3.0</v>
      </c>
      <c r="I122" s="11">
        <v>3.0</v>
      </c>
    </row>
    <row r="123">
      <c r="A123" s="10" t="s">
        <v>6520</v>
      </c>
      <c r="B123" s="49" t="str">
        <f t="shared" si="1"/>
        <v>Aggravated Robbery</v>
      </c>
      <c r="C123" s="49" t="str">
        <f t="shared" si="2"/>
        <v>Aggravated Robbery; Armed with a dangerous weapon or inflicts bodily harm upon a person during robbery</v>
      </c>
      <c r="D123" s="49" t="str">
        <f t="shared" si="3"/>
        <v>21-5420(b)</v>
      </c>
      <c r="E123" s="11" t="s">
        <v>133</v>
      </c>
      <c r="F123" s="11">
        <v>3.0</v>
      </c>
      <c r="G123" s="11">
        <v>3.0</v>
      </c>
      <c r="H123" s="11">
        <v>3.0</v>
      </c>
      <c r="I123" s="11">
        <v>3.0</v>
      </c>
    </row>
    <row r="124">
      <c r="A124" s="10" t="s">
        <v>6521</v>
      </c>
      <c r="B124" s="49" t="str">
        <f t="shared" si="1"/>
        <v>Aggravated Tampering with a Traffic Signal</v>
      </c>
      <c r="C124" s="49" t="str">
        <f t="shared" si="2"/>
        <v>Aggravated Tampering with a Traffic Signal; Tampering which creates an unreasonable risk of an accident causing death or great bodily injury of any person</v>
      </c>
      <c r="D124" s="49" t="str">
        <f t="shared" si="3"/>
        <v>21-5817(b)</v>
      </c>
      <c r="E124" s="11" t="s">
        <v>133</v>
      </c>
      <c r="F124" s="11">
        <v>3.0</v>
      </c>
      <c r="G124" s="11">
        <v>3.0</v>
      </c>
      <c r="H124" s="11">
        <v>3.0</v>
      </c>
      <c r="I124" s="11">
        <v>3.0</v>
      </c>
    </row>
    <row r="125">
      <c r="A125" s="10" t="s">
        <v>6522</v>
      </c>
      <c r="B125" s="49" t="str">
        <f t="shared" si="1"/>
        <v>Aggravated unlawful transmission of a visual depiction of a child</v>
      </c>
      <c r="C125" s="49" t="str">
        <f t="shared" si="2"/>
        <v>Aggravated unlawful transmission of a visual depiction of a child; Knowingly transmitting a visual depiction of a child 12 or more years of age but less than 18 years of age in a state of nudity for pecuniary gain</v>
      </c>
      <c r="D125" s="49" t="str">
        <f t="shared" si="3"/>
        <v>21-5611(b)(1)(B)</v>
      </c>
      <c r="E125" s="11" t="s">
        <v>133</v>
      </c>
      <c r="F125" s="11">
        <v>3.0</v>
      </c>
      <c r="G125" s="11">
        <v>3.0</v>
      </c>
      <c r="H125" s="11">
        <v>3.0</v>
      </c>
      <c r="I125" s="11">
        <v>3.0</v>
      </c>
    </row>
    <row r="126">
      <c r="A126" s="10" t="s">
        <v>6523</v>
      </c>
      <c r="B126" s="49" t="str">
        <f t="shared" si="1"/>
        <v>Aggravated unlawful transmission of a visual depiction of a child</v>
      </c>
      <c r="C126" s="49" t="str">
        <f t="shared" si="2"/>
        <v>Aggravated unlawful transmission of a visual depiction of a child; Knowingly transmitting a visual depiction of a child 12 or more years of age but less than 18 years of age in a state of nudity for pecuniary gain; 2nd or subsequent offense</v>
      </c>
      <c r="D126" s="49" t="str">
        <f t="shared" si="3"/>
        <v>21-5611(b)(1)(B)</v>
      </c>
      <c r="E126" s="11" t="s">
        <v>133</v>
      </c>
      <c r="F126" s="11">
        <v>3.0</v>
      </c>
      <c r="G126" s="11">
        <v>3.0</v>
      </c>
      <c r="H126" s="11">
        <v>3.0</v>
      </c>
      <c r="I126" s="11">
        <v>3.0</v>
      </c>
    </row>
    <row r="127">
      <c r="A127" s="10" t="s">
        <v>6524</v>
      </c>
      <c r="B127" s="49" t="str">
        <f t="shared" si="1"/>
        <v>Aggravated unlawful transmission of a visual depiction of a child</v>
      </c>
      <c r="C127" s="49" t="str">
        <f t="shared" si="2"/>
        <v>Aggravated unlawful transmission of a visual depiction of a child; Knowingly transmitting a visual depiction of a child 12 or more years of age but less than 18 years of age in a state of nudity with the intent to exhibit or transmit such visual depiction to more than one person</v>
      </c>
      <c r="D127" s="49" t="str">
        <f t="shared" si="3"/>
        <v>21-5611(b)(1)(C)</v>
      </c>
      <c r="E127" s="11" t="s">
        <v>133</v>
      </c>
      <c r="F127" s="11">
        <v>3.0</v>
      </c>
      <c r="G127" s="11">
        <v>3.0</v>
      </c>
      <c r="H127" s="11">
        <v>3.0</v>
      </c>
      <c r="I127" s="11">
        <v>3.0</v>
      </c>
    </row>
    <row r="128">
      <c r="A128" s="10" t="s">
        <v>6525</v>
      </c>
      <c r="B128" s="49" t="str">
        <f t="shared" si="1"/>
        <v>Aggravated unlawful transmission of a visual depiction of a child</v>
      </c>
      <c r="C128" s="49" t="str">
        <f t="shared" si="2"/>
        <v>Aggravated unlawful transmission of a visual depiction of a child; Knowingly transmitting a visual depiction of a child 12 or more years of age but less than 18 years of age in a state of nudity with the intent to exhibit or transmit such visual depiction to more than one person; 2nd or subsequent offense</v>
      </c>
      <c r="D128" s="49" t="str">
        <f t="shared" si="3"/>
        <v>21-5611(b)(1)(C)</v>
      </c>
      <c r="E128" s="11" t="s">
        <v>133</v>
      </c>
      <c r="F128" s="11">
        <v>3.0</v>
      </c>
      <c r="G128" s="11">
        <v>3.0</v>
      </c>
      <c r="H128" s="11">
        <v>3.0</v>
      </c>
      <c r="I128" s="11">
        <v>3.0</v>
      </c>
    </row>
    <row r="129">
      <c r="A129" s="10" t="s">
        <v>6526</v>
      </c>
      <c r="B129" s="49" t="str">
        <f t="shared" si="1"/>
        <v>Aggravated unlawful transmission of a visual depiction of a child</v>
      </c>
      <c r="C129" s="49" t="str">
        <f t="shared" si="2"/>
        <v>Aggravated unlawful transmission of a visual depiction of a child; Knowingly transmitting a visual depiction of a child 12 or more years of age but less than 18 years of age in a state of nudity with the intent to harass, embarrass, intimidate, defame or otherwise inflict emotional, psychological or physical harm</v>
      </c>
      <c r="D129" s="49" t="str">
        <f t="shared" si="3"/>
        <v>21-5611(b)(1)(A)</v>
      </c>
      <c r="E129" s="11" t="s">
        <v>133</v>
      </c>
      <c r="F129" s="11">
        <v>3.0</v>
      </c>
      <c r="G129" s="11">
        <v>3.0</v>
      </c>
      <c r="H129" s="11">
        <v>3.0</v>
      </c>
      <c r="I129" s="11">
        <v>3.0</v>
      </c>
    </row>
    <row r="130">
      <c r="A130" s="10" t="s">
        <v>6527</v>
      </c>
      <c r="B130" s="49" t="str">
        <f t="shared" si="1"/>
        <v>Aggravated unlawful transmission of a visual depiction of a child</v>
      </c>
      <c r="C130" s="49" t="str">
        <f t="shared" si="2"/>
        <v>Aggravated unlawful transmission of a visual depiction of a child; Knowingly transmitting a visual depiction of a child 12 or more years of age but less than 18 years of age in a state of nudity with the intent to harass, embarrass, intimidate, defame or otherwise inflict emotional, psychological or physical harm; 2nd or subsequent offense</v>
      </c>
      <c r="D130" s="49" t="str">
        <f t="shared" si="3"/>
        <v>21-5611(b)(1)(A)</v>
      </c>
      <c r="E130" s="11" t="s">
        <v>133</v>
      </c>
      <c r="F130" s="11">
        <v>3.0</v>
      </c>
      <c r="G130" s="11">
        <v>3.0</v>
      </c>
      <c r="H130" s="11">
        <v>3.0</v>
      </c>
      <c r="I130" s="11">
        <v>3.0</v>
      </c>
    </row>
    <row r="131">
      <c r="A131" s="10" t="s">
        <v>6528</v>
      </c>
      <c r="B131" s="49" t="str">
        <f t="shared" si="1"/>
        <v>Aggravated Weapons Violation by a Convicted Felon</v>
      </c>
      <c r="C131" s="49" t="str">
        <f t="shared" si="2"/>
        <v>Aggravated Weapons Violation by a Convicted Felon; Violation of subsections (a)(1) through (a)(3) of K.S.A. 21-6301 or K.S.A. 21-6302 by a person who within 5 yrs preceding the violation, has been convicted of a nonperson felony or released from imprisonment for such nonperson felony</v>
      </c>
      <c r="D131" s="49" t="str">
        <f t="shared" si="3"/>
        <v>21-6305(a)(1)</v>
      </c>
      <c r="E131" s="11" t="s">
        <v>133</v>
      </c>
      <c r="F131" s="11">
        <v>3.0</v>
      </c>
      <c r="G131" s="11">
        <v>3.0</v>
      </c>
      <c r="H131" s="11">
        <v>3.0</v>
      </c>
      <c r="I131" s="11">
        <v>3.0</v>
      </c>
    </row>
    <row r="132">
      <c r="A132" s="10" t="s">
        <v>6529</v>
      </c>
      <c r="B132" s="49" t="str">
        <f t="shared" si="1"/>
        <v>Aggravated Weapons Violation by a Convicted Felon</v>
      </c>
      <c r="C132" s="49" t="str">
        <f t="shared" si="2"/>
        <v>Aggravated Weapons Violation by a Convicted Felon; Violation of subsections (a)(1) through (a)(3) of K.S.A. 21-6301 or subsections (a)(1) through (a)(4) of K.S.A. 21-6302 by a person who has been convicted of a person felony or has been released from imprisonment for such and has not had the conviction expunged or been pardoned for such crime</v>
      </c>
      <c r="D132" s="49" t="str">
        <f t="shared" si="3"/>
        <v>21-6305(a)(2)</v>
      </c>
      <c r="E132" s="11" t="s">
        <v>133</v>
      </c>
      <c r="F132" s="11">
        <v>3.0</v>
      </c>
      <c r="G132" s="11">
        <v>3.0</v>
      </c>
      <c r="H132" s="11">
        <v>3.0</v>
      </c>
      <c r="I132" s="11">
        <v>3.0</v>
      </c>
    </row>
    <row r="133">
      <c r="A133" s="10" t="s">
        <v>6530</v>
      </c>
      <c r="B133" s="49" t="str">
        <f t="shared" si="1"/>
        <v>Aggravated Weapons Violation by a Convicted Felon</v>
      </c>
      <c r="C133" s="49" t="str">
        <f t="shared" si="2"/>
        <v>Aggravated Weapons Violation by a Convicted Felon; Violation of subsections (a)(4) through (a)(6) of K.S.A. 21-6301 or subsection (a)(5) of K.S.A. 21-6302 by a person who has been convicted of a person felony or has been released from imprisonment for such and has not had the conviction expunged or been pardoned for such crime</v>
      </c>
      <c r="D133" s="49" t="str">
        <f t="shared" si="3"/>
        <v>21-6305(a)(2)</v>
      </c>
      <c r="E133" s="11" t="s">
        <v>133</v>
      </c>
      <c r="F133" s="11">
        <v>3.0</v>
      </c>
      <c r="G133" s="11">
        <v>3.0</v>
      </c>
      <c r="H133" s="11">
        <v>3.0</v>
      </c>
      <c r="I133" s="11">
        <v>3.0</v>
      </c>
    </row>
    <row r="134">
      <c r="A134" s="10" t="s">
        <v>6531</v>
      </c>
      <c r="B134" s="49" t="str">
        <f t="shared" si="1"/>
        <v>Aggravated Weapons Violation by a Convicted Felon</v>
      </c>
      <c r="C134" s="49" t="str">
        <f t="shared" si="2"/>
        <v>Aggravated Weapons Violation by a Convicted Felon; Violation of subsections (a)(4) through (a)(6) of K.S.A. 21-6301 or subsection (a)(5) of K.S.A. 21-6302 by a person who within 5 yrs preceding the violation, has been convicted of a nonperson felony or released from imprisonment for such nonperson felony</v>
      </c>
      <c r="D134" s="49" t="str">
        <f t="shared" si="3"/>
        <v>21-6305(a)(1)</v>
      </c>
      <c r="E134" s="11" t="s">
        <v>133</v>
      </c>
      <c r="F134" s="11">
        <v>3.0</v>
      </c>
      <c r="G134" s="11">
        <v>3.0</v>
      </c>
      <c r="H134" s="11">
        <v>3.0</v>
      </c>
      <c r="I134" s="11">
        <v>3.0</v>
      </c>
    </row>
    <row r="135">
      <c r="A135" s="10" t="s">
        <v>6532</v>
      </c>
      <c r="B135" s="49" t="str">
        <f t="shared" si="1"/>
        <v>Agricultural Chemical Act of 1947</v>
      </c>
      <c r="C135" s="49" t="str">
        <f t="shared" si="2"/>
        <v>Agricultural Chemical Act of 1947; Detach, alter, deface, or destroy, any label or labeling required; add substance to, or take substance from, an agricultural chemical which may defeat the purposes of this act</v>
      </c>
      <c r="D135" s="49" t="str">
        <f t="shared" si="3"/>
        <v>2-2203(b)(1)</v>
      </c>
      <c r="E135" s="11" t="s">
        <v>133</v>
      </c>
      <c r="F135" s="11">
        <v>3.0</v>
      </c>
      <c r="G135" s="11">
        <v>3.0</v>
      </c>
      <c r="H135" s="11">
        <v>3.0</v>
      </c>
      <c r="I135" s="11">
        <v>3.0</v>
      </c>
    </row>
    <row r="136">
      <c r="A136" s="10" t="s">
        <v>6533</v>
      </c>
      <c r="B136" s="49" t="str">
        <f t="shared" si="1"/>
        <v>Agricultural Chemical Act of 1947</v>
      </c>
      <c r="C136" s="49" t="str">
        <f t="shared" si="2"/>
        <v>Agricultural Chemical Act of 1947; Distribution/sale of any agricultural chemical which is adulterated or misbranded</v>
      </c>
      <c r="D136" s="49" t="str">
        <f t="shared" si="3"/>
        <v>2-2203(a)(7)</v>
      </c>
      <c r="E136" s="11" t="s">
        <v>133</v>
      </c>
      <c r="F136" s="11">
        <v>3.0</v>
      </c>
      <c r="G136" s="11">
        <v>3.0</v>
      </c>
      <c r="H136" s="11">
        <v>3.0</v>
      </c>
      <c r="I136" s="11">
        <v>3.0</v>
      </c>
    </row>
    <row r="137">
      <c r="A137" s="10" t="s">
        <v>6534</v>
      </c>
      <c r="B137" s="49" t="str">
        <f t="shared" si="1"/>
        <v>Agricultural Chemical Act of 1947</v>
      </c>
      <c r="C137" s="49" t="str">
        <f t="shared" si="2"/>
        <v>Agricultural Chemical Act of 1947; Distribution/sale of any agricultural chemical with different composition from what is represented in connection with its registration, unless authorized by the secretary</v>
      </c>
      <c r="D137" s="49" t="str">
        <f t="shared" si="3"/>
        <v>2-2203(a)(3)</v>
      </c>
      <c r="E137" s="11" t="s">
        <v>133</v>
      </c>
      <c r="F137" s="11">
        <v>3.0</v>
      </c>
      <c r="G137" s="11">
        <v>3.0</v>
      </c>
      <c r="H137" s="11">
        <v>3.0</v>
      </c>
      <c r="I137" s="11">
        <v>3.0</v>
      </c>
    </row>
    <row r="138">
      <c r="A138" s="10" t="s">
        <v>6535</v>
      </c>
      <c r="B138" s="49" t="str">
        <f t="shared" si="1"/>
        <v>Agricultural Chemical Act of 1947</v>
      </c>
      <c r="C138" s="49" t="str">
        <f t="shared" si="2"/>
        <v>Agricultural Chemical Act of 1947; Distribution/sale of any agricultural chemical, not in the registrant's or manufacturer's unbroken immediate container and properly labeled</v>
      </c>
      <c r="D138" s="49" t="str">
        <f t="shared" si="3"/>
        <v>2-2203(a)(4)</v>
      </c>
      <c r="E138" s="11" t="s">
        <v>133</v>
      </c>
      <c r="F138" s="11">
        <v>3.0</v>
      </c>
      <c r="G138" s="11">
        <v>3.0</v>
      </c>
      <c r="H138" s="11">
        <v>3.0</v>
      </c>
      <c r="I138" s="11">
        <v>3.0</v>
      </c>
    </row>
    <row r="139">
      <c r="A139" s="10" t="s">
        <v>6536</v>
      </c>
      <c r="B139" s="49" t="str">
        <f t="shared" si="1"/>
        <v>Agricultural Chemical Act of 1947</v>
      </c>
      <c r="C139" s="49" t="str">
        <f t="shared" si="2"/>
        <v>Agricultural Chemical Act of 1947; Distribution/sale of any improperly labeled agricultural chemical which contains any substance or substances in quantities highly toxic to man</v>
      </c>
      <c r="D139" s="49" t="str">
        <f t="shared" si="3"/>
        <v>2-2203(a)(5)</v>
      </c>
      <c r="E139" s="11" t="s">
        <v>133</v>
      </c>
      <c r="F139" s="11">
        <v>3.0</v>
      </c>
      <c r="G139" s="11">
        <v>3.0</v>
      </c>
      <c r="H139" s="11">
        <v>3.0</v>
      </c>
      <c r="I139" s="11">
        <v>3.0</v>
      </c>
    </row>
    <row r="140">
      <c r="A140" s="10" t="s">
        <v>6537</v>
      </c>
      <c r="B140" s="49" t="str">
        <f t="shared" si="1"/>
        <v>Agricultural Chemical Act of 1947</v>
      </c>
      <c r="C140" s="49" t="str">
        <f t="shared" si="2"/>
        <v>Agricultural Chemical Act of 1947; Distribution/sale of certain chemicals without distinctly coloring such as required</v>
      </c>
      <c r="D140" s="49" t="str">
        <f t="shared" si="3"/>
        <v>2-2203(a)(6)</v>
      </c>
      <c r="E140" s="11" t="s">
        <v>133</v>
      </c>
      <c r="F140" s="11">
        <v>3.0</v>
      </c>
      <c r="G140" s="11">
        <v>3.0</v>
      </c>
      <c r="H140" s="11">
        <v>3.0</v>
      </c>
      <c r="I140" s="11">
        <v>3.0</v>
      </c>
    </row>
    <row r="141">
      <c r="A141" s="10" t="s">
        <v>6538</v>
      </c>
      <c r="B141" s="49" t="str">
        <f t="shared" si="1"/>
        <v>Agricultural Chemical Act of 1947</v>
      </c>
      <c r="C141" s="49" t="str">
        <f t="shared" si="2"/>
        <v>Agricultural Chemical Act of 1947; Distribution/sale; agricultural chemical, with claims or directions differing in substance from representations made in its registration</v>
      </c>
      <c r="D141" s="49" t="str">
        <f t="shared" si="3"/>
        <v>2-2203(a)(2)</v>
      </c>
      <c r="E141" s="11" t="s">
        <v>133</v>
      </c>
      <c r="F141" s="11">
        <v>3.0</v>
      </c>
      <c r="G141" s="11">
        <v>3.0</v>
      </c>
      <c r="H141" s="11">
        <v>3.0</v>
      </c>
      <c r="I141" s="11">
        <v>3.0</v>
      </c>
    </row>
    <row r="142">
      <c r="A142" s="10" t="s">
        <v>6539</v>
      </c>
      <c r="B142" s="49" t="str">
        <f t="shared" si="1"/>
        <v>Agricultural Chemical Act of 1947</v>
      </c>
      <c r="C142" s="49" t="str">
        <f t="shared" si="2"/>
        <v>Agricultural Chemical Act of 1947; Distribution/sale; unregistered agricultural chemical</v>
      </c>
      <c r="D142" s="49" t="str">
        <f t="shared" si="3"/>
        <v>2-2203(a)(1)</v>
      </c>
      <c r="E142" s="11" t="s">
        <v>133</v>
      </c>
      <c r="F142" s="11">
        <v>3.0</v>
      </c>
      <c r="G142" s="11">
        <v>3.0</v>
      </c>
      <c r="H142" s="11">
        <v>3.0</v>
      </c>
      <c r="I142" s="11">
        <v>3.0</v>
      </c>
    </row>
    <row r="143">
      <c r="A143" s="10" t="s">
        <v>6540</v>
      </c>
      <c r="B143" s="49" t="str">
        <f t="shared" si="1"/>
        <v>Agricultural Chemical Act of 1947</v>
      </c>
      <c r="C143" s="49" t="str">
        <f t="shared" si="2"/>
        <v>Agricultural Chemical Act of 1947; Use for his or her own advantage or to reveal, other than to authorized persons, any information relative to formulas of products acquired by authority of K.S.A. 2-2204</v>
      </c>
      <c r="D143" s="49" t="str">
        <f t="shared" si="3"/>
        <v>2-2203(b)(2)</v>
      </c>
      <c r="E143" s="11" t="s">
        <v>133</v>
      </c>
      <c r="F143" s="11">
        <v>3.0</v>
      </c>
      <c r="G143" s="11">
        <v>3.0</v>
      </c>
      <c r="H143" s="11">
        <v>3.0</v>
      </c>
      <c r="I143" s="11">
        <v>3.0</v>
      </c>
    </row>
    <row r="144">
      <c r="A144" s="10" t="s">
        <v>6541</v>
      </c>
      <c r="B144" s="49" t="str">
        <f t="shared" si="1"/>
        <v>Agricultural Corporations</v>
      </c>
      <c r="C144" s="49" t="str">
        <f t="shared" si="2"/>
        <v>Agricultural Corporations; Knowingly submit false or materially misleading information or statements; fail or refuse to submit information and statements as required</v>
      </c>
      <c r="D144" s="49" t="str">
        <f t="shared" si="3"/>
        <v>17-5902(b)</v>
      </c>
      <c r="E144" s="11" t="s">
        <v>133</v>
      </c>
      <c r="F144" s="11">
        <v>3.0</v>
      </c>
      <c r="G144" s="11">
        <v>3.0</v>
      </c>
      <c r="H144" s="11">
        <v>3.0</v>
      </c>
      <c r="I144" s="11">
        <v>3.0</v>
      </c>
    </row>
    <row r="145">
      <c r="A145" s="10" t="s">
        <v>6542</v>
      </c>
      <c r="B145" s="49" t="str">
        <f t="shared" si="1"/>
        <v>Agricultural Liming Materials Act</v>
      </c>
      <c r="C145" s="49" t="str">
        <f t="shared" si="2"/>
        <v>Agricultural Liming Materials Act; Sale of agricultural liming material containing toxic materials in quantities injurious to plants or animals</v>
      </c>
      <c r="D145" s="49" t="str">
        <f t="shared" si="3"/>
        <v>2-2904(b)</v>
      </c>
      <c r="E145" s="11" t="s">
        <v>133</v>
      </c>
      <c r="F145" s="11">
        <v>3.0</v>
      </c>
      <c r="G145" s="11">
        <v>3.0</v>
      </c>
      <c r="H145" s="11">
        <v>3.0</v>
      </c>
      <c r="I145" s="11">
        <v>3.0</v>
      </c>
    </row>
    <row r="146">
      <c r="A146" s="10" t="s">
        <v>6543</v>
      </c>
      <c r="B146" s="49" t="str">
        <f t="shared" si="1"/>
        <v>Agricultural Liming Materials Act</v>
      </c>
      <c r="C146" s="49" t="str">
        <f t="shared" si="2"/>
        <v>Agricultural Liming Materials Act; Sale of noncompliant agricultural liming material</v>
      </c>
      <c r="D146" s="49" t="str">
        <f t="shared" si="3"/>
        <v>2-2904(a)</v>
      </c>
      <c r="E146" s="11" t="s">
        <v>133</v>
      </c>
      <c r="F146" s="11">
        <v>3.0</v>
      </c>
      <c r="G146" s="11">
        <v>3.0</v>
      </c>
      <c r="H146" s="11">
        <v>3.0</v>
      </c>
      <c r="I146" s="11">
        <v>3.0</v>
      </c>
    </row>
    <row r="147">
      <c r="A147" s="10" t="s">
        <v>6544</v>
      </c>
      <c r="B147" s="49" t="str">
        <f t="shared" si="1"/>
        <v>Agricultural Seeds</v>
      </c>
      <c r="C147" s="49" t="str">
        <f t="shared" si="2"/>
        <v>Agricultural Seeds; Sale/Distribution of; alter or deface any label so that the information is false or misleading or to mutilate any label</v>
      </c>
      <c r="D147" s="49" t="str">
        <f t="shared" si="3"/>
        <v>2-1421(b)(1)</v>
      </c>
      <c r="E147" s="11" t="s">
        <v>133</v>
      </c>
      <c r="F147" s="11">
        <v>3.0</v>
      </c>
      <c r="G147" s="11">
        <v>3.0</v>
      </c>
      <c r="H147" s="11">
        <v>3.0</v>
      </c>
      <c r="I147" s="11">
        <v>3.0</v>
      </c>
    </row>
    <row r="148">
      <c r="A148" s="10" t="s">
        <v>6545</v>
      </c>
      <c r="B148" s="49" t="str">
        <f t="shared" si="1"/>
        <v>Agricultural Seeds</v>
      </c>
      <c r="C148" s="49" t="str">
        <f t="shared" si="2"/>
        <v>Agricultural Seeds; Sale/Distribution of; certification of Seeds/Plant Parts; issue, make, use or circulate any certification, or evidence of certification, without authority and approval</v>
      </c>
      <c r="D148" s="49" t="str">
        <f t="shared" si="3"/>
        <v>-168709</v>
      </c>
      <c r="E148" s="11" t="s">
        <v>133</v>
      </c>
      <c r="F148" s="11">
        <v>3.0</v>
      </c>
      <c r="G148" s="11">
        <v>3.0</v>
      </c>
      <c r="H148" s="11">
        <v>3.0</v>
      </c>
      <c r="I148" s="11">
        <v>3.0</v>
      </c>
    </row>
    <row r="149">
      <c r="A149" s="10" t="s">
        <v>6546</v>
      </c>
      <c r="B149" s="49" t="str">
        <f t="shared" si="1"/>
        <v>Agricultural Seeds</v>
      </c>
      <c r="C149" s="49" t="str">
        <f t="shared" si="2"/>
        <v>Agricultural Seeds; Sale/Distribution of; disseminate any false or misleading advertisements concerning agricultural seed</v>
      </c>
      <c r="D149" s="49" t="str">
        <f t="shared" si="3"/>
        <v>2-1421(b)(2)</v>
      </c>
      <c r="E149" s="11" t="s">
        <v>133</v>
      </c>
      <c r="F149" s="11">
        <v>3.0</v>
      </c>
      <c r="G149" s="11">
        <v>3.0</v>
      </c>
      <c r="H149" s="11">
        <v>3.0</v>
      </c>
      <c r="I149" s="11">
        <v>3.0</v>
      </c>
    </row>
    <row r="150">
      <c r="A150" s="10" t="s">
        <v>6547</v>
      </c>
      <c r="B150" s="49" t="str">
        <f t="shared" si="1"/>
        <v>Agricultural Seeds</v>
      </c>
      <c r="C150" s="49" t="str">
        <f t="shared" si="2"/>
        <v>Agricultural Seeds; Sale/Distribution of; fail to comply with a stop sale order, or to move or otherwise handle or dispose of any quantity of seed held under a stop sale order, or a stop sale tag attached</v>
      </c>
      <c r="D150" s="49" t="str">
        <f t="shared" si="3"/>
        <v>2-1421(b)(5)</v>
      </c>
      <c r="E150" s="11" t="s">
        <v>133</v>
      </c>
      <c r="F150" s="11">
        <v>3.0</v>
      </c>
      <c r="G150" s="11">
        <v>3.0</v>
      </c>
      <c r="H150" s="11">
        <v>3.0</v>
      </c>
      <c r="I150" s="11">
        <v>3.0</v>
      </c>
    </row>
    <row r="151">
      <c r="A151" s="10" t="s">
        <v>6548</v>
      </c>
      <c r="B151" s="49" t="str">
        <f t="shared" si="1"/>
        <v>Agricultural Seeds</v>
      </c>
      <c r="C151" s="49" t="str">
        <f t="shared" si="2"/>
        <v>Agricultural Seeds; Sale/Distribution of; hinder or obstruct the secretary or an authorized representative of the secretary in the performance of official duties</v>
      </c>
      <c r="D151" s="49" t="str">
        <f t="shared" si="3"/>
        <v>2-1421(b)(4)</v>
      </c>
      <c r="E151" s="11" t="s">
        <v>133</v>
      </c>
      <c r="F151" s="11">
        <v>3.0</v>
      </c>
      <c r="G151" s="11">
        <v>3.0</v>
      </c>
      <c r="H151" s="11">
        <v>3.0</v>
      </c>
      <c r="I151" s="11">
        <v>3.0</v>
      </c>
    </row>
    <row r="152">
      <c r="A152" s="10" t="s">
        <v>6549</v>
      </c>
      <c r="B152" s="49" t="str">
        <f t="shared" si="1"/>
        <v>Agricultural Seeds</v>
      </c>
      <c r="C152" s="49" t="str">
        <f t="shared" si="2"/>
        <v>Agricultural Seeds; Sale/Distribution of; issue any statement, invoice or declaration as to the variety of any agricultural seed which is false or misleading</v>
      </c>
      <c r="D152" s="49" t="str">
        <f t="shared" si="3"/>
        <v>2-1421(b)(3)</v>
      </c>
      <c r="E152" s="11" t="s">
        <v>133</v>
      </c>
      <c r="F152" s="11">
        <v>3.0</v>
      </c>
      <c r="G152" s="11">
        <v>3.0</v>
      </c>
      <c r="H152" s="11">
        <v>3.0</v>
      </c>
      <c r="I152" s="11">
        <v>3.0</v>
      </c>
    </row>
    <row r="153">
      <c r="A153" s="10" t="s">
        <v>6550</v>
      </c>
      <c r="B153" s="49" t="str">
        <f t="shared" si="1"/>
        <v>Agricultural Seeds</v>
      </c>
      <c r="C153" s="49" t="str">
        <f t="shared" si="2"/>
        <v>Agricultural Seeds; Sale/Distribution of; sale, offer for sale or advertise ag. seeds by variety name not certified by an official seed certifying agency, if such certification is required</v>
      </c>
      <c r="D153" s="49" t="str">
        <f t="shared" si="3"/>
        <v>2-1421(a)(8)</v>
      </c>
      <c r="E153" s="11" t="s">
        <v>133</v>
      </c>
      <c r="F153" s="11">
        <v>3.0</v>
      </c>
      <c r="G153" s="11">
        <v>3.0</v>
      </c>
      <c r="H153" s="11">
        <v>3.0</v>
      </c>
      <c r="I153" s="11">
        <v>3.0</v>
      </c>
    </row>
    <row r="154">
      <c r="A154" s="10" t="s">
        <v>6551</v>
      </c>
      <c r="B154" s="49" t="str">
        <f t="shared" si="1"/>
        <v>Agricultural Seeds</v>
      </c>
      <c r="C154" s="49" t="str">
        <f t="shared" si="2"/>
        <v>Agricultural Seeds; Sale/Distribution of; sale, offer for sale or advertise ag. seeds containing more than 1% of weed seeds by weight, unless an exception herein applies</v>
      </c>
      <c r="D154" s="49" t="str">
        <f t="shared" si="3"/>
        <v>2-1421(a)(6)</v>
      </c>
      <c r="E154" s="11" t="s">
        <v>133</v>
      </c>
      <c r="F154" s="11">
        <v>3.0</v>
      </c>
      <c r="G154" s="11">
        <v>3.0</v>
      </c>
      <c r="H154" s="11">
        <v>3.0</v>
      </c>
      <c r="I154" s="11">
        <v>3.0</v>
      </c>
    </row>
    <row r="155">
      <c r="A155" s="10" t="s">
        <v>6552</v>
      </c>
      <c r="B155" s="49" t="str">
        <f t="shared" si="1"/>
        <v>Agricultural Seeds</v>
      </c>
      <c r="C155" s="49" t="str">
        <f t="shared" si="2"/>
        <v>Agricultural Seeds; Sale/Distribution of; Sale, offer for sale or advertise ag. seeds containing noxious weed seeds</v>
      </c>
      <c r="D155" s="49" t="str">
        <f t="shared" si="3"/>
        <v>2-1421(a)(4)</v>
      </c>
      <c r="E155" s="11" t="s">
        <v>133</v>
      </c>
      <c r="F155" s="11">
        <v>3.0</v>
      </c>
      <c r="G155" s="11">
        <v>3.0</v>
      </c>
      <c r="H155" s="11">
        <v>3.0</v>
      </c>
      <c r="I155" s="11">
        <v>3.0</v>
      </c>
    </row>
    <row r="156">
      <c r="A156" s="10" t="s">
        <v>6553</v>
      </c>
      <c r="B156" s="49" t="str">
        <f t="shared" si="1"/>
        <v>Agricultural Seeds</v>
      </c>
      <c r="C156" s="49" t="str">
        <f t="shared" si="2"/>
        <v>Agricultural Seeds; Sale/Distribution of; sale, offer for sale or advertise ag. seeds containing restricted weed seeds in excess of the quantity prescribed by subsection (k) of K.S.A. 2-1415</v>
      </c>
      <c r="D156" s="49" t="str">
        <f t="shared" si="3"/>
        <v>2-1421(a)(5)</v>
      </c>
      <c r="E156" s="11" t="s">
        <v>133</v>
      </c>
      <c r="F156" s="11">
        <v>3.0</v>
      </c>
      <c r="G156" s="11">
        <v>3.0</v>
      </c>
      <c r="H156" s="11">
        <v>3.0</v>
      </c>
      <c r="I156" s="11">
        <v>3.0</v>
      </c>
    </row>
    <row r="157">
      <c r="A157" s="10" t="s">
        <v>6554</v>
      </c>
      <c r="B157" s="49" t="str">
        <f t="shared" si="1"/>
        <v>Agricultural Seeds</v>
      </c>
      <c r="C157" s="49" t="str">
        <f t="shared" si="2"/>
        <v>Agricultural Seeds; Sale/Distribution of; Sale, offer for sale or advertise ag. seeds having a false, misleading or incomplete label</v>
      </c>
      <c r="D157" s="49" t="str">
        <f t="shared" si="3"/>
        <v>2-1421(a)(3)</v>
      </c>
      <c r="E157" s="11" t="s">
        <v>133</v>
      </c>
      <c r="F157" s="11">
        <v>3.0</v>
      </c>
      <c r="G157" s="11">
        <v>3.0</v>
      </c>
      <c r="H157" s="11">
        <v>3.0</v>
      </c>
      <c r="I157" s="11">
        <v>3.0</v>
      </c>
    </row>
    <row r="158">
      <c r="A158" s="10" t="s">
        <v>6555</v>
      </c>
      <c r="B158" s="49" t="str">
        <f t="shared" si="1"/>
        <v>Agricultural Seeds</v>
      </c>
      <c r="C158" s="49" t="str">
        <f t="shared" si="2"/>
        <v>Agricultural Seeds; Sale/Distribution of; sale, offer for sale or advertise ag. seeds labeled, advertised or represented to be certified or registered unless so certified or registered</v>
      </c>
      <c r="D158" s="49" t="str">
        <f t="shared" si="3"/>
        <v>2-1421(a)(7)</v>
      </c>
      <c r="E158" s="11" t="s">
        <v>133</v>
      </c>
      <c r="F158" s="11">
        <v>3.0</v>
      </c>
      <c r="G158" s="11">
        <v>3.0</v>
      </c>
      <c r="H158" s="11">
        <v>3.0</v>
      </c>
      <c r="I158" s="11">
        <v>3.0</v>
      </c>
    </row>
    <row r="159">
      <c r="A159" s="10" t="s">
        <v>6556</v>
      </c>
      <c r="B159" s="49" t="str">
        <f t="shared" si="1"/>
        <v>Agricultural Seeds</v>
      </c>
      <c r="C159" s="49" t="str">
        <f t="shared" si="2"/>
        <v>Agricultural Seeds; Sale/Distribution of; Sale, offer for sale or advertise ag. seeds not properly labeled</v>
      </c>
      <c r="D159" s="49" t="str">
        <f t="shared" si="3"/>
        <v>2-1421(a)(2)</v>
      </c>
      <c r="E159" s="11" t="s">
        <v>133</v>
      </c>
      <c r="F159" s="11">
        <v>3.0</v>
      </c>
      <c r="G159" s="11">
        <v>3.0</v>
      </c>
      <c r="H159" s="11">
        <v>3.0</v>
      </c>
      <c r="I159" s="11">
        <v>3.0</v>
      </c>
    </row>
    <row r="160">
      <c r="A160" s="10" t="s">
        <v>6557</v>
      </c>
      <c r="B160" s="49" t="str">
        <f t="shared" si="1"/>
        <v>Agricultural Seeds</v>
      </c>
      <c r="C160" s="49" t="str">
        <f t="shared" si="2"/>
        <v>Agricultural Seeds; Sale/Distribution of; sale, offer for sale or advertise ag. seeds without having registered with the secretary as required by K.S.A. 2-1421a</v>
      </c>
      <c r="D160" s="49" t="str">
        <f t="shared" si="3"/>
        <v>2-1421(a)(9)</v>
      </c>
      <c r="E160" s="11" t="s">
        <v>133</v>
      </c>
      <c r="F160" s="11">
        <v>3.0</v>
      </c>
      <c r="G160" s="11">
        <v>3.0</v>
      </c>
      <c r="H160" s="11">
        <v>3.0</v>
      </c>
      <c r="I160" s="11">
        <v>3.0</v>
      </c>
    </row>
    <row r="161">
      <c r="A161" s="10" t="s">
        <v>6558</v>
      </c>
      <c r="B161" s="49" t="str">
        <f t="shared" si="1"/>
        <v>Agricultural Seeds</v>
      </c>
      <c r="C161" s="49" t="str">
        <f t="shared" si="2"/>
        <v>Agricultural Seeds; Sale/Distribution of; sale, offer for sale or advertise ag. seeds without testing to determine percentage of germination completed within a 9 month period immediately prior</v>
      </c>
      <c r="D161" s="49" t="str">
        <f t="shared" si="3"/>
        <v>2-1421(a)(1)</v>
      </c>
      <c r="E161" s="11" t="s">
        <v>133</v>
      </c>
      <c r="F161" s="11">
        <v>3.0</v>
      </c>
      <c r="G161" s="11">
        <v>3.0</v>
      </c>
      <c r="H161" s="11">
        <v>3.0</v>
      </c>
      <c r="I161" s="11">
        <v>3.0</v>
      </c>
    </row>
    <row r="162">
      <c r="A162" s="10" t="s">
        <v>6559</v>
      </c>
      <c r="B162" s="49" t="str">
        <f t="shared" si="1"/>
        <v>Agricultural Seeds</v>
      </c>
      <c r="C162" s="49" t="str">
        <f t="shared" si="2"/>
        <v>Agricultural Seeds; Sale/Distribution of; sale/exchange of untested or unlabeled agricultural seeds</v>
      </c>
      <c r="D162" s="49" t="str">
        <f t="shared" si="3"/>
        <v>-176745</v>
      </c>
      <c r="E162" s="11" t="s">
        <v>133</v>
      </c>
      <c r="F162" s="11">
        <v>3.0</v>
      </c>
      <c r="G162" s="11">
        <v>3.0</v>
      </c>
      <c r="H162" s="11">
        <v>3.0</v>
      </c>
      <c r="I162" s="11">
        <v>3.0</v>
      </c>
    </row>
    <row r="163">
      <c r="A163" s="10" t="s">
        <v>6560</v>
      </c>
      <c r="B163" s="49" t="str">
        <f t="shared" si="1"/>
        <v>Agricultural Seeds</v>
      </c>
      <c r="C163" s="49" t="str">
        <f t="shared" si="2"/>
        <v>Agricultural Seeds; Sale/Distribution of; use the word "trace" as a substitute for any statement which is required</v>
      </c>
      <c r="D163" s="49" t="str">
        <f t="shared" si="3"/>
        <v>2-1421(b)(6)</v>
      </c>
      <c r="E163" s="11" t="s">
        <v>133</v>
      </c>
      <c r="F163" s="11">
        <v>3.0</v>
      </c>
      <c r="G163" s="11">
        <v>3.0</v>
      </c>
      <c r="H163" s="11">
        <v>3.0</v>
      </c>
      <c r="I163" s="11">
        <v>3.0</v>
      </c>
    </row>
    <row r="164">
      <c r="A164" s="10" t="s">
        <v>6561</v>
      </c>
      <c r="B164" s="49" t="str">
        <f t="shared" si="1"/>
        <v>Agricultural Seeds</v>
      </c>
      <c r="C164" s="49" t="str">
        <f t="shared" si="2"/>
        <v>Agricultural Seeds; Sale/Distribution of; use the word "type" in any labeling in connection with the name of any agricultural seed variety</v>
      </c>
      <c r="D164" s="49" t="str">
        <f t="shared" si="3"/>
        <v>2-1421(b)(7)</v>
      </c>
      <c r="E164" s="11" t="s">
        <v>133</v>
      </c>
      <c r="F164" s="11">
        <v>3.0</v>
      </c>
      <c r="G164" s="11">
        <v>3.0</v>
      </c>
      <c r="H164" s="11">
        <v>3.0</v>
      </c>
      <c r="I164" s="11">
        <v>3.0</v>
      </c>
    </row>
    <row r="165">
      <c r="A165" s="10" t="s">
        <v>6562</v>
      </c>
      <c r="B165" s="49" t="str">
        <f t="shared" si="1"/>
        <v>Aiding an Escape</v>
      </c>
      <c r="C165" s="49" t="str">
        <f t="shared" si="2"/>
        <v>Aiding an Escape; Assist another to escape from such lawful custody</v>
      </c>
      <c r="D165" s="49" t="str">
        <f t="shared" si="3"/>
        <v>21-5912(a)(1)</v>
      </c>
      <c r="E165" s="11" t="s">
        <v>133</v>
      </c>
      <c r="F165" s="11">
        <v>3.0</v>
      </c>
      <c r="G165" s="11">
        <v>3.0</v>
      </c>
      <c r="H165" s="11">
        <v>3.0</v>
      </c>
      <c r="I165" s="11">
        <v>3.0</v>
      </c>
    </row>
    <row r="166">
      <c r="A166" s="10" t="s">
        <v>6563</v>
      </c>
      <c r="B166" s="49" t="str">
        <f t="shared" si="1"/>
        <v>Aiding an Escape</v>
      </c>
      <c r="C166" s="49" t="str">
        <f t="shared" si="2"/>
        <v>Aiding an Escape; Assist another to escape from such lawful custody; KDOC employee/volunteer or KDOC contractor employee/volunteer</v>
      </c>
      <c r="D166" s="49" t="str">
        <f t="shared" si="3"/>
        <v>21-5912(a)(1)</v>
      </c>
      <c r="E166" s="11" t="s">
        <v>133</v>
      </c>
      <c r="F166" s="11">
        <v>3.0</v>
      </c>
      <c r="G166" s="11">
        <v>3.0</v>
      </c>
      <c r="H166" s="11">
        <v>3.0</v>
      </c>
      <c r="I166" s="11">
        <v>3.0</v>
      </c>
    </row>
    <row r="167">
      <c r="A167" s="10" t="s">
        <v>6564</v>
      </c>
      <c r="B167" s="49" t="str">
        <f t="shared" si="1"/>
        <v>Aiding an Escape</v>
      </c>
      <c r="C167" s="49" t="str">
        <f t="shared" si="2"/>
        <v>Aiding an Escape; Introduce into an institution any object or thing adapted or designed for use in an escape</v>
      </c>
      <c r="D167" s="49" t="str">
        <f t="shared" si="3"/>
        <v>21-5912(a)(3)</v>
      </c>
      <c r="E167" s="11" t="s">
        <v>133</v>
      </c>
      <c r="F167" s="11">
        <v>3.0</v>
      </c>
      <c r="G167" s="11">
        <v>3.0</v>
      </c>
      <c r="H167" s="11">
        <v>3.0</v>
      </c>
      <c r="I167" s="11">
        <v>3.0</v>
      </c>
    </row>
    <row r="168">
      <c r="A168" s="10" t="s">
        <v>6565</v>
      </c>
      <c r="B168" s="49" t="str">
        <f t="shared" si="1"/>
        <v>Aiding an Escape</v>
      </c>
      <c r="C168" s="49" t="str">
        <f t="shared" si="2"/>
        <v>Aiding an Escape; Introduce into an institution any object or thing adapted or designed for use in an escape; KDOC employee/volunteer or KDOC contractor employee/volunteer</v>
      </c>
      <c r="D168" s="49" t="str">
        <f t="shared" si="3"/>
        <v>21-5912(a)(3)</v>
      </c>
      <c r="E168" s="11" t="s">
        <v>133</v>
      </c>
      <c r="F168" s="11">
        <v>3.0</v>
      </c>
      <c r="G168" s="11">
        <v>3.0</v>
      </c>
      <c r="H168" s="11">
        <v>3.0</v>
      </c>
      <c r="I168" s="11">
        <v>3.0</v>
      </c>
    </row>
    <row r="169">
      <c r="A169" s="10" t="s">
        <v>6566</v>
      </c>
      <c r="B169" s="49" t="str">
        <f t="shared" si="1"/>
        <v>Aiding an Escape</v>
      </c>
      <c r="C169" s="49" t="str">
        <f t="shared" si="2"/>
        <v>Aiding an Escape; Supply to another any object or thing adapted or designed for use in making an escape</v>
      </c>
      <c r="D169" s="49" t="str">
        <f t="shared" si="3"/>
        <v>21-5912(a)(2)</v>
      </c>
      <c r="E169" s="11" t="s">
        <v>133</v>
      </c>
      <c r="F169" s="11">
        <v>3.0</v>
      </c>
      <c r="G169" s="11">
        <v>3.0</v>
      </c>
      <c r="H169" s="11">
        <v>3.0</v>
      </c>
      <c r="I169" s="11">
        <v>3.0</v>
      </c>
    </row>
    <row r="170">
      <c r="A170" s="10" t="s">
        <v>6567</v>
      </c>
      <c r="B170" s="49" t="str">
        <f t="shared" si="1"/>
        <v>Aiding an Escape</v>
      </c>
      <c r="C170" s="49" t="str">
        <f t="shared" si="2"/>
        <v>Aiding an Escape; Supply to another any object or thing adapted or designed for use in making an escape; KDOC employee/volunteer or KDOC contractor employee/volunteer</v>
      </c>
      <c r="D170" s="49" t="str">
        <f t="shared" si="3"/>
        <v>21-5912(a)(2)</v>
      </c>
      <c r="E170" s="11" t="s">
        <v>133</v>
      </c>
      <c r="F170" s="11">
        <v>3.0</v>
      </c>
      <c r="G170" s="11">
        <v>3.0</v>
      </c>
      <c r="H170" s="11">
        <v>3.0</v>
      </c>
      <c r="I170" s="11">
        <v>3.0</v>
      </c>
    </row>
    <row r="171">
      <c r="A171" s="10" t="s">
        <v>6568</v>
      </c>
      <c r="B171" s="49" t="str">
        <f t="shared" si="1"/>
        <v>AIDS &amp; Hepatitis B</v>
      </c>
      <c r="C171" s="49" t="str">
        <f t="shared" si="2"/>
        <v>AIDS &amp; Hepatitis B; Breach in confidentiality of Court ordered testing of certain offenders in custody of secretary of corrections or commissioner of juvenile justice authority</v>
      </c>
      <c r="D171" s="49" t="str">
        <f t="shared" si="3"/>
        <v>65-6017(e)</v>
      </c>
      <c r="E171" s="11" t="s">
        <v>133</v>
      </c>
      <c r="F171" s="11">
        <v>3.0</v>
      </c>
      <c r="G171" s="11">
        <v>3.0</v>
      </c>
      <c r="H171" s="11">
        <v>3.0</v>
      </c>
      <c r="I171" s="11">
        <v>3.0</v>
      </c>
    </row>
    <row r="172">
      <c r="A172" s="10" t="s">
        <v>6569</v>
      </c>
      <c r="B172" s="49" t="str">
        <f t="shared" si="1"/>
        <v>AIDS &amp; Hepatitis B</v>
      </c>
      <c r="C172" s="49" t="str">
        <f t="shared" si="2"/>
        <v>AIDS &amp; Hepatitis B; Disclosure of information made confidential and prohibited from disclosure under K.S.A. 65-6002 through 65-6004</v>
      </c>
      <c r="D172" s="49" t="str">
        <f t="shared" si="3"/>
        <v>65-6005</v>
      </c>
      <c r="E172" s="11" t="s">
        <v>133</v>
      </c>
      <c r="F172" s="11">
        <v>3.0</v>
      </c>
      <c r="G172" s="11">
        <v>3.0</v>
      </c>
      <c r="H172" s="11">
        <v>3.0</v>
      </c>
      <c r="I172" s="11">
        <v>3.0</v>
      </c>
    </row>
    <row r="173">
      <c r="A173" s="10" t="s">
        <v>6570</v>
      </c>
      <c r="B173" s="49" t="str">
        <f t="shared" si="1"/>
        <v>AIDS &amp; Hepatitis B</v>
      </c>
      <c r="C173" s="49" t="str">
        <f t="shared" si="2"/>
        <v>AIDS &amp; Hepatitis B; Unauthorized disclosure by corrections employees, of confidential information pertaining to infectious disease</v>
      </c>
      <c r="D173" s="49" t="str">
        <f t="shared" si="3"/>
        <v>65-6016(a)</v>
      </c>
      <c r="E173" s="11" t="s">
        <v>133</v>
      </c>
      <c r="F173" s="11">
        <v>3.0</v>
      </c>
      <c r="G173" s="11">
        <v>3.0</v>
      </c>
      <c r="H173" s="11">
        <v>3.0</v>
      </c>
      <c r="I173" s="11">
        <v>3.0</v>
      </c>
    </row>
    <row r="174">
      <c r="A174" s="10" t="s">
        <v>6571</v>
      </c>
      <c r="B174" s="49" t="str">
        <f t="shared" si="1"/>
        <v>AIDS &amp; Hepatitis B</v>
      </c>
      <c r="C174" s="49" t="str">
        <f t="shared" si="2"/>
        <v>AIDS &amp; Hepatitis B; Unauthorized disclosure of confidential results of tests or reports, or information therein, obtained under this act</v>
      </c>
      <c r="D174" s="49" t="str">
        <f t="shared" si="3"/>
        <v>65-6010(b)</v>
      </c>
      <c r="E174" s="11" t="s">
        <v>133</v>
      </c>
      <c r="F174" s="11">
        <v>3.0</v>
      </c>
      <c r="G174" s="11">
        <v>3.0</v>
      </c>
      <c r="H174" s="11">
        <v>3.0</v>
      </c>
      <c r="I174" s="11">
        <v>3.0</v>
      </c>
    </row>
    <row r="175">
      <c r="A175" s="10" t="s">
        <v>6572</v>
      </c>
      <c r="B175" s="49" t="str">
        <f t="shared" si="1"/>
        <v>AIDS &amp; Hepatitis B</v>
      </c>
      <c r="C175" s="49" t="str">
        <f t="shared" si="2"/>
        <v>AIDS &amp; Hepatitis B; Violate, refuse or neglect to obey any provision of K.S.A. 65-6001 through 65-6004</v>
      </c>
      <c r="D175" s="49" t="str">
        <f t="shared" si="3"/>
        <v>65-6005</v>
      </c>
      <c r="E175" s="11" t="s">
        <v>133</v>
      </c>
      <c r="F175" s="11">
        <v>3.0</v>
      </c>
      <c r="G175" s="11">
        <v>3.0</v>
      </c>
      <c r="H175" s="11">
        <v>3.0</v>
      </c>
      <c r="I175" s="11">
        <v>3.0</v>
      </c>
    </row>
    <row r="176">
      <c r="A176" s="10" t="s">
        <v>6573</v>
      </c>
      <c r="B176" s="49" t="str">
        <f t="shared" si="1"/>
        <v>Air Quality Act</v>
      </c>
      <c r="C176" s="49" t="str">
        <f t="shared" si="2"/>
        <v>Air Quality Act; Destroy, alter or conceal any record required to be maintained under this act</v>
      </c>
      <c r="D176" s="49" t="str">
        <f t="shared" si="3"/>
        <v>65-3025(h)</v>
      </c>
      <c r="E176" s="11" t="s">
        <v>133</v>
      </c>
      <c r="F176" s="11">
        <v>3.0</v>
      </c>
      <c r="G176" s="11">
        <v>3.0</v>
      </c>
      <c r="H176" s="11">
        <v>3.0</v>
      </c>
      <c r="I176" s="11">
        <v>3.0</v>
      </c>
    </row>
    <row r="177">
      <c r="A177" s="10" t="s">
        <v>6574</v>
      </c>
      <c r="B177" s="49" t="str">
        <f t="shared" si="1"/>
        <v>Air Quality Act</v>
      </c>
      <c r="C177" s="49" t="str">
        <f t="shared" si="2"/>
        <v>Air Quality Act; Knowingly violate an approval or permit issued under this act</v>
      </c>
      <c r="D177" s="49" t="str">
        <f t="shared" si="3"/>
        <v>65-3025(b)</v>
      </c>
      <c r="E177" s="11" t="s">
        <v>133</v>
      </c>
      <c r="F177" s="11">
        <v>3.0</v>
      </c>
      <c r="G177" s="11">
        <v>3.0</v>
      </c>
      <c r="H177" s="11">
        <v>3.0</v>
      </c>
      <c r="I177" s="11">
        <v>3.0</v>
      </c>
    </row>
    <row r="178">
      <c r="A178" s="10" t="s">
        <v>6575</v>
      </c>
      <c r="B178" s="49" t="str">
        <f t="shared" si="1"/>
        <v>Air Quality Act</v>
      </c>
      <c r="C178" s="49" t="str">
        <f t="shared" si="2"/>
        <v>Air Quality Act; Knowingly violate an order issued under this act</v>
      </c>
      <c r="D178" s="49" t="str">
        <f t="shared" si="3"/>
        <v>65-3025(a)</v>
      </c>
      <c r="E178" s="11" t="s">
        <v>133</v>
      </c>
      <c r="F178" s="11">
        <v>3.0</v>
      </c>
      <c r="G178" s="11">
        <v>3.0</v>
      </c>
      <c r="H178" s="11">
        <v>3.0</v>
      </c>
      <c r="I178" s="11">
        <v>3.0</v>
      </c>
    </row>
    <row r="179">
      <c r="A179" s="10" t="s">
        <v>6576</v>
      </c>
      <c r="B179" s="49" t="str">
        <f t="shared" si="1"/>
        <v>Air Quality Act</v>
      </c>
      <c r="C179" s="49" t="str">
        <f t="shared" si="2"/>
        <v>Air Quality Act; Knowingly violate any provision of K.S.A. 65-3025</v>
      </c>
      <c r="D179" s="49" t="str">
        <f t="shared" si="3"/>
        <v>65-3025(d)</v>
      </c>
      <c r="E179" s="11" t="s">
        <v>133</v>
      </c>
      <c r="F179" s="11">
        <v>3.0</v>
      </c>
      <c r="G179" s="11">
        <v>3.0</v>
      </c>
      <c r="H179" s="11">
        <v>3.0</v>
      </c>
      <c r="I179" s="11">
        <v>3.0</v>
      </c>
    </row>
    <row r="180">
      <c r="A180" s="10" t="s">
        <v>6577</v>
      </c>
      <c r="B180" s="49" t="str">
        <f t="shared" si="1"/>
        <v>Air Quality Act</v>
      </c>
      <c r="C180" s="49" t="str">
        <f t="shared" si="2"/>
        <v>Air Quality Act; Make any false material statement, representation or certification in any application, record, report, permit or other document filed, maintained or used for purposes of compliance with this act</v>
      </c>
      <c r="D180" s="49" t="str">
        <f t="shared" si="3"/>
        <v>65-3025(g)</v>
      </c>
      <c r="E180" s="11" t="s">
        <v>133</v>
      </c>
      <c r="F180" s="11">
        <v>3.0</v>
      </c>
      <c r="G180" s="11">
        <v>3.0</v>
      </c>
      <c r="H180" s="11">
        <v>3.0</v>
      </c>
      <c r="I180" s="11">
        <v>3.0</v>
      </c>
    </row>
    <row r="181">
      <c r="A181" s="10" t="s">
        <v>6578</v>
      </c>
      <c r="B181" s="49" t="str">
        <f t="shared" si="1"/>
        <v>Air Quality Act</v>
      </c>
      <c r="C181" s="49" t="str">
        <f t="shared" si="2"/>
        <v>Air Quality Act; Penalty for knowingly violating provisions of K.S.A. 65-3025</v>
      </c>
      <c r="D181" s="49" t="str">
        <f t="shared" si="3"/>
        <v>65-3026(b)</v>
      </c>
      <c r="E181" s="11" t="s">
        <v>133</v>
      </c>
      <c r="F181" s="11">
        <v>3.0</v>
      </c>
      <c r="G181" s="11">
        <v>3.0</v>
      </c>
      <c r="H181" s="11">
        <v>3.0</v>
      </c>
      <c r="I181" s="11">
        <v>3.0</v>
      </c>
    </row>
    <row r="182">
      <c r="A182" s="10" t="s">
        <v>6579</v>
      </c>
      <c r="B182" s="49" t="str">
        <f t="shared" si="1"/>
        <v>Air Quality Act</v>
      </c>
      <c r="C182" s="49" t="str">
        <f t="shared" si="2"/>
        <v>Air Quality Act; Refuse or hinder entry, inspection, sampling or examination or copying of records related to this act by an agent/employee of the secretary after identification of agent/employee and notice of the agent/employee purpose</v>
      </c>
      <c r="D182" s="49" t="str">
        <f t="shared" si="3"/>
        <v>65-3025(e)</v>
      </c>
      <c r="E182" s="11" t="s">
        <v>133</v>
      </c>
      <c r="F182" s="11">
        <v>3.0</v>
      </c>
      <c r="G182" s="11">
        <v>3.0</v>
      </c>
      <c r="H182" s="11">
        <v>3.0</v>
      </c>
      <c r="I182" s="11">
        <v>3.0</v>
      </c>
    </row>
    <row r="183">
      <c r="A183" s="10" t="s">
        <v>6580</v>
      </c>
      <c r="B183" s="49" t="str">
        <f t="shared" si="1"/>
        <v>Air Quality Act</v>
      </c>
      <c r="C183" s="49" t="str">
        <f t="shared" si="2"/>
        <v>Air Quality Act; Refuse or hinder entry, inspection, sampling or examination or copying of records related to this act by an identified agent/employee of the secretary after receiving notice of the agent/employee purpose</v>
      </c>
      <c r="D183" s="49" t="str">
        <f t="shared" si="3"/>
        <v>65-3025(e)</v>
      </c>
      <c r="E183" s="11" t="s">
        <v>133</v>
      </c>
      <c r="F183" s="11">
        <v>3.0</v>
      </c>
      <c r="G183" s="11">
        <v>3.0</v>
      </c>
      <c r="H183" s="11">
        <v>3.0</v>
      </c>
      <c r="I183" s="11">
        <v>3.0</v>
      </c>
    </row>
    <row r="184">
      <c r="A184" s="10" t="s">
        <v>6581</v>
      </c>
      <c r="B184" s="49" t="str">
        <f t="shared" si="1"/>
        <v>Air Quality Act</v>
      </c>
      <c r="C184" s="49" t="str">
        <f t="shared" si="2"/>
        <v>Air Quality Act; Unauthorized violation of this act or any rule and regulation promulgated under this act</v>
      </c>
      <c r="D184" s="49" t="str">
        <f t="shared" si="3"/>
        <v>65-3025(c)</v>
      </c>
      <c r="E184" s="11" t="s">
        <v>133</v>
      </c>
      <c r="F184" s="11">
        <v>3.0</v>
      </c>
      <c r="G184" s="11">
        <v>3.0</v>
      </c>
      <c r="H184" s="11">
        <v>3.0</v>
      </c>
      <c r="I184" s="11">
        <v>3.0</v>
      </c>
    </row>
    <row r="185">
      <c r="A185" s="10" t="s">
        <v>6582</v>
      </c>
      <c r="B185" s="49" t="str">
        <f t="shared" si="1"/>
        <v>Air Quality Act</v>
      </c>
      <c r="C185" s="49" t="str">
        <f t="shared" si="2"/>
        <v>Air Quality Act; Violate any of the provisions of subsections (a) through (f) of K.S.A. 65-3025</v>
      </c>
      <c r="D185" s="49" t="str">
        <f t="shared" si="3"/>
        <v>65-3025(d)</v>
      </c>
      <c r="E185" s="11" t="s">
        <v>133</v>
      </c>
      <c r="F185" s="11">
        <v>3.0</v>
      </c>
      <c r="G185" s="11">
        <v>3.0</v>
      </c>
      <c r="H185" s="11">
        <v>3.0</v>
      </c>
      <c r="I185" s="11">
        <v>3.0</v>
      </c>
    </row>
    <row r="186">
      <c r="A186" s="10" t="s">
        <v>6583</v>
      </c>
      <c r="B186" s="49" t="str">
        <f t="shared" si="1"/>
        <v>Air Quality Act</v>
      </c>
      <c r="C186" s="49" t="str">
        <f t="shared" si="2"/>
        <v>Air Quality Act; Violate of any provision of this act or any rule and regulation promulgated under this act, unless authorized by the secretary</v>
      </c>
      <c r="D186" s="49" t="str">
        <f t="shared" si="3"/>
        <v>65-3025(c)</v>
      </c>
      <c r="E186" s="11" t="s">
        <v>133</v>
      </c>
      <c r="F186" s="11">
        <v>3.0</v>
      </c>
      <c r="G186" s="11">
        <v>3.0</v>
      </c>
      <c r="H186" s="11">
        <v>3.0</v>
      </c>
      <c r="I186" s="11">
        <v>3.0</v>
      </c>
    </row>
    <row r="187">
      <c r="A187" s="10" t="s">
        <v>6584</v>
      </c>
      <c r="B187" s="49" t="str">
        <f t="shared" si="1"/>
        <v>Air Quality Act</v>
      </c>
      <c r="C187" s="49" t="str">
        <f t="shared" si="2"/>
        <v>Air Quality Act; Violation of any provision of an approval or permit issued under this act</v>
      </c>
      <c r="D187" s="49" t="str">
        <f t="shared" si="3"/>
        <v>65-3025(b)</v>
      </c>
      <c r="E187" s="11" t="s">
        <v>133</v>
      </c>
      <c r="F187" s="11">
        <v>3.0</v>
      </c>
      <c r="G187" s="11">
        <v>3.0</v>
      </c>
      <c r="H187" s="11">
        <v>3.0</v>
      </c>
      <c r="I187" s="11">
        <v>3.0</v>
      </c>
    </row>
    <row r="188">
      <c r="A188" s="10" t="s">
        <v>6585</v>
      </c>
      <c r="B188" s="49" t="str">
        <f t="shared" si="1"/>
        <v>Air Quality Act</v>
      </c>
      <c r="C188" s="49" t="str">
        <f t="shared" si="2"/>
        <v>Air Quality Act; Violation of any provision of an order issued under this act</v>
      </c>
      <c r="D188" s="49" t="str">
        <f t="shared" si="3"/>
        <v>65-3025(a)</v>
      </c>
      <c r="E188" s="11" t="s">
        <v>133</v>
      </c>
      <c r="F188" s="11">
        <v>3.0</v>
      </c>
      <c r="G188" s="11">
        <v>3.0</v>
      </c>
      <c r="H188" s="11">
        <v>3.0</v>
      </c>
      <c r="I188" s="11">
        <v>3.0</v>
      </c>
    </row>
    <row r="189">
      <c r="A189" s="10" t="s">
        <v>6586</v>
      </c>
      <c r="B189" s="49" t="str">
        <f t="shared" si="1"/>
        <v>Aircraft &amp; Airfields</v>
      </c>
      <c r="C189" s="49" t="str">
        <f t="shared" si="2"/>
        <v>Aircraft &amp; Airfields; Navigate any aircraft or use any aircraft for instruction in the art of navigation, without a pilot's certificate</v>
      </c>
      <c r="D189" s="49" t="str">
        <f t="shared" si="3"/>
        <v>3-202</v>
      </c>
      <c r="E189" s="11" t="s">
        <v>133</v>
      </c>
      <c r="F189" s="11">
        <v>3.0</v>
      </c>
      <c r="G189" s="11">
        <v>3.0</v>
      </c>
      <c r="H189" s="11">
        <v>3.0</v>
      </c>
      <c r="I189" s="11">
        <v>3.0</v>
      </c>
    </row>
    <row r="190">
      <c r="A190" s="10" t="s">
        <v>6587</v>
      </c>
      <c r="B190" s="49" t="str">
        <f t="shared" si="1"/>
        <v>Aircraft &amp; Airfields</v>
      </c>
      <c r="C190" s="49" t="str">
        <f t="shared" si="2"/>
        <v>Aircraft &amp; Airfields; Operation Under Influence of Alcohol</v>
      </c>
      <c r="D190" s="49" t="str">
        <f t="shared" si="3"/>
        <v>-327927</v>
      </c>
      <c r="E190" s="11" t="s">
        <v>133</v>
      </c>
      <c r="F190" s="11">
        <v>3.0</v>
      </c>
      <c r="G190" s="11">
        <v>3.0</v>
      </c>
      <c r="H190" s="11">
        <v>3.0</v>
      </c>
      <c r="I190" s="11">
        <v>3.0</v>
      </c>
    </row>
    <row r="191">
      <c r="A191" s="10" t="s">
        <v>6588</v>
      </c>
      <c r="B191" s="49" t="str">
        <f t="shared" si="1"/>
        <v>Aircraft &amp; Airfields</v>
      </c>
      <c r="C191" s="49" t="str">
        <f t="shared" si="2"/>
        <v>Aircraft &amp; Airfields; Operation Under Influence of Alcohol of Drugs; unreasonable refusal to consent to a chemical test of blood, breath or urine</v>
      </c>
      <c r="D191" s="49" t="str">
        <f t="shared" si="3"/>
        <v>-327196</v>
      </c>
      <c r="E191" s="11" t="s">
        <v>133</v>
      </c>
      <c r="F191" s="11">
        <v>3.0</v>
      </c>
      <c r="G191" s="11">
        <v>3.0</v>
      </c>
      <c r="H191" s="11">
        <v>3.0</v>
      </c>
      <c r="I191" s="11">
        <v>3.0</v>
      </c>
    </row>
    <row r="192">
      <c r="A192" s="10" t="s">
        <v>6589</v>
      </c>
      <c r="B192" s="49" t="str">
        <f t="shared" si="1"/>
        <v>Aircraft &amp; Airfields</v>
      </c>
      <c r="C192" s="49" t="str">
        <f t="shared" si="2"/>
        <v>Aircraft &amp; Airfields; Operation Under Influence of Drugs</v>
      </c>
      <c r="D192" s="49" t="str">
        <f t="shared" si="3"/>
        <v>-328292</v>
      </c>
      <c r="E192" s="11" t="s">
        <v>133</v>
      </c>
      <c r="F192" s="11">
        <v>3.0</v>
      </c>
      <c r="G192" s="11">
        <v>3.0</v>
      </c>
      <c r="H192" s="11">
        <v>3.0</v>
      </c>
      <c r="I192" s="11">
        <v>3.0</v>
      </c>
    </row>
    <row r="193">
      <c r="A193" s="10" t="s">
        <v>6590</v>
      </c>
      <c r="B193" s="49" t="str">
        <f t="shared" si="1"/>
        <v>Aircraft &amp; Airfields</v>
      </c>
      <c r="C193" s="49" t="str">
        <f t="shared" si="2"/>
        <v>Aircraft &amp; Airfields; Pilot to present license on demand</v>
      </c>
      <c r="D193" s="49" t="str">
        <f t="shared" si="3"/>
        <v>3-204</v>
      </c>
      <c r="E193" s="11" t="s">
        <v>133</v>
      </c>
      <c r="F193" s="11">
        <v>3.0</v>
      </c>
      <c r="G193" s="11">
        <v>3.0</v>
      </c>
      <c r="H193" s="11">
        <v>3.0</v>
      </c>
      <c r="I193" s="11">
        <v>3.0</v>
      </c>
    </row>
    <row r="194">
      <c r="A194" s="10" t="s">
        <v>6591</v>
      </c>
      <c r="B194" s="49" t="str">
        <f t="shared" si="1"/>
        <v>Aircraft &amp; Airfields</v>
      </c>
      <c r="C194" s="49" t="str">
        <f t="shared" si="2"/>
        <v>Aircraft &amp; Airfields; Violation of air commerce regulations</v>
      </c>
      <c r="D194" s="49" t="str">
        <f t="shared" si="3"/>
        <v>3-203</v>
      </c>
      <c r="E194" s="11" t="s">
        <v>133</v>
      </c>
      <c r="F194" s="11">
        <v>3.0</v>
      </c>
      <c r="G194" s="11">
        <v>3.0</v>
      </c>
      <c r="H194" s="11">
        <v>3.0</v>
      </c>
      <c r="I194" s="11">
        <v>3.0</v>
      </c>
    </row>
    <row r="195">
      <c r="A195" s="10" t="s">
        <v>6592</v>
      </c>
      <c r="B195" s="49" t="str">
        <f t="shared" si="1"/>
        <v>Alcohol Without Liquid Machine</v>
      </c>
      <c r="C195" s="49" t="str">
        <f t="shared" si="2"/>
        <v>Alcohol Without Liquid Machine; Knowingly purchase, sell or offer for sale an alcohol without liquid machine</v>
      </c>
      <c r="D195" s="49" t="str">
        <f t="shared" si="3"/>
        <v>21-6321(a)(2)</v>
      </c>
      <c r="E195" s="11" t="s">
        <v>133</v>
      </c>
      <c r="F195" s="11">
        <v>3.0</v>
      </c>
      <c r="G195" s="11">
        <v>3.0</v>
      </c>
      <c r="H195" s="11">
        <v>3.0</v>
      </c>
      <c r="I195" s="11">
        <v>3.0</v>
      </c>
    </row>
    <row r="196">
      <c r="A196" s="10" t="s">
        <v>6593</v>
      </c>
      <c r="B196" s="49" t="str">
        <f t="shared" si="1"/>
        <v>Alcohol Without Liquid Machine</v>
      </c>
      <c r="C196" s="49" t="str">
        <f t="shared" si="2"/>
        <v>Alcohol Without Liquid Machine; Knowingly use any alcohol without liquid machine to inhale alcohol vapor or otherwise introduce alcohol in any form into the human body</v>
      </c>
      <c r="D196" s="49" t="str">
        <f t="shared" si="3"/>
        <v>21-6321(a)(1)</v>
      </c>
      <c r="E196" s="11" t="s">
        <v>133</v>
      </c>
      <c r="F196" s="11">
        <v>3.0</v>
      </c>
      <c r="G196" s="11">
        <v>3.0</v>
      </c>
      <c r="H196" s="11">
        <v>3.0</v>
      </c>
      <c r="I196" s="11">
        <v>3.0</v>
      </c>
    </row>
    <row r="197">
      <c r="A197" s="10" t="s">
        <v>6594</v>
      </c>
      <c r="B197" s="49" t="str">
        <f t="shared" si="1"/>
        <v>Alcoholism &amp; Intoxication Treatment</v>
      </c>
      <c r="C197" s="49" t="str">
        <f t="shared" si="2"/>
        <v>Alcoholism &amp; Intoxication Treatment; Establish or operate a public or private treatment facility without a license</v>
      </c>
      <c r="D197" s="49" t="str">
        <f t="shared" si="3"/>
        <v>65-4012</v>
      </c>
      <c r="E197" s="11" t="s">
        <v>133</v>
      </c>
      <c r="F197" s="11">
        <v>3.0</v>
      </c>
      <c r="G197" s="11">
        <v>3.0</v>
      </c>
      <c r="H197" s="11">
        <v>3.0</v>
      </c>
      <c r="I197" s="11">
        <v>3.0</v>
      </c>
    </row>
    <row r="198">
      <c r="A198" s="10" t="s">
        <v>6595</v>
      </c>
      <c r="B198" s="49" t="str">
        <f t="shared" si="1"/>
        <v>Altering a Legislative Document</v>
      </c>
      <c r="C198" s="49" t="str">
        <f t="shared" si="2"/>
        <v>Altering a Legislative Document; Knowingly mutilate, alter or change, otherwise than in the regular course of legislation, any act, bill or resolution introduced into or acted upon by either or both houses of the legislature of this state either before or after such act, bill or resolution has been signed by the governor</v>
      </c>
      <c r="D198" s="49" t="str">
        <f t="shared" si="3"/>
        <v>21-5827(a)</v>
      </c>
      <c r="E198" s="11" t="s">
        <v>133</v>
      </c>
      <c r="F198" s="11">
        <v>3.0</v>
      </c>
      <c r="G198" s="11">
        <v>3.0</v>
      </c>
      <c r="H198" s="11">
        <v>3.0</v>
      </c>
      <c r="I198" s="11">
        <v>3.0</v>
      </c>
    </row>
    <row r="199">
      <c r="A199" s="10" t="s">
        <v>6596</v>
      </c>
      <c r="B199" s="49" t="str">
        <f t="shared" si="1"/>
        <v>Amusement Ride Inspection</v>
      </c>
      <c r="C199" s="49" t="str">
        <f t="shared" si="2"/>
        <v>Amusement Ride Inspection; Knowing violation of safety rules by owner or operator</v>
      </c>
      <c r="D199" s="49" t="str">
        <f t="shared" si="3"/>
        <v>44-1610(a)</v>
      </c>
      <c r="E199" s="11" t="s">
        <v>133</v>
      </c>
      <c r="F199" s="11">
        <v>3.0</v>
      </c>
      <c r="G199" s="11">
        <v>3.0</v>
      </c>
      <c r="H199" s="11">
        <v>3.0</v>
      </c>
      <c r="I199" s="11">
        <v>3.0</v>
      </c>
    </row>
    <row r="200">
      <c r="A200" s="10" t="s">
        <v>6597</v>
      </c>
      <c r="B200" s="49" t="str">
        <f t="shared" si="1"/>
        <v>Amusement Ride Inspection</v>
      </c>
      <c r="C200" s="49" t="str">
        <f t="shared" si="2"/>
        <v>Amusement Ride Inspection; Violate availability of inspection records and safety instructions</v>
      </c>
      <c r="D200" s="49" t="str">
        <f t="shared" si="3"/>
        <v>44-1610(b)</v>
      </c>
      <c r="E200" s="11" t="s">
        <v>133</v>
      </c>
      <c r="F200" s="11">
        <v>3.0</v>
      </c>
      <c r="G200" s="11">
        <v>3.0</v>
      </c>
      <c r="H200" s="11">
        <v>3.0</v>
      </c>
      <c r="I200" s="11">
        <v>3.0</v>
      </c>
    </row>
    <row r="201">
      <c r="A201" s="10" t="s">
        <v>6598</v>
      </c>
      <c r="B201" s="49" t="str">
        <f t="shared" si="1"/>
        <v>Animals &amp; Nuisances</v>
      </c>
      <c r="C201" s="49" t="str">
        <f t="shared" si="2"/>
        <v>Animals &amp; Nuisances; Sale of live bruecella abortus to unauthorized person</v>
      </c>
      <c r="D201" s="49" t="str">
        <f t="shared" si="3"/>
        <v>21-1213(a)(7)</v>
      </c>
      <c r="E201" s="11" t="s">
        <v>133</v>
      </c>
      <c r="F201" s="11">
        <v>3.0</v>
      </c>
      <c r="G201" s="11">
        <v>3.0</v>
      </c>
      <c r="H201" s="11">
        <v>3.0</v>
      </c>
      <c r="I201" s="11">
        <v>3.0</v>
      </c>
    </row>
    <row r="202">
      <c r="A202" s="10" t="s">
        <v>6599</v>
      </c>
      <c r="B202" s="49" t="str">
        <f t="shared" si="1"/>
        <v>Animals &amp; Nuisances</v>
      </c>
      <c r="C202" s="49" t="str">
        <f t="shared" si="2"/>
        <v>Animals &amp; Nuisances; Sale of live bruecella abortus to unauthorized vendor</v>
      </c>
      <c r="D202" s="49" t="str">
        <f t="shared" si="3"/>
        <v>21-1213(a)(8)</v>
      </c>
      <c r="E202" s="11" t="s">
        <v>133</v>
      </c>
      <c r="F202" s="11">
        <v>3.0</v>
      </c>
      <c r="G202" s="11">
        <v>3.0</v>
      </c>
      <c r="H202" s="11">
        <v>3.0</v>
      </c>
      <c r="I202" s="11">
        <v>3.0</v>
      </c>
    </row>
    <row r="203">
      <c r="A203" s="10" t="s">
        <v>6600</v>
      </c>
      <c r="B203" s="49" t="str">
        <f t="shared" si="1"/>
        <v>Animals &amp; Nuisances</v>
      </c>
      <c r="C203" s="49" t="str">
        <f t="shared" si="2"/>
        <v>Animals &amp; Nuisances; Sale of rabies vaccine to unauthorized person</v>
      </c>
      <c r="D203" s="49" t="str">
        <f t="shared" si="3"/>
        <v>21-1213(a)(4)</v>
      </c>
      <c r="E203" s="11" t="s">
        <v>133</v>
      </c>
      <c r="F203" s="11">
        <v>3.0</v>
      </c>
      <c r="G203" s="11">
        <v>3.0</v>
      </c>
      <c r="H203" s="11">
        <v>3.0</v>
      </c>
      <c r="I203" s="11">
        <v>3.0</v>
      </c>
    </row>
    <row r="204">
      <c r="A204" s="10" t="s">
        <v>6601</v>
      </c>
      <c r="B204" s="49" t="str">
        <f t="shared" si="1"/>
        <v>Animals &amp; Nuisances</v>
      </c>
      <c r="C204" s="49" t="str">
        <f t="shared" si="2"/>
        <v>Animals &amp; Nuisances; Sale of rabies vaccine to unauthorized vendor</v>
      </c>
      <c r="D204" s="49" t="str">
        <f t="shared" si="3"/>
        <v>21-1213(a)(5)</v>
      </c>
      <c r="E204" s="11" t="s">
        <v>133</v>
      </c>
      <c r="F204" s="11">
        <v>3.0</v>
      </c>
      <c r="G204" s="11">
        <v>3.0</v>
      </c>
      <c r="H204" s="11">
        <v>3.0</v>
      </c>
      <c r="I204" s="11">
        <v>3.0</v>
      </c>
    </row>
    <row r="205">
      <c r="A205" s="10" t="s">
        <v>6602</v>
      </c>
      <c r="B205" s="49" t="str">
        <f t="shared" si="1"/>
        <v>Animals &amp; Nuisances</v>
      </c>
      <c r="C205" s="49" t="str">
        <f t="shared" si="2"/>
        <v>Animals &amp; Nuisances; Unlawful injection of live bruecella abortus</v>
      </c>
      <c r="D205" s="49" t="str">
        <f t="shared" si="3"/>
        <v>21-1213(a)(1)</v>
      </c>
      <c r="E205" s="11" t="s">
        <v>133</v>
      </c>
      <c r="F205" s="11">
        <v>3.0</v>
      </c>
      <c r="G205" s="11">
        <v>3.0</v>
      </c>
      <c r="H205" s="11">
        <v>3.0</v>
      </c>
      <c r="I205" s="11">
        <v>3.0</v>
      </c>
    </row>
    <row r="206">
      <c r="A206" s="10" t="s">
        <v>6603</v>
      </c>
      <c r="B206" s="49" t="str">
        <f t="shared" si="1"/>
        <v>Animals &amp; Nuisances</v>
      </c>
      <c r="C206" s="49" t="str">
        <f t="shared" si="2"/>
        <v>Animals &amp; Nuisances; Unlawful injection of rabies vaccine</v>
      </c>
      <c r="D206" s="49" t="str">
        <f t="shared" si="3"/>
        <v>21-1213(a)(2)</v>
      </c>
      <c r="E206" s="11" t="s">
        <v>133</v>
      </c>
      <c r="F206" s="11">
        <v>3.0</v>
      </c>
      <c r="G206" s="11">
        <v>3.0</v>
      </c>
      <c r="H206" s="11">
        <v>3.0</v>
      </c>
      <c r="I206" s="11">
        <v>3.0</v>
      </c>
    </row>
    <row r="207">
      <c r="A207" s="10" t="s">
        <v>6604</v>
      </c>
      <c r="B207" s="49" t="str">
        <f t="shared" si="1"/>
        <v>Animals &amp; Nuisances</v>
      </c>
      <c r="C207" s="49" t="str">
        <f t="shared" si="2"/>
        <v>Animals &amp; Nuisances; Unlawful purchase of live bruecella abortus</v>
      </c>
      <c r="D207" s="49" t="str">
        <f t="shared" si="3"/>
        <v>21-1213(a)(6)</v>
      </c>
      <c r="E207" s="11" t="s">
        <v>133</v>
      </c>
      <c r="F207" s="11">
        <v>3.0</v>
      </c>
      <c r="G207" s="11">
        <v>3.0</v>
      </c>
      <c r="H207" s="11">
        <v>3.0</v>
      </c>
      <c r="I207" s="11">
        <v>3.0</v>
      </c>
    </row>
    <row r="208">
      <c r="A208" s="10" t="s">
        <v>6605</v>
      </c>
      <c r="B208" s="49" t="str">
        <f t="shared" si="1"/>
        <v>Animals &amp; Nuisances</v>
      </c>
      <c r="C208" s="49" t="str">
        <f t="shared" si="2"/>
        <v>Animals &amp; Nuisances; Unlawful purchase of rabies vaccine</v>
      </c>
      <c r="D208" s="49" t="str">
        <f t="shared" si="3"/>
        <v>21-1213(a)(3)</v>
      </c>
      <c r="E208" s="11" t="s">
        <v>133</v>
      </c>
      <c r="F208" s="11">
        <v>3.0</v>
      </c>
      <c r="G208" s="11">
        <v>3.0</v>
      </c>
      <c r="H208" s="11">
        <v>3.0</v>
      </c>
      <c r="I208" s="11">
        <v>3.0</v>
      </c>
    </row>
    <row r="209">
      <c r="A209" s="10" t="s">
        <v>6606</v>
      </c>
      <c r="B209" s="49" t="str">
        <f t="shared" si="1"/>
        <v>Antiquities Commission</v>
      </c>
      <c r="C209" s="49" t="str">
        <f t="shared" si="2"/>
        <v>Antiquities Commission; Penalties for violations of act</v>
      </c>
      <c r="D209" s="49" t="str">
        <f t="shared" si="3"/>
        <v>74-5408</v>
      </c>
      <c r="E209" s="11" t="s">
        <v>133</v>
      </c>
      <c r="F209" s="11">
        <v>3.0</v>
      </c>
      <c r="G209" s="11">
        <v>3.0</v>
      </c>
      <c r="H209" s="11">
        <v>3.0</v>
      </c>
      <c r="I209" s="11">
        <v>3.0</v>
      </c>
    </row>
    <row r="210">
      <c r="A210" s="10" t="s">
        <v>6607</v>
      </c>
      <c r="B210" s="49" t="str">
        <f t="shared" si="1"/>
        <v>Appearance Bonds</v>
      </c>
      <c r="C210" s="49" t="str">
        <f t="shared" si="2"/>
        <v>Appearance Bonds; Apply for replacement or new driver's license prior to return of original one which was posted as bond; punished in accordance with 8-2116; 1st offense</v>
      </c>
      <c r="D210" s="49" t="str">
        <f t="shared" si="3"/>
        <v>877283</v>
      </c>
      <c r="E210" s="11" t="s">
        <v>133</v>
      </c>
      <c r="F210" s="11">
        <v>3.0</v>
      </c>
      <c r="G210" s="11">
        <v>3.0</v>
      </c>
      <c r="H210" s="11">
        <v>3.0</v>
      </c>
      <c r="I210" s="11">
        <v>3.0</v>
      </c>
    </row>
    <row r="211">
      <c r="A211" s="10" t="s">
        <v>6608</v>
      </c>
      <c r="B211" s="49" t="str">
        <f t="shared" si="1"/>
        <v>Appearance Bonds</v>
      </c>
      <c r="C211" s="49" t="str">
        <f t="shared" si="2"/>
        <v>Appearance Bonds; Apply for replacement or new driver's license prior to return of original one which was posted as bond; punished in accordance with 8-2116; 2nd offense</v>
      </c>
      <c r="D211" s="49" t="str">
        <f t="shared" si="3"/>
        <v>877283</v>
      </c>
      <c r="E211" s="11" t="s">
        <v>133</v>
      </c>
      <c r="F211" s="11">
        <v>3.0</v>
      </c>
      <c r="G211" s="11">
        <v>3.0</v>
      </c>
      <c r="H211" s="11">
        <v>3.0</v>
      </c>
      <c r="I211" s="11">
        <v>3.0</v>
      </c>
    </row>
    <row r="212">
      <c r="A212" s="10" t="s">
        <v>6609</v>
      </c>
      <c r="B212" s="49" t="str">
        <f t="shared" si="1"/>
        <v>Appearance Bonds</v>
      </c>
      <c r="C212" s="49" t="str">
        <f t="shared" si="2"/>
        <v>Appearance Bonds; Apply for replacement or new driver's license prior to return of original one which was posted as bond; punished in accordance with 8-2116; 3rd offense</v>
      </c>
      <c r="D212" s="49" t="str">
        <f t="shared" si="3"/>
        <v>877283</v>
      </c>
      <c r="E212" s="11" t="s">
        <v>133</v>
      </c>
      <c r="F212" s="11">
        <v>3.0</v>
      </c>
      <c r="G212" s="11">
        <v>3.0</v>
      </c>
      <c r="H212" s="11">
        <v>3.0</v>
      </c>
      <c r="I212" s="11">
        <v>3.0</v>
      </c>
    </row>
    <row r="213">
      <c r="A213" s="10" t="s">
        <v>6610</v>
      </c>
      <c r="B213" s="49" t="str">
        <f t="shared" si="1"/>
        <v>Appraisal Management Company Registration Act</v>
      </c>
      <c r="C213" s="49" t="str">
        <f t="shared" si="2"/>
        <v>Appraisal Management Company Registration Act; Violation of the act or of any rule or regulation adopted thereto</v>
      </c>
      <c r="D213" s="49" t="str">
        <f t="shared" si="3"/>
        <v>58-4723(c)</v>
      </c>
      <c r="E213" s="11" t="s">
        <v>133</v>
      </c>
      <c r="F213" s="11">
        <v>3.0</v>
      </c>
      <c r="G213" s="11">
        <v>3.0</v>
      </c>
      <c r="H213" s="11">
        <v>3.0</v>
      </c>
      <c r="I213" s="11">
        <v>3.0</v>
      </c>
    </row>
    <row r="214">
      <c r="A214" s="10" t="s">
        <v>6611</v>
      </c>
      <c r="B214" s="49" t="str">
        <f t="shared" si="1"/>
        <v>Army &amp; Air National Guard</v>
      </c>
      <c r="C214" s="49" t="str">
        <f t="shared" si="2"/>
        <v>Army &amp; Air National Guard; Employer refusing to permit employee/member of Guard to attend drill or annual muster, or perform active service, when so ordered by the commander in chief</v>
      </c>
      <c r="D214" s="49" t="str">
        <f t="shared" si="3"/>
        <v>48-222</v>
      </c>
      <c r="E214" s="11" t="s">
        <v>133</v>
      </c>
      <c r="F214" s="11">
        <v>3.0</v>
      </c>
      <c r="G214" s="11">
        <v>3.0</v>
      </c>
      <c r="H214" s="11">
        <v>3.0</v>
      </c>
      <c r="I214" s="11">
        <v>3.0</v>
      </c>
    </row>
    <row r="215">
      <c r="A215" s="10" t="s">
        <v>6612</v>
      </c>
      <c r="B215" s="49" t="str">
        <f t="shared" si="1"/>
        <v>Army &amp; Air National Guard</v>
      </c>
      <c r="C215" s="49" t="str">
        <f t="shared" si="2"/>
        <v>Army &amp; Air National Guard; Penalty for unlawful acts affecting property</v>
      </c>
      <c r="D215" s="49" t="str">
        <f t="shared" si="3"/>
        <v>48-219</v>
      </c>
      <c r="E215" s="11" t="s">
        <v>133</v>
      </c>
      <c r="F215" s="11">
        <v>3.0</v>
      </c>
      <c r="G215" s="11">
        <v>3.0</v>
      </c>
      <c r="H215" s="11">
        <v>3.0</v>
      </c>
      <c r="I215" s="11">
        <v>3.0</v>
      </c>
    </row>
    <row r="216">
      <c r="A216" s="10" t="s">
        <v>6613</v>
      </c>
      <c r="B216" s="49" t="str">
        <f t="shared" si="1"/>
        <v>Arson Reporting</v>
      </c>
      <c r="C216" s="49" t="str">
        <f t="shared" si="2"/>
        <v>Arson Reporting; Fail to release information or evidence per K.S.A. 31-403(a) or to give notice and provide material developed from an inquiry into a fire loss as provided in K.S.A. 31-403(b)</v>
      </c>
      <c r="D216" s="49" t="str">
        <f t="shared" si="3"/>
        <v>31-406</v>
      </c>
      <c r="E216" s="11" t="s">
        <v>133</v>
      </c>
      <c r="F216" s="11">
        <v>3.0</v>
      </c>
      <c r="G216" s="11">
        <v>3.0</v>
      </c>
      <c r="H216" s="11">
        <v>3.0</v>
      </c>
      <c r="I216" s="11">
        <v>3.0</v>
      </c>
    </row>
    <row r="217">
      <c r="A217" s="10" t="s">
        <v>6614</v>
      </c>
      <c r="B217" s="49" t="str">
        <f t="shared" si="1"/>
        <v>Arson</v>
      </c>
      <c r="C217" s="49" t="str">
        <f t="shared" si="2"/>
        <v>Arson; Knowingly, by means of fire or explosive; damage a dwelling accidentally as a result of manufacture or attempted manufacture a controlled substance</v>
      </c>
      <c r="D217" s="49" t="str">
        <f t="shared" si="3"/>
        <v>21-5812(a)(2)</v>
      </c>
      <c r="E217" s="11" t="s">
        <v>133</v>
      </c>
      <c r="F217" s="11">
        <v>3.0</v>
      </c>
      <c r="G217" s="11">
        <v>3.0</v>
      </c>
      <c r="H217" s="11">
        <v>3.0</v>
      </c>
      <c r="I217" s="11">
        <v>3.0</v>
      </c>
    </row>
    <row r="218">
      <c r="A218" s="10" t="s">
        <v>6615</v>
      </c>
      <c r="B218" s="49" t="str">
        <f t="shared" si="1"/>
        <v>Arson</v>
      </c>
      <c r="C218" s="49" t="str">
        <f t="shared" si="2"/>
        <v>Arson; Knowingly, by means of fire or explosive; damage dwelling with intent to injure or defraud an insurer or lien holder</v>
      </c>
      <c r="D218" s="49" t="str">
        <f t="shared" si="3"/>
        <v>21-5812(a)(1)(B)</v>
      </c>
      <c r="E218" s="11" t="s">
        <v>133</v>
      </c>
      <c r="F218" s="11">
        <v>3.0</v>
      </c>
      <c r="G218" s="11">
        <v>3.0</v>
      </c>
      <c r="H218" s="11">
        <v>3.0</v>
      </c>
      <c r="I218" s="11">
        <v>3.0</v>
      </c>
    </row>
    <row r="219">
      <c r="A219" s="10" t="s">
        <v>6616</v>
      </c>
      <c r="B219" s="49" t="str">
        <f t="shared" si="1"/>
        <v>Arson</v>
      </c>
      <c r="C219" s="49" t="str">
        <f t="shared" si="2"/>
        <v>Arson; Knowingly, by means of fire or explosive; damage dwelling without consent of owner</v>
      </c>
      <c r="D219" s="49" t="str">
        <f t="shared" si="3"/>
        <v>21-5812(a)(1)(A)</v>
      </c>
      <c r="E219" s="11" t="s">
        <v>133</v>
      </c>
      <c r="F219" s="11">
        <v>3.0</v>
      </c>
      <c r="G219" s="11">
        <v>3.0</v>
      </c>
      <c r="H219" s="11">
        <v>3.0</v>
      </c>
      <c r="I219" s="11">
        <v>3.0</v>
      </c>
    </row>
    <row r="220">
      <c r="A220" s="10" t="s">
        <v>6617</v>
      </c>
      <c r="B220" s="49" t="str">
        <f t="shared" si="1"/>
        <v>Arson</v>
      </c>
      <c r="C220" s="49" t="str">
        <f t="shared" si="2"/>
        <v>Arson; Knowingly, by means of fire or explosive; damage structure not a dwelling accidentally as result of manufacture or attempted manufacture a controlled substance</v>
      </c>
      <c r="D220" s="49" t="str">
        <f t="shared" si="3"/>
        <v>21-5812(a)(3)</v>
      </c>
      <c r="E220" s="11" t="s">
        <v>133</v>
      </c>
      <c r="F220" s="11">
        <v>3.0</v>
      </c>
      <c r="G220" s="11">
        <v>3.0</v>
      </c>
      <c r="H220" s="11">
        <v>3.0</v>
      </c>
      <c r="I220" s="11">
        <v>3.0</v>
      </c>
    </row>
    <row r="221">
      <c r="A221" s="10" t="s">
        <v>6618</v>
      </c>
      <c r="B221" s="49" t="str">
        <f t="shared" si="1"/>
        <v>Arson</v>
      </c>
      <c r="C221" s="49" t="str">
        <f t="shared" si="2"/>
        <v>Arson; Knowingly, by means of fire or explosive; damage structure not a dwelling with intent to injure or defraud insurer or lien holder</v>
      </c>
      <c r="D221" s="49" t="str">
        <f t="shared" si="3"/>
        <v>21-5812(a)(1)(D)</v>
      </c>
      <c r="E221" s="11" t="s">
        <v>133</v>
      </c>
      <c r="F221" s="11">
        <v>3.0</v>
      </c>
      <c r="G221" s="11">
        <v>3.0</v>
      </c>
      <c r="H221" s="11">
        <v>3.0</v>
      </c>
      <c r="I221" s="11">
        <v>3.0</v>
      </c>
    </row>
    <row r="222">
      <c r="A222" s="10" t="s">
        <v>6619</v>
      </c>
      <c r="B222" s="49" t="str">
        <f t="shared" si="1"/>
        <v>Arson</v>
      </c>
      <c r="C222" s="49" t="str">
        <f t="shared" si="2"/>
        <v>Arson; Knowingly, by means of fire or explosive; damage structure not a dwelling without consent of owner</v>
      </c>
      <c r="D222" s="49" t="str">
        <f t="shared" si="3"/>
        <v>21-5812(a)(1)(C)</v>
      </c>
      <c r="E222" s="11" t="s">
        <v>133</v>
      </c>
      <c r="F222" s="11">
        <v>3.0</v>
      </c>
      <c r="G222" s="11">
        <v>3.0</v>
      </c>
      <c r="H222" s="11">
        <v>3.0</v>
      </c>
      <c r="I222" s="11">
        <v>3.0</v>
      </c>
    </row>
    <row r="223">
      <c r="A223" s="10" t="s">
        <v>6620</v>
      </c>
      <c r="B223" s="49" t="str">
        <f t="shared" si="1"/>
        <v>Asbestos Control</v>
      </c>
      <c r="C223" s="49" t="str">
        <f t="shared" si="2"/>
        <v>Asbestos Control; Asbestos projects; license required; 1st offense</v>
      </c>
      <c r="D223" s="49" t="str">
        <f t="shared" si="3"/>
        <v>65-5302(a)</v>
      </c>
      <c r="E223" s="11" t="s">
        <v>133</v>
      </c>
      <c r="F223" s="11">
        <v>3.0</v>
      </c>
      <c r="G223" s="11">
        <v>3.0</v>
      </c>
      <c r="H223" s="11">
        <v>3.0</v>
      </c>
      <c r="I223" s="11">
        <v>3.0</v>
      </c>
    </row>
    <row r="224">
      <c r="A224" s="10" t="s">
        <v>6621</v>
      </c>
      <c r="B224" s="49" t="str">
        <f t="shared" si="1"/>
        <v>Asbestos Control</v>
      </c>
      <c r="C224" s="49" t="str">
        <f t="shared" si="2"/>
        <v>Asbestos Control; Asbestos projects; license required; 2nd offense</v>
      </c>
      <c r="D224" s="49" t="str">
        <f t="shared" si="3"/>
        <v>65-5302(a)</v>
      </c>
      <c r="E224" s="11" t="s">
        <v>133</v>
      </c>
      <c r="F224" s="11">
        <v>3.0</v>
      </c>
      <c r="G224" s="11">
        <v>3.0</v>
      </c>
      <c r="H224" s="11">
        <v>3.0</v>
      </c>
      <c r="I224" s="11">
        <v>3.0</v>
      </c>
    </row>
    <row r="225">
      <c r="A225" s="10" t="s">
        <v>6622</v>
      </c>
      <c r="B225" s="49" t="str">
        <f t="shared" si="1"/>
        <v>Asbestos Control</v>
      </c>
      <c r="C225" s="49" t="str">
        <f t="shared" si="2"/>
        <v>Asbestos Control; Certification of individuals required; 1st offense</v>
      </c>
      <c r="D225" s="49" t="str">
        <f t="shared" si="3"/>
        <v>65-5308(a)</v>
      </c>
      <c r="E225" s="11" t="s">
        <v>133</v>
      </c>
      <c r="F225" s="11">
        <v>3.0</v>
      </c>
      <c r="G225" s="11">
        <v>3.0</v>
      </c>
      <c r="H225" s="11">
        <v>3.0</v>
      </c>
      <c r="I225" s="11">
        <v>3.0</v>
      </c>
    </row>
    <row r="226">
      <c r="A226" s="10" t="s">
        <v>6623</v>
      </c>
      <c r="B226" s="49" t="str">
        <f t="shared" si="1"/>
        <v>Asbestos Control</v>
      </c>
      <c r="C226" s="49" t="str">
        <f t="shared" si="2"/>
        <v>Asbestos Control; Certification of individuals required; 2nd offense</v>
      </c>
      <c r="D226" s="49" t="str">
        <f t="shared" si="3"/>
        <v>65-5308(a)</v>
      </c>
      <c r="E226" s="11" t="s">
        <v>133</v>
      </c>
      <c r="F226" s="11">
        <v>3.0</v>
      </c>
      <c r="G226" s="11">
        <v>3.0</v>
      </c>
      <c r="H226" s="11">
        <v>3.0</v>
      </c>
      <c r="I226" s="11">
        <v>3.0</v>
      </c>
    </row>
    <row r="227">
      <c r="A227" s="10" t="s">
        <v>6624</v>
      </c>
      <c r="B227" s="49" t="str">
        <f t="shared" si="1"/>
        <v>Asbestos Control</v>
      </c>
      <c r="C227" s="49" t="str">
        <f t="shared" si="2"/>
        <v>Asbestos Control; Records of asbestos projects required; contents; 1st offense</v>
      </c>
      <c r="D227" s="49" t="str">
        <f t="shared" si="3"/>
        <v>65-5307(a)</v>
      </c>
      <c r="E227" s="11" t="s">
        <v>133</v>
      </c>
      <c r="F227" s="11">
        <v>3.0</v>
      </c>
      <c r="G227" s="11">
        <v>3.0</v>
      </c>
      <c r="H227" s="11">
        <v>3.0</v>
      </c>
      <c r="I227" s="11">
        <v>3.0</v>
      </c>
    </row>
    <row r="228">
      <c r="A228" s="10" t="s">
        <v>6625</v>
      </c>
      <c r="B228" s="49" t="str">
        <f t="shared" si="1"/>
        <v>Asbestos Control</v>
      </c>
      <c r="C228" s="49" t="str">
        <f t="shared" si="2"/>
        <v>Asbestos Control; Records of asbestos projects required; contents; 2nd offense</v>
      </c>
      <c r="D228" s="49" t="str">
        <f t="shared" si="3"/>
        <v>65-5307(a)</v>
      </c>
      <c r="E228" s="11" t="s">
        <v>133</v>
      </c>
      <c r="F228" s="11">
        <v>3.0</v>
      </c>
      <c r="G228" s="11">
        <v>3.0</v>
      </c>
      <c r="H228" s="11">
        <v>3.0</v>
      </c>
      <c r="I228" s="11">
        <v>3.0</v>
      </c>
    </row>
    <row r="229">
      <c r="A229" s="10" t="s">
        <v>6626</v>
      </c>
      <c r="B229" s="49" t="str">
        <f t="shared" si="1"/>
        <v>Asbestos Control</v>
      </c>
      <c r="C229" s="49" t="str">
        <f t="shared" si="2"/>
        <v>Asbestos Control; Required notification of secretary of project date; 1st offense</v>
      </c>
      <c r="D229" s="49" t="str">
        <f t="shared" si="3"/>
        <v>65-5307(b)</v>
      </c>
      <c r="E229" s="11" t="s">
        <v>133</v>
      </c>
      <c r="F229" s="11">
        <v>3.0</v>
      </c>
      <c r="G229" s="11">
        <v>3.0</v>
      </c>
      <c r="H229" s="11">
        <v>3.0</v>
      </c>
      <c r="I229" s="11">
        <v>3.0</v>
      </c>
    </row>
    <row r="230">
      <c r="A230" s="10" t="s">
        <v>6627</v>
      </c>
      <c r="B230" s="49" t="str">
        <f t="shared" si="1"/>
        <v>Asbestos Control</v>
      </c>
      <c r="C230" s="49" t="str">
        <f t="shared" si="2"/>
        <v>Asbestos Control; Required notification of secretary of project date; 2nd offense</v>
      </c>
      <c r="D230" s="49" t="str">
        <f t="shared" si="3"/>
        <v>65-5307(b)</v>
      </c>
      <c r="E230" s="11" t="s">
        <v>133</v>
      </c>
      <c r="F230" s="11">
        <v>3.0</v>
      </c>
      <c r="G230" s="11">
        <v>3.0</v>
      </c>
      <c r="H230" s="11">
        <v>3.0</v>
      </c>
      <c r="I230" s="11">
        <v>3.0</v>
      </c>
    </row>
    <row r="231">
      <c r="A231" s="10" t="s">
        <v>6628</v>
      </c>
      <c r="B231" s="49" t="str">
        <f t="shared" si="1"/>
        <v>Assault of a Law Enforcement Officer</v>
      </c>
      <c r="C231" s="49" t="str">
        <f t="shared" si="2"/>
        <v>Assault of a Law Enforcement Officer; Uniformed or properly identified state, county or city law enforcement officer</v>
      </c>
      <c r="D231" s="49" t="str">
        <f t="shared" si="3"/>
        <v>21-5412(c)(1)</v>
      </c>
      <c r="E231" s="11" t="s">
        <v>133</v>
      </c>
      <c r="F231" s="11">
        <v>3.0</v>
      </c>
      <c r="G231" s="11">
        <v>3.0</v>
      </c>
      <c r="H231" s="11">
        <v>3.0</v>
      </c>
      <c r="I231" s="11">
        <v>3.0</v>
      </c>
    </row>
    <row r="232">
      <c r="A232" s="10" t="s">
        <v>6629</v>
      </c>
      <c r="B232" s="49" t="str">
        <f t="shared" si="1"/>
        <v>Assault of a Law Enforcement Officer</v>
      </c>
      <c r="C232" s="49" t="str">
        <f t="shared" si="2"/>
        <v>Assault of a Law Enforcement Officer; Uniformed or properly identified university or campus police officer</v>
      </c>
      <c r="D232" s="49" t="str">
        <f t="shared" si="3"/>
        <v>21-5412(c)(2)</v>
      </c>
      <c r="E232" s="11" t="s">
        <v>133</v>
      </c>
      <c r="F232" s="11">
        <v>3.0</v>
      </c>
      <c r="G232" s="11">
        <v>3.0</v>
      </c>
      <c r="H232" s="11">
        <v>3.0</v>
      </c>
      <c r="I232" s="11">
        <v>3.0</v>
      </c>
    </row>
    <row r="233">
      <c r="A233" s="10" t="s">
        <v>6630</v>
      </c>
      <c r="B233" s="49" t="str">
        <f t="shared" si="1"/>
        <v>Assault</v>
      </c>
      <c r="C233" s="49" t="str">
        <f t="shared" si="2"/>
        <v>Assault; Knowingly placing another person in reasonable apprehension of immediate bodily harm</v>
      </c>
      <c r="D233" s="49" t="str">
        <f t="shared" si="3"/>
        <v>21-5412(a)</v>
      </c>
      <c r="E233" s="11" t="s">
        <v>133</v>
      </c>
      <c r="F233" s="11">
        <v>3.0</v>
      </c>
      <c r="G233" s="11">
        <v>3.0</v>
      </c>
      <c r="H233" s="11">
        <v>3.0</v>
      </c>
      <c r="I233" s="11">
        <v>3.0</v>
      </c>
    </row>
    <row r="234">
      <c r="A234" s="10" t="s">
        <v>6631</v>
      </c>
      <c r="B234" s="49" t="str">
        <f t="shared" si="1"/>
        <v>Asset Seizure &amp; Forfeiture</v>
      </c>
      <c r="C234" s="49" t="str">
        <f t="shared" si="2"/>
        <v>Asset Seizure &amp; Forfeiture; Commencement of forfeiture proceedings; knowing failure of a trustee to comply with the provisions of this subsection</v>
      </c>
      <c r="D234" s="49" t="str">
        <f t="shared" si="3"/>
        <v>60-4109(b)(6)</v>
      </c>
      <c r="E234" s="11" t="s">
        <v>133</v>
      </c>
      <c r="F234" s="11">
        <v>3.0</v>
      </c>
      <c r="G234" s="11">
        <v>3.0</v>
      </c>
      <c r="H234" s="11">
        <v>3.0</v>
      </c>
      <c r="I234" s="11">
        <v>3.0</v>
      </c>
    </row>
    <row r="235">
      <c r="A235" s="10" t="s">
        <v>6632</v>
      </c>
      <c r="B235" s="49" t="str">
        <f t="shared" si="1"/>
        <v>Asset Seizure &amp; Forfeiture</v>
      </c>
      <c r="C235" s="49" t="str">
        <f t="shared" si="2"/>
        <v>Asset Seizure &amp; Forfeiture; Commencement of forfeiture proceedings; unauthorized disclosure of certain information by an employee of the seizing agency or the plaintiff's attorney</v>
      </c>
      <c r="D235" s="49" t="str">
        <f t="shared" si="3"/>
        <v>60-4109(b)(10)</v>
      </c>
      <c r="E235" s="11" t="s">
        <v>133</v>
      </c>
      <c r="F235" s="11">
        <v>3.0</v>
      </c>
      <c r="G235" s="11">
        <v>3.0</v>
      </c>
      <c r="H235" s="11">
        <v>3.0</v>
      </c>
      <c r="I235" s="11">
        <v>3.0</v>
      </c>
    </row>
    <row r="236">
      <c r="A236" s="10" t="s">
        <v>6633</v>
      </c>
      <c r="B236" s="49" t="str">
        <f t="shared" si="1"/>
        <v>Asset Seizure &amp; Forfeiture</v>
      </c>
      <c r="C236" s="49" t="str">
        <f t="shared" si="2"/>
        <v>Asset Seizure &amp; Forfeiture; Knowingly remove, conceal, withhold, destroy, or mutilate any subpoenaed documentary material with intent to avoid, evade, prevent, or obstruct compliance with subpoena</v>
      </c>
      <c r="D236" s="49" t="str">
        <f t="shared" si="3"/>
        <v>60-4118(d)</v>
      </c>
      <c r="E236" s="11" t="s">
        <v>133</v>
      </c>
      <c r="F236" s="11">
        <v>3.0</v>
      </c>
      <c r="G236" s="11">
        <v>3.0</v>
      </c>
      <c r="H236" s="11">
        <v>3.0</v>
      </c>
      <c r="I236" s="11">
        <v>3.0</v>
      </c>
    </row>
    <row r="237">
      <c r="A237" s="10" t="s">
        <v>6634</v>
      </c>
      <c r="B237" s="49" t="str">
        <f t="shared" si="1"/>
        <v>Assisting Suicide</v>
      </c>
      <c r="C237" s="49" t="str">
        <f t="shared" si="2"/>
        <v>Assisting Suicide; Intentionally participating in a physical act by which another commits or attempts to commit suicide</v>
      </c>
      <c r="D237" s="49" t="str">
        <f t="shared" si="3"/>
        <v>21-5407(a)(2)(B)</v>
      </c>
      <c r="E237" s="11" t="s">
        <v>133</v>
      </c>
      <c r="F237" s="11">
        <v>3.0</v>
      </c>
      <c r="G237" s="11">
        <v>3.0</v>
      </c>
      <c r="H237" s="11">
        <v>3.0</v>
      </c>
      <c r="I237" s="11">
        <v>3.0</v>
      </c>
    </row>
    <row r="238">
      <c r="A238" s="10" t="s">
        <v>6635</v>
      </c>
      <c r="B238" s="49" t="str">
        <f t="shared" si="1"/>
        <v>Assisting Suicide</v>
      </c>
      <c r="C238" s="49" t="str">
        <f t="shared" si="2"/>
        <v>Assisting Suicide; Intentionally providing the physical means by which another commits or attempts to commit suicide</v>
      </c>
      <c r="D238" s="49" t="str">
        <f t="shared" si="3"/>
        <v>21-5407(a)(2)(A)</v>
      </c>
      <c r="E238" s="11" t="s">
        <v>133</v>
      </c>
      <c r="F238" s="11">
        <v>3.0</v>
      </c>
      <c r="G238" s="11">
        <v>3.0</v>
      </c>
      <c r="H238" s="11">
        <v>3.0</v>
      </c>
      <c r="I238" s="11">
        <v>3.0</v>
      </c>
    </row>
    <row r="239">
      <c r="A239" s="10" t="s">
        <v>6636</v>
      </c>
      <c r="B239" s="49" t="str">
        <f t="shared" si="1"/>
        <v>Assisting Suicide</v>
      </c>
      <c r="C239" s="49" t="str">
        <f t="shared" si="2"/>
        <v>Assisting Suicide; Knowingly, by force or duress, causing another to commit or attempt to commit suicide</v>
      </c>
      <c r="D239" s="49" t="str">
        <f t="shared" si="3"/>
        <v>21-5407(a)(1)</v>
      </c>
      <c r="E239" s="11" t="s">
        <v>133</v>
      </c>
      <c r="F239" s="11">
        <v>3.0</v>
      </c>
      <c r="G239" s="11">
        <v>3.0</v>
      </c>
      <c r="H239" s="11">
        <v>3.0</v>
      </c>
      <c r="I239" s="11">
        <v>3.0</v>
      </c>
    </row>
    <row r="240">
      <c r="A240" s="10" t="s">
        <v>6637</v>
      </c>
      <c r="B240" s="49" t="str">
        <f t="shared" si="1"/>
        <v>Athlete Agent Act</v>
      </c>
      <c r="C240" s="49" t="str">
        <f t="shared" si="2"/>
        <v>Athlete Agent Act; Furnish anything of value to a student-athlete before the student-athlete enters into the agency contract, with the intent to induce a student-athlete to enter into an agency contract</v>
      </c>
      <c r="D240" s="49" t="str">
        <f t="shared" si="3"/>
        <v>44-1529(a)(1)(B)</v>
      </c>
      <c r="E240" s="11" t="s">
        <v>133</v>
      </c>
      <c r="F240" s="11">
        <v>3.0</v>
      </c>
      <c r="G240" s="11">
        <v>3.0</v>
      </c>
      <c r="H240" s="11">
        <v>3.0</v>
      </c>
      <c r="I240" s="11">
        <v>3.0</v>
      </c>
    </row>
    <row r="241">
      <c r="A241" s="10" t="s">
        <v>6638</v>
      </c>
      <c r="B241" s="49" t="str">
        <f t="shared" si="1"/>
        <v>Athlete Agent Act</v>
      </c>
      <c r="C241" s="49" t="str">
        <f t="shared" si="2"/>
        <v>Athlete Agent Act; Furnish anything of value to any individual other than the student-athlete or another registered athlete agent, with the intent to induce a student-athlete to enter into an agency contract</v>
      </c>
      <c r="D241" s="49" t="str">
        <f t="shared" si="3"/>
        <v>44-1529(a)(1)(C)</v>
      </c>
      <c r="E241" s="11" t="s">
        <v>133</v>
      </c>
      <c r="F241" s="11">
        <v>3.0</v>
      </c>
      <c r="G241" s="11">
        <v>3.0</v>
      </c>
      <c r="H241" s="11">
        <v>3.0</v>
      </c>
      <c r="I241" s="11">
        <v>3.0</v>
      </c>
    </row>
    <row r="242">
      <c r="A242" s="10" t="s">
        <v>6639</v>
      </c>
      <c r="B242" s="49" t="str">
        <f t="shared" si="1"/>
        <v>Athlete Agent Act</v>
      </c>
      <c r="C242" s="49" t="str">
        <f t="shared" si="2"/>
        <v>Athlete Agent Act; Give any materially false or misleading information or makes a materially false promise or representation, with the intent to induce a student-athlete to enter into an agency contract</v>
      </c>
      <c r="D242" s="49" t="str">
        <f t="shared" si="3"/>
        <v>44-1529(a)(1)(A)</v>
      </c>
      <c r="E242" s="11" t="s">
        <v>133</v>
      </c>
      <c r="F242" s="11">
        <v>3.0</v>
      </c>
      <c r="G242" s="11">
        <v>3.0</v>
      </c>
      <c r="H242" s="11">
        <v>3.0</v>
      </c>
      <c r="I242" s="11">
        <v>3.0</v>
      </c>
    </row>
    <row r="243">
      <c r="A243" s="10" t="s">
        <v>6640</v>
      </c>
      <c r="B243" s="49" t="str">
        <f t="shared" si="1"/>
        <v>Athlete Agent Act</v>
      </c>
      <c r="C243" s="49" t="str">
        <f t="shared" si="2"/>
        <v>Athlete Agent Act; Intentionally fail to notify a student-athlete before the student-athlete signs or otherwise authenticates an agency contract for a particular sport that the signing or authentication may make the student-athlete ineligible to participate as a student-athlete in that sport</v>
      </c>
      <c r="D243" s="49" t="str">
        <f t="shared" si="3"/>
        <v>44-1529(a)(2)(F)</v>
      </c>
      <c r="E243" s="11" t="s">
        <v>133</v>
      </c>
      <c r="F243" s="11">
        <v>3.0</v>
      </c>
      <c r="G243" s="11">
        <v>3.0</v>
      </c>
      <c r="H243" s="11">
        <v>3.0</v>
      </c>
      <c r="I243" s="11">
        <v>3.0</v>
      </c>
    </row>
    <row r="244">
      <c r="A244" s="10" t="s">
        <v>6641</v>
      </c>
      <c r="B244" s="49" t="str">
        <f t="shared" si="1"/>
        <v>Athlete Agent Act</v>
      </c>
      <c r="C244" s="49" t="str">
        <f t="shared" si="2"/>
        <v>Athlete Agent Act; Intentionally fail to register when required by K.S.A. 2005 Supp. 44-1519</v>
      </c>
      <c r="D244" s="49" t="str">
        <f t="shared" si="3"/>
        <v>44-1529(a)(2)(C)</v>
      </c>
      <c r="E244" s="11" t="s">
        <v>133</v>
      </c>
      <c r="F244" s="11">
        <v>3.0</v>
      </c>
      <c r="G244" s="11">
        <v>3.0</v>
      </c>
      <c r="H244" s="11">
        <v>3.0</v>
      </c>
      <c r="I244" s="11">
        <v>3.0</v>
      </c>
    </row>
    <row r="245">
      <c r="A245" s="10" t="s">
        <v>6642</v>
      </c>
      <c r="B245" s="49" t="str">
        <f t="shared" si="1"/>
        <v>Athlete Agent Act</v>
      </c>
      <c r="C245" s="49" t="str">
        <f t="shared" si="2"/>
        <v>Athlete Agent Act; Intentionally initiates contact with a student-athlete while not registered under this act</v>
      </c>
      <c r="D245" s="49" t="str">
        <f t="shared" si="3"/>
        <v>44-1529(a)(2)(A)</v>
      </c>
      <c r="E245" s="11" t="s">
        <v>133</v>
      </c>
      <c r="F245" s="11">
        <v>3.0</v>
      </c>
      <c r="G245" s="11">
        <v>3.0</v>
      </c>
      <c r="H245" s="11">
        <v>3.0</v>
      </c>
      <c r="I245" s="11">
        <v>3.0</v>
      </c>
    </row>
    <row r="246">
      <c r="A246" s="10" t="s">
        <v>6643</v>
      </c>
      <c r="B246" s="49" t="str">
        <f t="shared" si="1"/>
        <v>Athlete Agent Act</v>
      </c>
      <c r="C246" s="49" t="str">
        <f t="shared" si="2"/>
        <v>Athlete Agent Act; Intentionally predate or postdate an agency contract</v>
      </c>
      <c r="D246" s="49" t="str">
        <f t="shared" si="3"/>
        <v>44-1529(a)(2)(E)</v>
      </c>
      <c r="E246" s="11" t="s">
        <v>133</v>
      </c>
      <c r="F246" s="11">
        <v>3.0</v>
      </c>
      <c r="G246" s="11">
        <v>3.0</v>
      </c>
      <c r="H246" s="11">
        <v>3.0</v>
      </c>
      <c r="I246" s="11">
        <v>3.0</v>
      </c>
    </row>
    <row r="247">
      <c r="A247" s="10" t="s">
        <v>6644</v>
      </c>
      <c r="B247" s="49" t="str">
        <f t="shared" si="1"/>
        <v>Athlete Agent Act</v>
      </c>
      <c r="C247" s="49" t="str">
        <f t="shared" si="2"/>
        <v>Athlete Agent Act; Intentionally provide materially false or misleading information in an application for registration or renewal of registration</v>
      </c>
      <c r="D247" s="49" t="str">
        <f t="shared" si="3"/>
        <v>44-1529(a)(2)(D)</v>
      </c>
      <c r="E247" s="11" t="s">
        <v>133</v>
      </c>
      <c r="F247" s="11">
        <v>3.0</v>
      </c>
      <c r="G247" s="11">
        <v>3.0</v>
      </c>
      <c r="H247" s="11">
        <v>3.0</v>
      </c>
      <c r="I247" s="11">
        <v>3.0</v>
      </c>
    </row>
    <row r="248">
      <c r="A248" s="10" t="s">
        <v>6645</v>
      </c>
      <c r="B248" s="49" t="str">
        <f t="shared" si="1"/>
        <v>Athlete Agent Act</v>
      </c>
      <c r="C248" s="49" t="str">
        <f t="shared" si="2"/>
        <v>Athlete Agent Act; Intentionally refuse or fail to retain or permit inspection of the records required to be retained by K.S.A. 2005 Supp. 44-1528</v>
      </c>
      <c r="D248" s="49" t="str">
        <f t="shared" si="3"/>
        <v>44-1529(a)(2)(B)</v>
      </c>
      <c r="E248" s="11" t="s">
        <v>133</v>
      </c>
      <c r="F248" s="11">
        <v>3.0</v>
      </c>
      <c r="G248" s="11">
        <v>3.0</v>
      </c>
      <c r="H248" s="11">
        <v>3.0</v>
      </c>
      <c r="I248" s="11">
        <v>3.0</v>
      </c>
    </row>
    <row r="249">
      <c r="A249" s="10" t="s">
        <v>6646</v>
      </c>
      <c r="B249" s="49" t="str">
        <f t="shared" si="1"/>
        <v>Athletic Trainers Licensure Act</v>
      </c>
      <c r="C249" s="49" t="str">
        <f t="shared" si="2"/>
        <v>Athletic Trainers Licensure Act; Unlawful representation of oneself as an athletic trainer</v>
      </c>
      <c r="D249" s="49" t="str">
        <f t="shared" si="3"/>
        <v>65-6903(a)</v>
      </c>
      <c r="E249" s="11" t="s">
        <v>133</v>
      </c>
      <c r="F249" s="11">
        <v>3.0</v>
      </c>
      <c r="G249" s="11">
        <v>3.0</v>
      </c>
      <c r="H249" s="11">
        <v>3.0</v>
      </c>
      <c r="I249" s="11">
        <v>3.0</v>
      </c>
    </row>
    <row r="250">
      <c r="A250" s="10" t="s">
        <v>6647</v>
      </c>
      <c r="B250" s="49" t="str">
        <f t="shared" si="1"/>
        <v>Automobile Injury Reparations Act</v>
      </c>
      <c r="C250" s="49" t="str">
        <f t="shared" si="2"/>
        <v>Automobile Injury Reparations Act; Failure to display evidence of financial security upon demand by law enforcement; 1st violation</v>
      </c>
      <c r="D250" s="49" t="str">
        <f t="shared" si="3"/>
        <v>40-3104(d)</v>
      </c>
      <c r="E250" s="11" t="s">
        <v>133</v>
      </c>
      <c r="F250" s="11">
        <v>3.0</v>
      </c>
      <c r="G250" s="11">
        <v>3.0</v>
      </c>
      <c r="H250" s="11">
        <v>3.0</v>
      </c>
      <c r="I250" s="11">
        <v>3.0</v>
      </c>
    </row>
    <row r="251">
      <c r="A251" s="10" t="s">
        <v>6648</v>
      </c>
      <c r="B251" s="49" t="str">
        <f t="shared" si="1"/>
        <v>Automobile Injury Reparations Act</v>
      </c>
      <c r="C251" s="49" t="str">
        <f t="shared" si="2"/>
        <v>Automobile Injury Reparations Act; Failure to display evidence of financial security upon demand by law enforcement; 2nd or subs. conviction within 3 yrs</v>
      </c>
      <c r="D251" s="49" t="str">
        <f t="shared" si="3"/>
        <v>40-3104(d)</v>
      </c>
      <c r="E251" s="11" t="s">
        <v>133</v>
      </c>
      <c r="F251" s="11">
        <v>3.0</v>
      </c>
      <c r="G251" s="11">
        <v>3.0</v>
      </c>
      <c r="H251" s="11">
        <v>3.0</v>
      </c>
      <c r="I251" s="11">
        <v>3.0</v>
      </c>
    </row>
    <row r="252">
      <c r="A252" s="10" t="s">
        <v>6649</v>
      </c>
      <c r="B252" s="49" t="str">
        <f t="shared" si="1"/>
        <v>Automobile Injury Reparations Act</v>
      </c>
      <c r="C252" s="49" t="str">
        <f t="shared" si="2"/>
        <v>Automobile Injury Reparations Act; Failure to maintain continuous financial security</v>
      </c>
      <c r="D252" s="49" t="str">
        <f t="shared" si="3"/>
        <v>40-3118(b)</v>
      </c>
      <c r="E252" s="11" t="s">
        <v>133</v>
      </c>
      <c r="F252" s="11">
        <v>3.0</v>
      </c>
      <c r="G252" s="11">
        <v>3.0</v>
      </c>
      <c r="H252" s="11">
        <v>3.0</v>
      </c>
      <c r="I252" s="11">
        <v>3.0</v>
      </c>
    </row>
    <row r="253">
      <c r="A253" s="10" t="s">
        <v>6650</v>
      </c>
      <c r="B253" s="49" t="str">
        <f t="shared" si="1"/>
        <v>Automobile Injury Reparations Act</v>
      </c>
      <c r="C253" s="49" t="str">
        <f t="shared" si="2"/>
        <v>Automobile Injury Reparations Act; Financial security for motor vehicle registration; false certification</v>
      </c>
      <c r="D253" s="49" t="str">
        <f t="shared" si="3"/>
        <v>40-3118(i)</v>
      </c>
      <c r="E253" s="11" t="s">
        <v>133</v>
      </c>
      <c r="F253" s="11">
        <v>3.0</v>
      </c>
      <c r="G253" s="11">
        <v>3.0</v>
      </c>
      <c r="H253" s="11">
        <v>3.0</v>
      </c>
      <c r="I253" s="11">
        <v>3.0</v>
      </c>
    </row>
    <row r="254">
      <c r="A254" s="10" t="s">
        <v>6651</v>
      </c>
      <c r="B254" s="49" t="str">
        <f t="shared" si="1"/>
        <v>Automobile Injury Reparations Act</v>
      </c>
      <c r="C254" s="49" t="str">
        <f t="shared" si="2"/>
        <v>Automobile Injury Reparations Act; Knowingly drive an uninsured motor vehicle upon a highway or upon property open to use by the public; 1st violation</v>
      </c>
      <c r="D254" s="49" t="str">
        <f t="shared" si="3"/>
        <v>40-3104(c)</v>
      </c>
      <c r="E254" s="11" t="s">
        <v>133</v>
      </c>
      <c r="F254" s="11">
        <v>3.0</v>
      </c>
      <c r="G254" s="11">
        <v>3.0</v>
      </c>
      <c r="H254" s="11">
        <v>3.0</v>
      </c>
      <c r="I254" s="11">
        <v>3.0</v>
      </c>
    </row>
    <row r="255">
      <c r="A255" s="10" t="s">
        <v>6652</v>
      </c>
      <c r="B255" s="49" t="str">
        <f t="shared" si="1"/>
        <v>Automobile Injury Reparations Act</v>
      </c>
      <c r="C255" s="49" t="str">
        <f t="shared" si="2"/>
        <v>Automobile Injury Reparations Act; Knowingly drive an uninsured motor vehicle upon a highway or upon property open to use by the public; 2nd or subs. conviction within 3 yrs</v>
      </c>
      <c r="D255" s="49" t="str">
        <f t="shared" si="3"/>
        <v>40-3104(c)</v>
      </c>
      <c r="E255" s="11" t="s">
        <v>133</v>
      </c>
      <c r="F255" s="11">
        <v>3.0</v>
      </c>
      <c r="G255" s="11">
        <v>3.0</v>
      </c>
      <c r="H255" s="11">
        <v>3.0</v>
      </c>
      <c r="I255" s="11">
        <v>3.0</v>
      </c>
    </row>
    <row r="256">
      <c r="A256" s="10" t="s">
        <v>6653</v>
      </c>
      <c r="B256" s="49" t="str">
        <f t="shared" si="1"/>
        <v>Automobile Injury Reparations Act</v>
      </c>
      <c r="C256" s="49" t="str">
        <f t="shared" si="2"/>
        <v>Automobile Injury Reparations Act; Motor vehicle liability insurance coverage required</v>
      </c>
      <c r="D256" s="49" t="str">
        <f t="shared" si="3"/>
        <v>40-3104(a)</v>
      </c>
      <c r="E256" s="11" t="s">
        <v>133</v>
      </c>
      <c r="F256" s="11">
        <v>3.0</v>
      </c>
      <c r="G256" s="11">
        <v>3.0</v>
      </c>
      <c r="H256" s="11">
        <v>3.0</v>
      </c>
      <c r="I256" s="11">
        <v>3.0</v>
      </c>
    </row>
    <row r="257">
      <c r="A257" s="10" t="s">
        <v>6654</v>
      </c>
      <c r="B257" s="49" t="str">
        <f t="shared" si="1"/>
        <v>Automobile Injury Reparations Act</v>
      </c>
      <c r="C257" s="49" t="str">
        <f t="shared" si="2"/>
        <v>Automobile Injury Reparations Act; Motor vehicle liability insurance coverage required; 2nd or subs. conviction within 3 yrs</v>
      </c>
      <c r="D257" s="49" t="str">
        <f t="shared" si="3"/>
        <v>40-3104(a)</v>
      </c>
      <c r="E257" s="11" t="s">
        <v>133</v>
      </c>
      <c r="F257" s="11">
        <v>3.0</v>
      </c>
      <c r="G257" s="11">
        <v>3.0</v>
      </c>
      <c r="H257" s="11">
        <v>3.0</v>
      </c>
      <c r="I257" s="11">
        <v>3.0</v>
      </c>
    </row>
    <row r="258">
      <c r="A258" s="10" t="s">
        <v>6655</v>
      </c>
      <c r="B258" s="49" t="str">
        <f t="shared" si="1"/>
        <v>Automobile Injury Reparations Act</v>
      </c>
      <c r="C258" s="49" t="str">
        <f t="shared" si="2"/>
        <v>Automobile Injury Reparations Act; Permitting uninsured motor vehicle to be operated upon a highway or upon property open to use by the public; 1st violation</v>
      </c>
      <c r="D258" s="49" t="str">
        <f t="shared" si="3"/>
        <v>40-3104(b)</v>
      </c>
      <c r="E258" s="11" t="s">
        <v>133</v>
      </c>
      <c r="F258" s="11">
        <v>3.0</v>
      </c>
      <c r="G258" s="11">
        <v>3.0</v>
      </c>
      <c r="H258" s="11">
        <v>3.0</v>
      </c>
      <c r="I258" s="11">
        <v>3.0</v>
      </c>
    </row>
    <row r="259">
      <c r="A259" s="10" t="s">
        <v>6656</v>
      </c>
      <c r="B259" s="49" t="str">
        <f t="shared" si="1"/>
        <v>Automobile Injury Reparations Act</v>
      </c>
      <c r="C259" s="49" t="str">
        <f t="shared" si="2"/>
        <v>Automobile Injury Reparations Act; Permitting uninsured motor vehicle to be operated upon a highway or upon property open to use by the public; 2nd or subs. conviction within 3 yrs</v>
      </c>
      <c r="D259" s="49" t="str">
        <f t="shared" si="3"/>
        <v>40-3104(b)</v>
      </c>
      <c r="E259" s="11" t="s">
        <v>133</v>
      </c>
      <c r="F259" s="11">
        <v>3.0</v>
      </c>
      <c r="G259" s="11">
        <v>3.0</v>
      </c>
      <c r="H259" s="11">
        <v>3.0</v>
      </c>
      <c r="I259" s="11">
        <v>3.0</v>
      </c>
    </row>
    <row r="260">
      <c r="A260" s="10" t="s">
        <v>6657</v>
      </c>
      <c r="B260" s="49" t="str">
        <f t="shared" si="1"/>
        <v>Automobile Master Key Violation</v>
      </c>
      <c r="C260" s="49" t="str">
        <f t="shared" si="2"/>
        <v>Automobile Master Key Violation; Selling or offering to sell a motor vehicle master key knowingly designed to fit the ignition switch of more than 1 motor vehicle to an unauthorized person</v>
      </c>
      <c r="D260" s="49" t="str">
        <f t="shared" si="3"/>
        <v>21-5833(a)(1)</v>
      </c>
      <c r="E260" s="11" t="s">
        <v>133</v>
      </c>
      <c r="F260" s="11">
        <v>3.0</v>
      </c>
      <c r="G260" s="11">
        <v>3.0</v>
      </c>
      <c r="H260" s="11">
        <v>3.0</v>
      </c>
      <c r="I260" s="11">
        <v>3.0</v>
      </c>
    </row>
    <row r="261">
      <c r="A261" s="10" t="s">
        <v>6658</v>
      </c>
      <c r="B261" s="49" t="str">
        <f t="shared" si="1"/>
        <v>Automobile Master Key Violation</v>
      </c>
      <c r="C261" s="49" t="str">
        <f t="shared" si="2"/>
        <v>Automobile Master Key Violation; Unauthorized possession of a motor vehicle master key designed to fit the ignition switch of more than 1 motor vehicle</v>
      </c>
      <c r="D261" s="49" t="str">
        <f t="shared" si="3"/>
        <v>21-5833(a)(2)</v>
      </c>
      <c r="E261" s="11" t="s">
        <v>133</v>
      </c>
      <c r="F261" s="11">
        <v>3.0</v>
      </c>
      <c r="G261" s="11">
        <v>3.0</v>
      </c>
      <c r="H261" s="11">
        <v>3.0</v>
      </c>
      <c r="I261" s="11">
        <v>3.0</v>
      </c>
    </row>
    <row r="262">
      <c r="A262" s="10" t="s">
        <v>6659</v>
      </c>
      <c r="B262" s="49" t="str">
        <f t="shared" si="1"/>
        <v>Automobiles/Vehicles</v>
      </c>
      <c r="C262" s="49" t="str">
        <f t="shared" si="2"/>
        <v>Automobiles/Vehicles; Buying/selling a vehicle required to be registered, without passing of the certificate of title either at delivery or another agreed time not to exceed 60 days</v>
      </c>
      <c r="D262" s="49" t="str">
        <f t="shared" si="3"/>
        <v>8-135(c)(7)</v>
      </c>
      <c r="E262" s="11" t="s">
        <v>133</v>
      </c>
      <c r="F262" s="11">
        <v>3.0</v>
      </c>
      <c r="G262" s="11">
        <v>3.0</v>
      </c>
      <c r="H262" s="11">
        <v>3.0</v>
      </c>
      <c r="I262" s="11">
        <v>3.0</v>
      </c>
    </row>
    <row r="263">
      <c r="A263" s="10" t="s">
        <v>6660</v>
      </c>
      <c r="B263" s="49" t="str">
        <f t="shared" si="1"/>
        <v>Automobiles/Vehicles</v>
      </c>
      <c r="C263" s="49" t="str">
        <f t="shared" si="2"/>
        <v>Automobiles/Vehicles; Display/possession of fictitious, canceled, revoked, suspended or altered registration receipt, certificate of title, registration license plate, registration decal, accessible parking placard or accessible parking identification card</v>
      </c>
      <c r="D263" s="49" t="str">
        <f t="shared" si="3"/>
        <v>8-142(Second)</v>
      </c>
      <c r="E263" s="11" t="s">
        <v>133</v>
      </c>
      <c r="F263" s="11">
        <v>3.0</v>
      </c>
      <c r="G263" s="11">
        <v>3.0</v>
      </c>
      <c r="H263" s="11">
        <v>3.0</v>
      </c>
      <c r="I263" s="11">
        <v>3.0</v>
      </c>
    </row>
    <row r="264">
      <c r="A264" s="10" t="s">
        <v>6661</v>
      </c>
      <c r="B264" s="49" t="str">
        <f t="shared" si="1"/>
        <v>Automobiles/Vehicles</v>
      </c>
      <c r="C264" s="49" t="str">
        <f t="shared" si="2"/>
        <v>Automobiles/Vehicles; Effective Jan. 1, 2012;Failure to return disabled placards to department of revenue or disabled license plates to the county treasurer as required</v>
      </c>
      <c r="D264" s="49" t="str">
        <f t="shared" si="3"/>
        <v>8-1,125(f)</v>
      </c>
      <c r="E264" s="11" t="s">
        <v>133</v>
      </c>
      <c r="F264" s="11">
        <v>3.0</v>
      </c>
      <c r="G264" s="11">
        <v>3.0</v>
      </c>
      <c r="H264" s="11">
        <v>3.0</v>
      </c>
      <c r="I264" s="11">
        <v>3.0</v>
      </c>
    </row>
    <row r="265">
      <c r="A265" s="10" t="s">
        <v>6662</v>
      </c>
      <c r="B265" s="49" t="str">
        <f t="shared" si="1"/>
        <v>Automobiles/Vehicles</v>
      </c>
      <c r="C265" s="49" t="str">
        <f t="shared" si="2"/>
        <v>Automobiles/Vehicles; Fail or refuse to surrender any suspended, canceled or revoked registration receipt, certificate of title, registration license plate or registration decal upon demand</v>
      </c>
      <c r="D265" s="49" t="str">
        <f t="shared" si="3"/>
        <v>8-142(Fourth)</v>
      </c>
      <c r="E265" s="11" t="s">
        <v>133</v>
      </c>
      <c r="F265" s="11">
        <v>3.0</v>
      </c>
      <c r="G265" s="11">
        <v>3.0</v>
      </c>
      <c r="H265" s="11">
        <v>3.0</v>
      </c>
      <c r="I265" s="11">
        <v>3.0</v>
      </c>
    </row>
    <row r="266">
      <c r="A266" s="10" t="s">
        <v>6663</v>
      </c>
      <c r="B266" s="49" t="str">
        <f t="shared" si="1"/>
        <v>Automobiles/Vehicles</v>
      </c>
      <c r="C266" s="49" t="str">
        <f t="shared" si="2"/>
        <v>Automobiles/Vehicles; Failure to apply for a nonrepairable vehicle certificate</v>
      </c>
      <c r="D266" s="49" t="str">
        <f t="shared" si="3"/>
        <v>8-135c(c)(7)</v>
      </c>
      <c r="E266" s="11" t="s">
        <v>133</v>
      </c>
      <c r="F266" s="11">
        <v>3.0</v>
      </c>
      <c r="G266" s="11">
        <v>3.0</v>
      </c>
      <c r="H266" s="11">
        <v>3.0</v>
      </c>
      <c r="I266" s="11">
        <v>3.0</v>
      </c>
    </row>
    <row r="267">
      <c r="A267" s="10" t="s">
        <v>6664</v>
      </c>
      <c r="B267" s="49" t="str">
        <f t="shared" si="1"/>
        <v>Automobiles/Vehicles</v>
      </c>
      <c r="C267" s="49" t="str">
        <f t="shared" si="2"/>
        <v>Automobiles/Vehicles; Failure to comply with requirements pertaining to gross weight and operation of farm truck or truck tractor used with a trailer or semitrailer; signage required for farm truck or farm truck tractor used to transport a gross weight of more than 54,000 pounds</v>
      </c>
      <c r="D267" s="49" t="str">
        <f t="shared" si="3"/>
        <v>8-142(Tenth)</v>
      </c>
      <c r="E267" s="11" t="s">
        <v>133</v>
      </c>
      <c r="F267" s="11">
        <v>3.0</v>
      </c>
      <c r="G267" s="11">
        <v>3.0</v>
      </c>
      <c r="H267" s="11">
        <v>3.0</v>
      </c>
      <c r="I267" s="11">
        <v>3.0</v>
      </c>
    </row>
    <row r="268">
      <c r="A268" s="10" t="s">
        <v>6665</v>
      </c>
      <c r="B268" s="49" t="str">
        <f t="shared" si="1"/>
        <v>Automobiles/Vehicles</v>
      </c>
      <c r="C268" s="49" t="str">
        <f t="shared" si="2"/>
        <v>Automobiles/Vehicles; Failure to get rebuilt salvage title as required herein</v>
      </c>
      <c r="D268" s="49" t="str">
        <f t="shared" si="3"/>
        <v>8-198(f)(3)(C)</v>
      </c>
      <c r="E268" s="11" t="s">
        <v>133</v>
      </c>
      <c r="F268" s="11">
        <v>3.0</v>
      </c>
      <c r="G268" s="11">
        <v>3.0</v>
      </c>
      <c r="H268" s="11">
        <v>3.0</v>
      </c>
      <c r="I268" s="11">
        <v>3.0</v>
      </c>
    </row>
    <row r="269">
      <c r="A269" s="10" t="s">
        <v>6666</v>
      </c>
      <c r="B269" s="49" t="str">
        <f t="shared" si="1"/>
        <v>Automobiles/Vehicles</v>
      </c>
      <c r="C269" s="49" t="str">
        <f t="shared" si="2"/>
        <v>Automobiles/Vehicles; Failure to get salvage title as required herein</v>
      </c>
      <c r="D269" s="49" t="str">
        <f t="shared" si="3"/>
        <v>8-198(d)(8)</v>
      </c>
      <c r="E269" s="11" t="s">
        <v>133</v>
      </c>
      <c r="F269" s="11">
        <v>3.0</v>
      </c>
      <c r="G269" s="11">
        <v>3.0</v>
      </c>
      <c r="H269" s="11">
        <v>3.0</v>
      </c>
      <c r="I269" s="11">
        <v>3.0</v>
      </c>
    </row>
    <row r="270">
      <c r="A270" s="10" t="s">
        <v>6667</v>
      </c>
      <c r="B270" s="49" t="str">
        <f t="shared" si="1"/>
        <v>Automobiles/Vehicles</v>
      </c>
      <c r="C270" s="49" t="str">
        <f t="shared" si="2"/>
        <v>Automobiles/Vehicles; Failure to keep required records and comply with rules when registering a truck or truck tractor on the basis of operating not more than 6,000 miles</v>
      </c>
      <c r="D270" s="49" t="str">
        <f t="shared" si="3"/>
        <v>8-142(Fifteenth)</v>
      </c>
      <c r="E270" s="11" t="s">
        <v>133</v>
      </c>
      <c r="F270" s="11">
        <v>3.0</v>
      </c>
      <c r="G270" s="11">
        <v>3.0</v>
      </c>
      <c r="H270" s="11">
        <v>3.0</v>
      </c>
      <c r="I270" s="11">
        <v>3.0</v>
      </c>
    </row>
    <row r="271">
      <c r="A271" s="10" t="s">
        <v>6668</v>
      </c>
      <c r="B271" s="49" t="str">
        <f t="shared" si="1"/>
        <v>Automobiles/Vehicles</v>
      </c>
      <c r="C271" s="49" t="str">
        <f t="shared" si="2"/>
        <v>Automobiles/Vehicles; Failure to pay registration fee or fees when due</v>
      </c>
      <c r="D271" s="49" t="str">
        <f t="shared" si="3"/>
        <v>8-143(d)</v>
      </c>
      <c r="E271" s="11" t="s">
        <v>133</v>
      </c>
      <c r="F271" s="11">
        <v>3.0</v>
      </c>
      <c r="G271" s="11">
        <v>3.0</v>
      </c>
      <c r="H271" s="11">
        <v>3.0</v>
      </c>
      <c r="I271" s="11">
        <v>3.0</v>
      </c>
    </row>
    <row r="272">
      <c r="A272" s="10" t="s">
        <v>6669</v>
      </c>
      <c r="B272" s="49" t="str">
        <f t="shared" si="1"/>
        <v>Automobiles/Vehicles</v>
      </c>
      <c r="C272" s="49" t="str">
        <f t="shared" si="2"/>
        <v>Automobiles/Vehicles; Fair Trade Act; penalty for any violation of act</v>
      </c>
      <c r="D272" s="49" t="str">
        <f t="shared" si="3"/>
        <v>8-607</v>
      </c>
      <c r="E272" s="11" t="s">
        <v>133</v>
      </c>
      <c r="F272" s="11">
        <v>3.0</v>
      </c>
      <c r="G272" s="11">
        <v>3.0</v>
      </c>
      <c r="H272" s="11">
        <v>3.0</v>
      </c>
      <c r="I272" s="11">
        <v>3.0</v>
      </c>
    </row>
    <row r="273">
      <c r="A273" s="10" t="s">
        <v>6670</v>
      </c>
      <c r="B273" s="49" t="str">
        <f t="shared" si="1"/>
        <v>Automobiles/Vehicles</v>
      </c>
      <c r="C273" s="49" t="str">
        <f t="shared" si="2"/>
        <v>Automobiles/Vehicles; Fair Trade Act; sell or contract to sell motor vehicle or vehicles or other specific commodities to any dealer with condition that dealer finance the purchase or sale only with/through a designated person</v>
      </c>
      <c r="D273" s="49" t="str">
        <f t="shared" si="3"/>
        <v>8-603</v>
      </c>
      <c r="E273" s="11" t="s">
        <v>133</v>
      </c>
      <c r="F273" s="11">
        <v>3.0</v>
      </c>
      <c r="G273" s="11">
        <v>3.0</v>
      </c>
      <c r="H273" s="11">
        <v>3.0</v>
      </c>
      <c r="I273" s="11">
        <v>3.0</v>
      </c>
    </row>
    <row r="274">
      <c r="A274" s="10" t="s">
        <v>6671</v>
      </c>
      <c r="B274" s="49" t="str">
        <f t="shared" si="1"/>
        <v>Automobiles/Vehicles</v>
      </c>
      <c r="C274" s="49" t="str">
        <f t="shared" si="2"/>
        <v>Automobiles/Vehicles; False certification that one is qualified for disabled plate, placard, or identification card</v>
      </c>
      <c r="D274" s="49" t="str">
        <f t="shared" si="3"/>
        <v>8-1,130(b)</v>
      </c>
      <c r="E274" s="11" t="s">
        <v>133</v>
      </c>
      <c r="F274" s="11">
        <v>3.0</v>
      </c>
      <c r="G274" s="11">
        <v>3.0</v>
      </c>
      <c r="H274" s="11">
        <v>3.0</v>
      </c>
      <c r="I274" s="11">
        <v>3.0</v>
      </c>
    </row>
    <row r="275">
      <c r="A275" s="10" t="s">
        <v>6672</v>
      </c>
      <c r="B275" s="49" t="str">
        <f t="shared" si="1"/>
        <v>Automobiles/Vehicles</v>
      </c>
      <c r="C275" s="49" t="str">
        <f t="shared" si="2"/>
        <v>Automobiles/Vehicles; False representation that one is qualified for disabled plate, placard or identification card</v>
      </c>
      <c r="D275" s="49" t="str">
        <f t="shared" si="3"/>
        <v>8-1,130(a)</v>
      </c>
      <c r="E275" s="11" t="s">
        <v>133</v>
      </c>
      <c r="F275" s="11">
        <v>3.0</v>
      </c>
      <c r="G275" s="11">
        <v>3.0</v>
      </c>
      <c r="H275" s="11">
        <v>3.0</v>
      </c>
      <c r="I275" s="11">
        <v>3.0</v>
      </c>
    </row>
    <row r="276">
      <c r="A276" s="10" t="s">
        <v>6673</v>
      </c>
      <c r="B276" s="49" t="str">
        <f t="shared" si="1"/>
        <v>Automobiles/Vehicles</v>
      </c>
      <c r="C276" s="49" t="str">
        <f t="shared" si="2"/>
        <v>Automobiles/Vehicles; Knowingly make false statement concerning financial security in obtaining a permit to operate a salvage vehicle on the highways; failure to obtain permit as required by law</v>
      </c>
      <c r="D276" s="49" t="str">
        <f t="shared" si="3"/>
        <v>8-198(h)</v>
      </c>
      <c r="E276" s="11" t="s">
        <v>133</v>
      </c>
      <c r="F276" s="11">
        <v>3.0</v>
      </c>
      <c r="G276" s="11">
        <v>3.0</v>
      </c>
      <c r="H276" s="11">
        <v>3.0</v>
      </c>
      <c r="I276" s="11">
        <v>3.0</v>
      </c>
    </row>
    <row r="277">
      <c r="A277" s="10" t="s">
        <v>6674</v>
      </c>
      <c r="B277" s="49" t="str">
        <f t="shared" si="1"/>
        <v>Automobiles/Vehicles</v>
      </c>
      <c r="C277" s="49" t="str">
        <f t="shared" si="2"/>
        <v>Automobiles/Vehicles; Lend or permit use of a registration receipt, certificate of title, registration license plate or registration decal by one not so entitled</v>
      </c>
      <c r="D277" s="49" t="str">
        <f t="shared" si="3"/>
        <v>8-142(Third)</v>
      </c>
      <c r="E277" s="11" t="s">
        <v>133</v>
      </c>
      <c r="F277" s="11">
        <v>3.0</v>
      </c>
      <c r="G277" s="11">
        <v>3.0</v>
      </c>
      <c r="H277" s="11">
        <v>3.0</v>
      </c>
      <c r="I277" s="11">
        <v>3.0</v>
      </c>
    </row>
    <row r="278">
      <c r="A278" s="10" t="s">
        <v>6675</v>
      </c>
      <c r="B278" s="49" t="str">
        <f t="shared" si="1"/>
        <v>Automobiles/Vehicles</v>
      </c>
      <c r="C278" s="49" t="str">
        <f t="shared" si="2"/>
        <v>Automobiles/Vehicles; Licensure of Vehicle Sales &amp; Manufacture; selling motor vehicles without a license</v>
      </c>
      <c r="D278" s="49" t="str">
        <f t="shared" si="3"/>
        <v>195254</v>
      </c>
      <c r="E278" s="11" t="s">
        <v>133</v>
      </c>
      <c r="F278" s="11">
        <v>3.0</v>
      </c>
      <c r="G278" s="11">
        <v>3.0</v>
      </c>
      <c r="H278" s="11">
        <v>3.0</v>
      </c>
      <c r="I278" s="11">
        <v>3.0</v>
      </c>
    </row>
    <row r="279">
      <c r="A279" s="10" t="s">
        <v>6676</v>
      </c>
      <c r="B279" s="49" t="str">
        <f t="shared" si="1"/>
        <v>Automobiles/Vehicles</v>
      </c>
      <c r="C279" s="49" t="str">
        <f t="shared" si="2"/>
        <v>Automobiles/Vehicles; Operate more than 6,000 miles in any calendar year any truck or truck tractor registered and licensed to operate no more than 6,000 miles in such calendar year</v>
      </c>
      <c r="D279" s="49" t="str">
        <f t="shared" si="3"/>
        <v>8-142(Fourteenth)</v>
      </c>
      <c r="E279" s="11" t="s">
        <v>133</v>
      </c>
      <c r="F279" s="11">
        <v>3.0</v>
      </c>
      <c r="G279" s="11">
        <v>3.0</v>
      </c>
      <c r="H279" s="11">
        <v>3.0</v>
      </c>
      <c r="I279" s="11">
        <v>3.0</v>
      </c>
    </row>
    <row r="280">
      <c r="A280" s="10" t="s">
        <v>6677</v>
      </c>
      <c r="B280" s="49" t="str">
        <f t="shared" si="1"/>
        <v>Automobiles/Vehicles</v>
      </c>
      <c r="C280" s="49" t="str">
        <f t="shared" si="2"/>
        <v>Automobiles/Vehicles; Operation of a farm trailer carrying more than 6,000 pounds without being registered and the registration fees paid</v>
      </c>
      <c r="D280" s="49" t="str">
        <f t="shared" si="3"/>
        <v>8-142(Thirteenth)</v>
      </c>
      <c r="E280" s="11" t="s">
        <v>133</v>
      </c>
      <c r="F280" s="11">
        <v>3.0</v>
      </c>
      <c r="G280" s="11">
        <v>3.0</v>
      </c>
      <c r="H280" s="11">
        <v>3.0</v>
      </c>
      <c r="I280" s="11">
        <v>3.0</v>
      </c>
    </row>
    <row r="281">
      <c r="A281" s="10" t="s">
        <v>6678</v>
      </c>
      <c r="B281" s="49" t="str">
        <f t="shared" si="1"/>
        <v>Automobiles/Vehicles</v>
      </c>
      <c r="C281" s="49" t="str">
        <f t="shared" si="2"/>
        <v>Automobiles/Vehicles; Operation of a truck or truck tractor registered for a g/w &gt; 12,000 lbs. outside approved locations</v>
      </c>
      <c r="D281" s="49" t="str">
        <f t="shared" si="3"/>
        <v>8-142(Eighth)</v>
      </c>
      <c r="E281" s="11" t="s">
        <v>133</v>
      </c>
      <c r="F281" s="11">
        <v>3.0</v>
      </c>
      <c r="G281" s="11">
        <v>3.0</v>
      </c>
      <c r="H281" s="11">
        <v>3.0</v>
      </c>
      <c r="I281" s="11">
        <v>3.0</v>
      </c>
    </row>
    <row r="282">
      <c r="A282" s="10" t="s">
        <v>6679</v>
      </c>
      <c r="B282" s="49" t="str">
        <f t="shared" si="1"/>
        <v>Automobiles/Vehicles</v>
      </c>
      <c r="C282" s="49" t="str">
        <f t="shared" si="2"/>
        <v>Automobiles/Vehicles; Operation of a truck or truck tractor without carrying proper registration receipt  or without having marked said vehicle as required</v>
      </c>
      <c r="D282" s="49" t="str">
        <f t="shared" si="3"/>
        <v>8-142(Twelfth)</v>
      </c>
      <c r="E282" s="11" t="s">
        <v>133</v>
      </c>
      <c r="F282" s="11">
        <v>3.0</v>
      </c>
      <c r="G282" s="11">
        <v>3.0</v>
      </c>
      <c r="H282" s="11">
        <v>3.0</v>
      </c>
      <c r="I282" s="11">
        <v>3.0</v>
      </c>
    </row>
    <row r="283">
      <c r="A283" s="10" t="s">
        <v>6680</v>
      </c>
      <c r="B283" s="49" t="str">
        <f t="shared" si="1"/>
        <v>Automobiles/Vehicles</v>
      </c>
      <c r="C283" s="49" t="str">
        <f t="shared" si="2"/>
        <v>Automobiles/Vehicles; Operation of a vehicle not properly registered or without certificate of title or without registration decal affixed as required</v>
      </c>
      <c r="D283" s="49" t="str">
        <f t="shared" si="3"/>
        <v>8-142(First)</v>
      </c>
      <c r="E283" s="11" t="s">
        <v>133</v>
      </c>
      <c r="F283" s="11">
        <v>3.0</v>
      </c>
      <c r="G283" s="11">
        <v>3.0</v>
      </c>
      <c r="H283" s="11">
        <v>3.0</v>
      </c>
      <c r="I283" s="11">
        <v>3.0</v>
      </c>
    </row>
    <row r="284">
      <c r="A284" s="10" t="s">
        <v>6681</v>
      </c>
      <c r="B284" s="49" t="str">
        <f t="shared" si="1"/>
        <v>Automobiles/Vehicles</v>
      </c>
      <c r="C284" s="49" t="str">
        <f t="shared" si="2"/>
        <v>Automobiles/Vehicles; Operation of a vehicle or combination of vehicles on the national system of interstate and defense highways with a gross weight greater than permitted by the laws of the United States Congress</v>
      </c>
      <c r="D284" s="49" t="str">
        <f t="shared" si="3"/>
        <v>8-142(Sixteenth)</v>
      </c>
      <c r="E284" s="11" t="s">
        <v>133</v>
      </c>
      <c r="F284" s="11">
        <v>3.0</v>
      </c>
      <c r="G284" s="11">
        <v>3.0</v>
      </c>
      <c r="H284" s="11">
        <v>3.0</v>
      </c>
      <c r="I284" s="11">
        <v>3.0</v>
      </c>
    </row>
    <row r="285">
      <c r="A285" s="10" t="s">
        <v>6682</v>
      </c>
      <c r="B285" s="49" t="str">
        <f t="shared" si="1"/>
        <v>Automobiles/Vehicles</v>
      </c>
      <c r="C285" s="49" t="str">
        <f t="shared" si="2"/>
        <v>Automobiles/Vehicles; Operation of a vehicle whose weight with cargo is in excess of the gross weight for which the vehicle is registered</v>
      </c>
      <c r="D285" s="49" t="str">
        <f t="shared" si="3"/>
        <v>8-142(Seventh)</v>
      </c>
      <c r="E285" s="11" t="s">
        <v>133</v>
      </c>
      <c r="F285" s="11">
        <v>3.0</v>
      </c>
      <c r="G285" s="11">
        <v>3.0</v>
      </c>
      <c r="H285" s="11">
        <v>3.0</v>
      </c>
      <c r="I285" s="11">
        <v>3.0</v>
      </c>
    </row>
    <row r="286">
      <c r="A286" s="10" t="s">
        <v>6683</v>
      </c>
      <c r="B286" s="49" t="str">
        <f t="shared" si="1"/>
        <v>Automobiles/Vehicles</v>
      </c>
      <c r="C286" s="49" t="str">
        <f t="shared" si="2"/>
        <v>Automobiles/Vehicles; Operation of any truck or truck tractor without the current quarter of license fees being paid</v>
      </c>
      <c r="D286" s="49" t="str">
        <f t="shared" si="3"/>
        <v>8-142(Eleventh)</v>
      </c>
      <c r="E286" s="11" t="s">
        <v>133</v>
      </c>
      <c r="F286" s="11">
        <v>3.0</v>
      </c>
      <c r="G286" s="11">
        <v>3.0</v>
      </c>
      <c r="H286" s="11">
        <v>3.0</v>
      </c>
      <c r="I286" s="11">
        <v>3.0</v>
      </c>
    </row>
    <row r="287">
      <c r="A287" s="10" t="s">
        <v>6684</v>
      </c>
      <c r="B287" s="49" t="str">
        <f t="shared" si="1"/>
        <v>Automobiles/Vehicles</v>
      </c>
      <c r="C287" s="49" t="str">
        <f t="shared" si="2"/>
        <v>Automobiles/Vehicles; Operation of any vehicle without registration or a hunter's permit</v>
      </c>
      <c r="D287" s="49" t="str">
        <f t="shared" si="3"/>
        <v>8-1,143(b)</v>
      </c>
      <c r="E287" s="11" t="s">
        <v>133</v>
      </c>
      <c r="F287" s="11">
        <v>3.0</v>
      </c>
      <c r="G287" s="11">
        <v>3.0</v>
      </c>
      <c r="H287" s="11">
        <v>3.0</v>
      </c>
      <c r="I287" s="11">
        <v>3.0</v>
      </c>
    </row>
    <row r="288">
      <c r="A288" s="10" t="s">
        <v>6685</v>
      </c>
      <c r="B288" s="49" t="str">
        <f t="shared" si="1"/>
        <v>Automobiles/Vehicles</v>
      </c>
      <c r="C288" s="49" t="str">
        <f t="shared" si="2"/>
        <v>Automobiles/Vehicles; Operation of vehicle required to be registered, or transferring title to any such vehicle, without a certificate of title issued as required</v>
      </c>
      <c r="D288" s="49" t="str">
        <f t="shared" si="3"/>
        <v>8-135(c)(6)</v>
      </c>
      <c r="E288" s="11" t="s">
        <v>133</v>
      </c>
      <c r="F288" s="11">
        <v>3.0</v>
      </c>
      <c r="G288" s="11">
        <v>3.0</v>
      </c>
      <c r="H288" s="11">
        <v>3.0</v>
      </c>
      <c r="I288" s="11">
        <v>3.0</v>
      </c>
    </row>
    <row r="289">
      <c r="A289" s="10" t="s">
        <v>6686</v>
      </c>
      <c r="B289" s="49" t="str">
        <f t="shared" si="1"/>
        <v>Automobiles/Vehicles</v>
      </c>
      <c r="C289" s="49" t="str">
        <f t="shared" si="2"/>
        <v>Automobiles/Vehicles; Operation on the highways of this state a farm truck or farm trailer for purpose of transportation of other than authorized cargo</v>
      </c>
      <c r="D289" s="49" t="str">
        <f t="shared" si="3"/>
        <v>8-142(Ninth)</v>
      </c>
      <c r="E289" s="11" t="s">
        <v>133</v>
      </c>
      <c r="F289" s="11">
        <v>3.0</v>
      </c>
      <c r="G289" s="11">
        <v>3.0</v>
      </c>
      <c r="H289" s="11">
        <v>3.0</v>
      </c>
      <c r="I289" s="11">
        <v>3.0</v>
      </c>
    </row>
    <row r="290">
      <c r="A290" s="10" t="s">
        <v>6687</v>
      </c>
      <c r="B290" s="49" t="str">
        <f t="shared" si="1"/>
        <v>Automobiles/Vehicles</v>
      </c>
      <c r="C290" s="49" t="str">
        <f t="shared" si="2"/>
        <v>Automobiles/Vehicles; Possession of accessible parking identification device which is expired or been revoked or suspended by the secretary of revenue; 1st violation</v>
      </c>
      <c r="D290" s="49" t="str">
        <f t="shared" si="3"/>
        <v>8-1,130a(a)</v>
      </c>
      <c r="E290" s="11" t="s">
        <v>133</v>
      </c>
      <c r="F290" s="11">
        <v>3.0</v>
      </c>
      <c r="G290" s="11">
        <v>3.0</v>
      </c>
      <c r="H290" s="11">
        <v>3.0</v>
      </c>
      <c r="I290" s="11">
        <v>3.0</v>
      </c>
    </row>
    <row r="291">
      <c r="A291" s="10" t="s">
        <v>6688</v>
      </c>
      <c r="B291" s="49" t="str">
        <f t="shared" si="1"/>
        <v>Automobiles/Vehicles</v>
      </c>
      <c r="C291" s="49" t="str">
        <f t="shared" si="2"/>
        <v>Automobiles/Vehicles; Registering a vehicle in county other than the one in which the owner resides or has a bona fide place of business</v>
      </c>
      <c r="D291" s="49" t="str">
        <f t="shared" si="3"/>
        <v>8-142(Sixth)</v>
      </c>
      <c r="E291" s="11" t="s">
        <v>133</v>
      </c>
      <c r="F291" s="11">
        <v>3.0</v>
      </c>
      <c r="G291" s="11">
        <v>3.0</v>
      </c>
      <c r="H291" s="11">
        <v>3.0</v>
      </c>
      <c r="I291" s="11">
        <v>3.0</v>
      </c>
    </row>
    <row r="292">
      <c r="A292" s="10" t="s">
        <v>6689</v>
      </c>
      <c r="B292" s="49" t="str">
        <f t="shared" si="1"/>
        <v>Automobiles/Vehicles</v>
      </c>
      <c r="C292" s="49" t="str">
        <f t="shared" si="2"/>
        <v>Automobiles/Vehicles; Remove notice required to be attached to rebuilt vehicles</v>
      </c>
      <c r="D292" s="49" t="str">
        <f t="shared" si="3"/>
        <v>8-199a</v>
      </c>
      <c r="E292" s="11" t="s">
        <v>133</v>
      </c>
      <c r="F292" s="11">
        <v>3.0</v>
      </c>
      <c r="G292" s="11">
        <v>3.0</v>
      </c>
      <c r="H292" s="11">
        <v>3.0</v>
      </c>
      <c r="I292" s="11">
        <v>3.0</v>
      </c>
    </row>
    <row r="293">
      <c r="A293" s="10" t="s">
        <v>6690</v>
      </c>
      <c r="B293" s="49" t="str">
        <f t="shared" si="1"/>
        <v>Automobiles/Vehicles</v>
      </c>
      <c r="C293" s="49" t="str">
        <f t="shared" si="2"/>
        <v>Automobiles/Vehicles; Reporting requirement; failure to report unclaimed vehicle as required</v>
      </c>
      <c r="D293" s="49" t="str">
        <f t="shared" si="3"/>
        <v>8-113a</v>
      </c>
      <c r="E293" s="11" t="s">
        <v>133</v>
      </c>
      <c r="F293" s="11">
        <v>3.0</v>
      </c>
      <c r="G293" s="11">
        <v>3.0</v>
      </c>
      <c r="H293" s="11">
        <v>3.0</v>
      </c>
      <c r="I293" s="11">
        <v>3.0</v>
      </c>
    </row>
    <row r="294">
      <c r="A294" s="10" t="s">
        <v>6691</v>
      </c>
      <c r="B294" s="49" t="str">
        <f t="shared" si="1"/>
        <v>Automobiles/Vehicles</v>
      </c>
      <c r="C294" s="49" t="str">
        <f t="shared" si="2"/>
        <v>Automobiles/Vehicles; Sell / transfer ownership of any nonhighway vehicle or salvage vehicle without giving purchaser an assigned nonhighway certificate of title or salvage title</v>
      </c>
      <c r="D294" s="49" t="str">
        <f t="shared" si="3"/>
        <v>8-199(a)</v>
      </c>
      <c r="E294" s="11" t="s">
        <v>133</v>
      </c>
      <c r="F294" s="11">
        <v>3.0</v>
      </c>
      <c r="G294" s="11">
        <v>3.0</v>
      </c>
      <c r="H294" s="11">
        <v>3.0</v>
      </c>
      <c r="I294" s="11">
        <v>3.0</v>
      </c>
    </row>
    <row r="295">
      <c r="A295" s="10" t="s">
        <v>6692</v>
      </c>
      <c r="B295" s="49" t="str">
        <f t="shared" si="1"/>
        <v>Automobiles/Vehicles</v>
      </c>
      <c r="C295" s="49" t="str">
        <f t="shared" si="2"/>
        <v>Automobiles/Vehicles; Stop, stand or park a vehicle in an access aisle between or beside a designated accessible parking space</v>
      </c>
      <c r="D295" s="49" t="str">
        <f t="shared" si="3"/>
        <v>8-1,129(a)(5)</v>
      </c>
      <c r="E295" s="11" t="s">
        <v>133</v>
      </c>
      <c r="F295" s="11">
        <v>3.0</v>
      </c>
      <c r="G295" s="11">
        <v>3.0</v>
      </c>
      <c r="H295" s="11">
        <v>3.0</v>
      </c>
      <c r="I295" s="11">
        <v>3.0</v>
      </c>
    </row>
    <row r="296">
      <c r="A296" s="10" t="s">
        <v>6693</v>
      </c>
      <c r="B296" s="49" t="str">
        <f t="shared" si="1"/>
        <v>Automobiles/Vehicles</v>
      </c>
      <c r="C296" s="49" t="str">
        <f t="shared" si="2"/>
        <v>Automobiles/Vehicles; Stop, stand or park a vehicle so that it blocks a disabled parking stall</v>
      </c>
      <c r="D296" s="49" t="str">
        <f t="shared" si="3"/>
        <v>8-1,129(a)(3)</v>
      </c>
      <c r="E296" s="11" t="s">
        <v>133</v>
      </c>
      <c r="F296" s="11">
        <v>3.0</v>
      </c>
      <c r="G296" s="11">
        <v>3.0</v>
      </c>
      <c r="H296" s="11">
        <v>3.0</v>
      </c>
      <c r="I296" s="11">
        <v>3.0</v>
      </c>
    </row>
    <row r="297">
      <c r="A297" s="10" t="s">
        <v>6694</v>
      </c>
      <c r="B297" s="49" t="str">
        <f t="shared" si="1"/>
        <v>Automobiles/Vehicles</v>
      </c>
      <c r="C297" s="49" t="str">
        <f t="shared" si="2"/>
        <v>Automobiles/Vehicles; Stop, stand or park a vehicle so that it blocks an access aisle</v>
      </c>
      <c r="D297" s="49" t="str">
        <f t="shared" si="3"/>
        <v>8-1,129(a)(4)</v>
      </c>
      <c r="E297" s="11" t="s">
        <v>133</v>
      </c>
      <c r="F297" s="11">
        <v>3.0</v>
      </c>
      <c r="G297" s="11">
        <v>3.0</v>
      </c>
      <c r="H297" s="11">
        <v>3.0</v>
      </c>
      <c r="I297" s="11">
        <v>3.0</v>
      </c>
    </row>
    <row r="298">
      <c r="A298" s="10" t="s">
        <v>6695</v>
      </c>
      <c r="B298" s="49" t="str">
        <f t="shared" si="1"/>
        <v>Automobiles/Vehicles</v>
      </c>
      <c r="C298" s="49" t="str">
        <f t="shared" si="2"/>
        <v>Automobiles/Vehicles; Stop, stand or park a vehicle so that it blocks an access entrance</v>
      </c>
      <c r="D298" s="49" t="str">
        <f t="shared" si="3"/>
        <v>8-1,129(a)(2)</v>
      </c>
      <c r="E298" s="11" t="s">
        <v>133</v>
      </c>
      <c r="F298" s="11">
        <v>3.0</v>
      </c>
      <c r="G298" s="11">
        <v>3.0</v>
      </c>
      <c r="H298" s="11">
        <v>3.0</v>
      </c>
      <c r="I298" s="11">
        <v>3.0</v>
      </c>
    </row>
    <row r="299">
      <c r="A299" s="10" t="s">
        <v>6696</v>
      </c>
      <c r="B299" s="49" t="str">
        <f t="shared" si="1"/>
        <v>Automobiles/Vehicles</v>
      </c>
      <c r="C299" s="49" t="str">
        <f t="shared" si="2"/>
        <v>Automobiles/Vehicles; Stop, stand or park a vehicle, in handicap accessible parking without displaying required special license plate, permanent placard or disabled veteran license plate and an individual identification card, or a valid temporary placard</v>
      </c>
      <c r="D299" s="49" t="str">
        <f t="shared" si="3"/>
        <v>8-1,129(a)(1)</v>
      </c>
      <c r="E299" s="11" t="s">
        <v>133</v>
      </c>
      <c r="F299" s="11">
        <v>3.0</v>
      </c>
      <c r="G299" s="11">
        <v>3.0</v>
      </c>
      <c r="H299" s="11">
        <v>3.0</v>
      </c>
      <c r="I299" s="11">
        <v>3.0</v>
      </c>
    </row>
    <row r="300">
      <c r="A300" s="10" t="s">
        <v>6697</v>
      </c>
      <c r="B300" s="49" t="str">
        <f t="shared" si="1"/>
        <v>Automobiles/Vehicles</v>
      </c>
      <c r="C300" s="49" t="str">
        <f t="shared" si="2"/>
        <v>Automobiles/Vehicles; Swearing falsely to any affidavit required</v>
      </c>
      <c r="D300" s="49" t="str">
        <f t="shared" si="3"/>
        <v>8-177</v>
      </c>
      <c r="E300" s="11" t="s">
        <v>133</v>
      </c>
      <c r="F300" s="11">
        <v>3.0</v>
      </c>
      <c r="G300" s="11">
        <v>3.0</v>
      </c>
      <c r="H300" s="11">
        <v>3.0</v>
      </c>
      <c r="I300" s="11">
        <v>3.0</v>
      </c>
    </row>
    <row r="301">
      <c r="A301" s="10" t="s">
        <v>6698</v>
      </c>
      <c r="B301" s="49" t="str">
        <f t="shared" si="1"/>
        <v>Automobiles/Vehicles</v>
      </c>
      <c r="C301" s="49" t="str">
        <f t="shared" si="2"/>
        <v>Automobiles/Vehicles; Unauthorized utilization of any handicapped accessible parking I.D. device, issued to another, to park in any handicapped parking space; 1st violation</v>
      </c>
      <c r="D301" s="49" t="str">
        <f t="shared" si="3"/>
        <v>8-1,130a(b)</v>
      </c>
      <c r="E301" s="11" t="s">
        <v>133</v>
      </c>
      <c r="F301" s="11">
        <v>3.0</v>
      </c>
      <c r="G301" s="11">
        <v>3.0</v>
      </c>
      <c r="H301" s="11">
        <v>3.0</v>
      </c>
      <c r="I301" s="11">
        <v>3.0</v>
      </c>
    </row>
    <row r="302">
      <c r="A302" s="10" t="s">
        <v>6699</v>
      </c>
      <c r="B302" s="49" t="str">
        <f t="shared" si="1"/>
        <v>Automobiles/Vehicles</v>
      </c>
      <c r="C302" s="49" t="str">
        <f t="shared" si="2"/>
        <v>Automobiles/Vehicles; Unlawful operation of unregistered vehicle after transfer/sale</v>
      </c>
      <c r="D302" s="49" t="str">
        <f t="shared" si="3"/>
        <v>8-135(b)</v>
      </c>
      <c r="E302" s="11" t="s">
        <v>133</v>
      </c>
      <c r="F302" s="11">
        <v>3.0</v>
      </c>
      <c r="G302" s="11">
        <v>3.0</v>
      </c>
      <c r="H302" s="11">
        <v>3.0</v>
      </c>
      <c r="I302" s="11">
        <v>3.0</v>
      </c>
    </row>
    <row r="303">
      <c r="A303" s="10" t="s">
        <v>6700</v>
      </c>
      <c r="B303" s="49" t="str">
        <f t="shared" si="1"/>
        <v>Automobiles/Vehicles</v>
      </c>
      <c r="C303" s="49" t="str">
        <f t="shared" si="2"/>
        <v>Automobiles/Vehicles; Unlawful possession of license plate</v>
      </c>
      <c r="D303" s="49" t="str">
        <f t="shared" si="3"/>
        <v>8-135(a)</v>
      </c>
      <c r="E303" s="11" t="s">
        <v>133</v>
      </c>
      <c r="F303" s="11">
        <v>3.0</v>
      </c>
      <c r="G303" s="11">
        <v>3.0</v>
      </c>
      <c r="H303" s="11">
        <v>3.0</v>
      </c>
      <c r="I303" s="11">
        <v>3.0</v>
      </c>
    </row>
    <row r="304">
      <c r="A304" s="10" t="s">
        <v>6701</v>
      </c>
      <c r="B304" s="49" t="str">
        <f t="shared" si="1"/>
        <v>Automobiles/Vehicles</v>
      </c>
      <c r="C304" s="49" t="str">
        <f t="shared" si="2"/>
        <v>Automobiles/Vehicles; Unlawfully claiming motor vehicle is exempt from registration as a self-propelled crane</v>
      </c>
      <c r="D304" s="49" t="str">
        <f t="shared" si="3"/>
        <v>8-142(First)</v>
      </c>
      <c r="E304" s="11" t="s">
        <v>133</v>
      </c>
      <c r="F304" s="11">
        <v>3.0</v>
      </c>
      <c r="G304" s="11">
        <v>3.0</v>
      </c>
      <c r="H304" s="11">
        <v>3.0</v>
      </c>
      <c r="I304" s="11">
        <v>3.0</v>
      </c>
    </row>
    <row r="305">
      <c r="A305" s="10" t="s">
        <v>6702</v>
      </c>
      <c r="B305" s="49" t="str">
        <f t="shared" si="1"/>
        <v>Automobiles/Vehicles</v>
      </c>
      <c r="C305" s="49" t="str">
        <f t="shared" si="2"/>
        <v>Automobiles/Vehicles; Use a false/ fictitious name or address when applying for a certificate of title, registration of a vehicle or for renewal or duplicate; knowingly making false statement to conceal a material fact or otherwise commit a fraud in an application</v>
      </c>
      <c r="D305" s="49" t="str">
        <f t="shared" si="3"/>
        <v>8-142(Fifth)</v>
      </c>
      <c r="E305" s="11" t="s">
        <v>133</v>
      </c>
      <c r="F305" s="11">
        <v>3.0</v>
      </c>
      <c r="G305" s="11">
        <v>3.0</v>
      </c>
      <c r="H305" s="11">
        <v>3.0</v>
      </c>
      <c r="I305" s="11">
        <v>3.0</v>
      </c>
    </row>
    <row r="306">
      <c r="A306" s="10" t="s">
        <v>6703</v>
      </c>
      <c r="B306" s="49" t="str">
        <f t="shared" si="1"/>
        <v>Automobiles/Vehicles</v>
      </c>
      <c r="C306" s="49" t="str">
        <f t="shared" si="2"/>
        <v>Automobiles/Vehicles; Use of False or Fictitious Name on ID Application</v>
      </c>
      <c r="D306" s="49" t="str">
        <f t="shared" si="3"/>
        <v>8-1327(a)(5)</v>
      </c>
      <c r="E306" s="11" t="s">
        <v>133</v>
      </c>
      <c r="F306" s="11">
        <v>3.0</v>
      </c>
      <c r="G306" s="11">
        <v>3.0</v>
      </c>
      <c r="H306" s="11">
        <v>3.0</v>
      </c>
      <c r="I306" s="11">
        <v>3.0</v>
      </c>
    </row>
    <row r="307">
      <c r="A307" s="10" t="s">
        <v>6704</v>
      </c>
      <c r="B307" s="49" t="str">
        <f t="shared" si="1"/>
        <v>Automobiles/Vehicles</v>
      </c>
      <c r="C307" s="49" t="str">
        <f t="shared" si="2"/>
        <v>Automobiles/Vehicles; Various Vehicle Identification numbers; unlawful acts</v>
      </c>
      <c r="D307" s="49" t="str">
        <f t="shared" si="3"/>
        <v>8-113</v>
      </c>
      <c r="E307" s="11" t="s">
        <v>133</v>
      </c>
      <c r="F307" s="11">
        <v>3.0</v>
      </c>
      <c r="G307" s="11">
        <v>3.0</v>
      </c>
      <c r="H307" s="11">
        <v>3.0</v>
      </c>
      <c r="I307" s="11">
        <v>3.0</v>
      </c>
    </row>
    <row r="308">
      <c r="A308" s="10" t="s">
        <v>6705</v>
      </c>
      <c r="B308" s="49" t="str">
        <f t="shared" si="1"/>
        <v>Automobiles/Vehicles</v>
      </c>
      <c r="C308" s="49" t="str">
        <f t="shared" si="2"/>
        <v>Automobiles/Vehicles; VINs; custody of vehicle with VIN destroyed, removed, etc</v>
      </c>
      <c r="D308" s="49" t="str">
        <f t="shared" si="3"/>
        <v>8-116(b)</v>
      </c>
      <c r="E308" s="11" t="s">
        <v>133</v>
      </c>
      <c r="F308" s="11">
        <v>3.0</v>
      </c>
      <c r="G308" s="11">
        <v>3.0</v>
      </c>
      <c r="H308" s="11">
        <v>3.0</v>
      </c>
      <c r="I308" s="11">
        <v>3.0</v>
      </c>
    </row>
    <row r="309">
      <c r="A309" s="10" t="s">
        <v>6706</v>
      </c>
      <c r="B309" s="49" t="str">
        <f t="shared" si="1"/>
        <v>Automobiles/Vehicles</v>
      </c>
      <c r="C309" s="49" t="str">
        <f t="shared" si="2"/>
        <v>Automobiles/Vehicles; VINs; destroy, alter, remove, etc. VIN</v>
      </c>
      <c r="D309" s="49" t="str">
        <f t="shared" si="3"/>
        <v>8-116(c)</v>
      </c>
      <c r="E309" s="11" t="s">
        <v>133</v>
      </c>
      <c r="F309" s="11">
        <v>3.0</v>
      </c>
      <c r="G309" s="11">
        <v>3.0</v>
      </c>
      <c r="H309" s="11">
        <v>3.0</v>
      </c>
      <c r="I309" s="11">
        <v>3.0</v>
      </c>
    </row>
    <row r="310">
      <c r="A310" s="10" t="s">
        <v>6707</v>
      </c>
      <c r="B310" s="49" t="str">
        <f t="shared" si="1"/>
        <v>Automobiles/Vehicles</v>
      </c>
      <c r="C310" s="49" t="str">
        <f t="shared" si="2"/>
        <v>Automobiles/Vehicles; VINs; sale of vehicle with VIN destroyed, removed, etc</v>
      </c>
      <c r="D310" s="49" t="str">
        <f t="shared" si="3"/>
        <v>8-116(a)</v>
      </c>
      <c r="E310" s="11" t="s">
        <v>133</v>
      </c>
      <c r="F310" s="11">
        <v>3.0</v>
      </c>
      <c r="G310" s="11">
        <v>3.0</v>
      </c>
      <c r="H310" s="11">
        <v>3.0</v>
      </c>
      <c r="I310" s="11">
        <v>3.0</v>
      </c>
    </row>
    <row r="311">
      <c r="A311" s="10" t="s">
        <v>6708</v>
      </c>
      <c r="B311" s="49" t="str">
        <f t="shared" si="1"/>
        <v>Automobiles/Vehicles</v>
      </c>
      <c r="C311" s="49" t="str">
        <f t="shared" si="2"/>
        <v>Automobiles/Vehicles; Willful and false representation of qualifications to obtain disabled veterans registration and license plates or false use of such parking privilege</v>
      </c>
      <c r="D311" s="49" t="str">
        <f t="shared" si="3"/>
        <v>8-161(d)</v>
      </c>
      <c r="E311" s="11" t="s">
        <v>133</v>
      </c>
      <c r="F311" s="11">
        <v>3.0</v>
      </c>
      <c r="G311" s="11">
        <v>3.0</v>
      </c>
      <c r="H311" s="11">
        <v>3.0</v>
      </c>
      <c r="I311" s="11">
        <v>3.0</v>
      </c>
    </row>
    <row r="312">
      <c r="A312" s="10" t="s">
        <v>6709</v>
      </c>
      <c r="B312" s="49" t="str">
        <f t="shared" si="1"/>
        <v>Automobiles/Vehicles</v>
      </c>
      <c r="C312" s="49" t="str">
        <f t="shared" si="2"/>
        <v>Automobiles/Vehicles; Willful filing or knowingly presenting a fraudulent proration fleet registration application to gain refund or credit</v>
      </c>
      <c r="D312" s="49" t="str">
        <f t="shared" si="3"/>
        <v>8-1,117</v>
      </c>
      <c r="E312" s="11" t="s">
        <v>133</v>
      </c>
      <c r="F312" s="11">
        <v>3.0</v>
      </c>
      <c r="G312" s="11">
        <v>3.0</v>
      </c>
      <c r="H312" s="11">
        <v>3.0</v>
      </c>
      <c r="I312" s="11">
        <v>3.0</v>
      </c>
    </row>
    <row r="313">
      <c r="A313" s="10" t="s">
        <v>6710</v>
      </c>
      <c r="B313" s="49" t="str">
        <f t="shared" si="1"/>
        <v>Banking</v>
      </c>
      <c r="C313" s="49" t="str">
        <f t="shared" si="2"/>
        <v>Banking; Certified checks, drafts or orders in excess of amount on deposit</v>
      </c>
      <c r="D313" s="49" t="str">
        <f t="shared" si="3"/>
        <v>39692</v>
      </c>
      <c r="E313" s="11" t="s">
        <v>133</v>
      </c>
      <c r="F313" s="11">
        <v>3.0</v>
      </c>
      <c r="G313" s="11">
        <v>3.0</v>
      </c>
      <c r="H313" s="11">
        <v>3.0</v>
      </c>
      <c r="I313" s="11">
        <v>3.0</v>
      </c>
    </row>
    <row r="314">
      <c r="A314" s="10" t="s">
        <v>6711</v>
      </c>
      <c r="B314" s="49" t="str">
        <f t="shared" si="1"/>
        <v>Banking</v>
      </c>
      <c r="C314" s="49" t="str">
        <f t="shared" si="2"/>
        <v>Banking; Commissioner; prohibition of felon serving as director, officer or employee of bank</v>
      </c>
      <c r="D314" s="49" t="str">
        <f t="shared" si="3"/>
        <v>9-1717(a)</v>
      </c>
      <c r="E314" s="11" t="s">
        <v>133</v>
      </c>
      <c r="F314" s="11">
        <v>3.0</v>
      </c>
      <c r="G314" s="11">
        <v>3.0</v>
      </c>
      <c r="H314" s="11">
        <v>3.0</v>
      </c>
      <c r="I314" s="11">
        <v>3.0</v>
      </c>
    </row>
    <row r="315">
      <c r="A315" s="10" t="s">
        <v>6712</v>
      </c>
      <c r="B315" s="49" t="str">
        <f t="shared" si="1"/>
        <v>Banking</v>
      </c>
      <c r="C315" s="49" t="str">
        <f t="shared" si="2"/>
        <v>Banking; Commissioner; unauthorized disclosure of confidential information</v>
      </c>
      <c r="D315" s="49" t="str">
        <f t="shared" si="3"/>
        <v>9-1712(b)</v>
      </c>
      <c r="E315" s="11" t="s">
        <v>133</v>
      </c>
      <c r="F315" s="11">
        <v>3.0</v>
      </c>
      <c r="G315" s="11">
        <v>3.0</v>
      </c>
      <c r="H315" s="11">
        <v>3.0</v>
      </c>
      <c r="I315" s="11">
        <v>3.0</v>
      </c>
    </row>
    <row r="316">
      <c r="A316" s="10" t="s">
        <v>6713</v>
      </c>
      <c r="B316" s="49" t="str">
        <f t="shared" si="1"/>
        <v>Banking</v>
      </c>
      <c r="C316" s="49" t="str">
        <f t="shared" si="2"/>
        <v>Banking; Embezzlement with intent to injure or defraud</v>
      </c>
      <c r="D316" s="49" t="str">
        <f t="shared" si="3"/>
        <v>9-2012(a)</v>
      </c>
      <c r="E316" s="11" t="s">
        <v>133</v>
      </c>
      <c r="F316" s="11">
        <v>3.0</v>
      </c>
      <c r="G316" s="11">
        <v>3.0</v>
      </c>
      <c r="H316" s="11">
        <v>3.0</v>
      </c>
      <c r="I316" s="11">
        <v>3.0</v>
      </c>
    </row>
    <row r="317">
      <c r="A317" s="10" t="s">
        <v>6714</v>
      </c>
      <c r="B317" s="49" t="str">
        <f t="shared" si="1"/>
        <v>Banking</v>
      </c>
      <c r="C317" s="49" t="str">
        <f t="shared" si="2"/>
        <v>Banking; Failure by receiver to comply with state banking code by receiver</v>
      </c>
      <c r="D317" s="49" t="str">
        <f t="shared" si="3"/>
        <v>39326</v>
      </c>
      <c r="E317" s="11" t="s">
        <v>133</v>
      </c>
      <c r="F317" s="11">
        <v>3.0</v>
      </c>
      <c r="G317" s="11">
        <v>3.0</v>
      </c>
      <c r="H317" s="11">
        <v>3.0</v>
      </c>
      <c r="I317" s="11">
        <v>3.0</v>
      </c>
    </row>
    <row r="318">
      <c r="A318" s="10" t="s">
        <v>6715</v>
      </c>
      <c r="B318" s="49" t="str">
        <f t="shared" si="1"/>
        <v>Banking</v>
      </c>
      <c r="C318" s="49" t="str">
        <f t="shared" si="2"/>
        <v>Banking; Insolvent bank receiving deposits</v>
      </c>
      <c r="D318" s="49" t="str">
        <f t="shared" si="3"/>
        <v>40422</v>
      </c>
      <c r="E318" s="11" t="s">
        <v>133</v>
      </c>
      <c r="F318" s="11">
        <v>3.0</v>
      </c>
      <c r="G318" s="11">
        <v>3.0</v>
      </c>
      <c r="H318" s="11">
        <v>3.0</v>
      </c>
      <c r="I318" s="11">
        <v>3.0</v>
      </c>
    </row>
    <row r="319">
      <c r="A319" s="10" t="s">
        <v>6716</v>
      </c>
      <c r="B319" s="49" t="str">
        <f t="shared" si="1"/>
        <v>Banking</v>
      </c>
      <c r="C319" s="49" t="str">
        <f t="shared" si="2"/>
        <v>Banking; Make false report, statement or entry in the books</v>
      </c>
      <c r="D319" s="49" t="str">
        <f t="shared" si="3"/>
        <v>37500</v>
      </c>
      <c r="E319" s="11" t="s">
        <v>133</v>
      </c>
      <c r="F319" s="11">
        <v>3.0</v>
      </c>
      <c r="G319" s="11">
        <v>3.0</v>
      </c>
      <c r="H319" s="11">
        <v>3.0</v>
      </c>
      <c r="I319" s="11">
        <v>3.0</v>
      </c>
    </row>
    <row r="320">
      <c r="A320" s="10" t="s">
        <v>6717</v>
      </c>
      <c r="B320" s="49" t="str">
        <f t="shared" si="1"/>
        <v>Banking</v>
      </c>
      <c r="C320" s="49" t="str">
        <f t="shared" si="2"/>
        <v>Banking; Neglect to perform any duty required; permit violation of any of the provisions of this act; make a false statement; or be guilty of any misconduct or corruption in office</v>
      </c>
      <c r="D320" s="49" t="str">
        <f t="shared" si="3"/>
        <v>38596</v>
      </c>
      <c r="E320" s="11" t="s">
        <v>133</v>
      </c>
      <c r="F320" s="11">
        <v>3.0</v>
      </c>
      <c r="G320" s="11">
        <v>3.0</v>
      </c>
      <c r="H320" s="11">
        <v>3.0</v>
      </c>
      <c r="I320" s="11">
        <v>3.0</v>
      </c>
    </row>
    <row r="321">
      <c r="A321" s="10" t="s">
        <v>6718</v>
      </c>
      <c r="B321" s="49" t="str">
        <f t="shared" si="1"/>
        <v>Banking</v>
      </c>
      <c r="C321" s="49" t="str">
        <f t="shared" si="2"/>
        <v>Banking; Neglect to perform duties required or failure to conform to law</v>
      </c>
      <c r="D321" s="49" t="str">
        <f t="shared" si="3"/>
        <v>37135</v>
      </c>
      <c r="E321" s="11" t="s">
        <v>133</v>
      </c>
      <c r="F321" s="11">
        <v>3.0</v>
      </c>
      <c r="G321" s="11">
        <v>3.0</v>
      </c>
      <c r="H321" s="11">
        <v>3.0</v>
      </c>
      <c r="I321" s="11">
        <v>3.0</v>
      </c>
    </row>
    <row r="322">
      <c r="A322" s="10" t="s">
        <v>6719</v>
      </c>
      <c r="B322" s="49" t="str">
        <f t="shared" si="1"/>
        <v>Banking</v>
      </c>
      <c r="C322" s="49" t="str">
        <f t="shared" si="2"/>
        <v>Banking; Receiving deposits after authority revoked</v>
      </c>
      <c r="D322" s="49" t="str">
        <f t="shared" si="3"/>
        <v>38961</v>
      </c>
      <c r="E322" s="11" t="s">
        <v>133</v>
      </c>
      <c r="F322" s="11">
        <v>3.0</v>
      </c>
      <c r="G322" s="11">
        <v>3.0</v>
      </c>
      <c r="H322" s="11">
        <v>3.0</v>
      </c>
      <c r="I322" s="11">
        <v>3.0</v>
      </c>
    </row>
    <row r="323">
      <c r="A323" s="10" t="s">
        <v>6720</v>
      </c>
      <c r="B323" s="49" t="str">
        <f t="shared" si="1"/>
        <v>Banking</v>
      </c>
      <c r="C323" s="49" t="str">
        <f t="shared" si="2"/>
        <v>Banking; Unlawful to obstruct examination</v>
      </c>
      <c r="D323" s="49" t="str">
        <f t="shared" si="3"/>
        <v>43709</v>
      </c>
      <c r="E323" s="11" t="s">
        <v>133</v>
      </c>
      <c r="F323" s="11">
        <v>3.0</v>
      </c>
      <c r="G323" s="11">
        <v>3.0</v>
      </c>
      <c r="H323" s="11">
        <v>3.0</v>
      </c>
      <c r="I323" s="11">
        <v>3.0</v>
      </c>
    </row>
    <row r="324">
      <c r="A324" s="10" t="s">
        <v>6721</v>
      </c>
      <c r="B324" s="49" t="str">
        <f t="shared" si="1"/>
        <v>Banking</v>
      </c>
      <c r="C324" s="49" t="str">
        <f t="shared" si="2"/>
        <v>Banking; Unlawful to offer anything of value</v>
      </c>
      <c r="D324" s="49" t="str">
        <f t="shared" si="3"/>
        <v>9-2013(a)(1)</v>
      </c>
      <c r="E324" s="11" t="s">
        <v>133</v>
      </c>
      <c r="F324" s="11">
        <v>3.0</v>
      </c>
      <c r="G324" s="11">
        <v>3.0</v>
      </c>
      <c r="H324" s="11">
        <v>3.0</v>
      </c>
      <c r="I324" s="11">
        <v>3.0</v>
      </c>
    </row>
    <row r="325">
      <c r="A325" s="10" t="s">
        <v>6722</v>
      </c>
      <c r="B325" s="49" t="str">
        <f t="shared" si="1"/>
        <v>Banking</v>
      </c>
      <c r="C325" s="49" t="str">
        <f t="shared" si="2"/>
        <v>Banking; Unlawful to solicit anything of value</v>
      </c>
      <c r="D325" s="49" t="str">
        <f t="shared" si="3"/>
        <v>9-2013(a)(2)</v>
      </c>
      <c r="E325" s="11" t="s">
        <v>133</v>
      </c>
      <c r="F325" s="11">
        <v>3.0</v>
      </c>
      <c r="G325" s="11">
        <v>3.0</v>
      </c>
      <c r="H325" s="11">
        <v>3.0</v>
      </c>
      <c r="I325" s="11">
        <v>3.0</v>
      </c>
    </row>
    <row r="326">
      <c r="A326" s="10" t="s">
        <v>6723</v>
      </c>
      <c r="B326" s="49" t="str">
        <f t="shared" si="1"/>
        <v>Banking</v>
      </c>
      <c r="C326" s="49" t="str">
        <f t="shared" si="2"/>
        <v>Banking; Unlawfully engaging in the banking or trust company business</v>
      </c>
      <c r="D326" s="49" t="str">
        <f t="shared" si="3"/>
        <v>40787</v>
      </c>
      <c r="E326" s="11" t="s">
        <v>133</v>
      </c>
      <c r="F326" s="11">
        <v>3.0</v>
      </c>
      <c r="G326" s="11">
        <v>3.0</v>
      </c>
      <c r="H326" s="11">
        <v>3.0</v>
      </c>
      <c r="I326" s="11">
        <v>3.0</v>
      </c>
    </row>
    <row r="327">
      <c r="A327" s="10" t="s">
        <v>6724</v>
      </c>
      <c r="B327" s="49" t="str">
        <f t="shared" si="1"/>
        <v>Banking</v>
      </c>
      <c r="C327" s="49" t="str">
        <f t="shared" si="2"/>
        <v>Banking; Unlawfully transacting banking or trust business</v>
      </c>
      <c r="D327" s="49" t="str">
        <f t="shared" si="3"/>
        <v>42614</v>
      </c>
      <c r="E327" s="11" t="s">
        <v>133</v>
      </c>
      <c r="F327" s="11">
        <v>3.0</v>
      </c>
      <c r="G327" s="11">
        <v>3.0</v>
      </c>
      <c r="H327" s="11">
        <v>3.0</v>
      </c>
      <c r="I327" s="11">
        <v>3.0</v>
      </c>
    </row>
    <row r="328">
      <c r="A328" s="10" t="s">
        <v>6725</v>
      </c>
      <c r="B328" s="49" t="str">
        <f t="shared" si="1"/>
        <v>Banking</v>
      </c>
      <c r="C328" s="49" t="str">
        <f t="shared" si="2"/>
        <v>Banking; Willfully swear or affirm falsely; penalty as for perjury; in a felony trial</v>
      </c>
      <c r="D328" s="49" t="str">
        <f t="shared" si="3"/>
        <v>38231</v>
      </c>
      <c r="E328" s="11" t="s">
        <v>133</v>
      </c>
      <c r="F328" s="11">
        <v>3.0</v>
      </c>
      <c r="G328" s="11">
        <v>3.0</v>
      </c>
      <c r="H328" s="11">
        <v>3.0</v>
      </c>
      <c r="I328" s="11">
        <v>3.0</v>
      </c>
    </row>
    <row r="329">
      <c r="A329" s="10" t="s">
        <v>6726</v>
      </c>
      <c r="B329" s="49" t="str">
        <f t="shared" si="1"/>
        <v>Banking</v>
      </c>
      <c r="C329" s="49" t="str">
        <f t="shared" si="2"/>
        <v>Banking; Willfully swear or affirm falsely; penalty as for perjury; other than in a felony trial</v>
      </c>
      <c r="D329" s="49" t="str">
        <f t="shared" si="3"/>
        <v>38231</v>
      </c>
      <c r="E329" s="11" t="s">
        <v>133</v>
      </c>
      <c r="F329" s="11">
        <v>3.0</v>
      </c>
      <c r="G329" s="11">
        <v>3.0</v>
      </c>
      <c r="H329" s="11">
        <v>3.0</v>
      </c>
      <c r="I329" s="11">
        <v>3.0</v>
      </c>
    </row>
    <row r="330">
      <c r="A330" s="10" t="s">
        <v>6727</v>
      </c>
      <c r="B330" s="49" t="str">
        <f t="shared" si="1"/>
        <v>Barberry Eradication</v>
      </c>
      <c r="C330" s="49" t="str">
        <f t="shared" si="2"/>
        <v>Barberry Eradication; Penalty for violation of act, K.S.A. 2-712 to 2-716</v>
      </c>
      <c r="D330" s="49" t="str">
        <f t="shared" si="3"/>
        <v>2-717</v>
      </c>
      <c r="E330" s="11" t="s">
        <v>133</v>
      </c>
      <c r="F330" s="11">
        <v>3.0</v>
      </c>
      <c r="G330" s="11">
        <v>3.0</v>
      </c>
      <c r="H330" s="11">
        <v>3.0</v>
      </c>
      <c r="I330" s="11">
        <v>3.0</v>
      </c>
    </row>
    <row r="331">
      <c r="A331" s="10" t="s">
        <v>6728</v>
      </c>
      <c r="B331" s="49" t="str">
        <f t="shared" si="1"/>
        <v>Barbers</v>
      </c>
      <c r="C331" s="49" t="str">
        <f t="shared" si="2"/>
        <v>Barbers; Obtain or attempt to obtain a license for any other than the required fee, or for any other thing of value or by fraudulent misrepresentations</v>
      </c>
      <c r="D331" s="49" t="str">
        <f t="shared" si="3"/>
        <v>65-1822(b)</v>
      </c>
      <c r="E331" s="11" t="s">
        <v>133</v>
      </c>
      <c r="F331" s="11">
        <v>3.0</v>
      </c>
      <c r="G331" s="11">
        <v>3.0</v>
      </c>
      <c r="H331" s="11">
        <v>3.0</v>
      </c>
      <c r="I331" s="11">
        <v>3.0</v>
      </c>
    </row>
    <row r="332">
      <c r="A332" s="10" t="s">
        <v>6729</v>
      </c>
      <c r="B332" s="49" t="str">
        <f t="shared" si="1"/>
        <v>Barbers</v>
      </c>
      <c r="C332" s="49" t="str">
        <f t="shared" si="2"/>
        <v>Barbers; Operate a barber school or barber college without a license</v>
      </c>
      <c r="D332" s="49" t="str">
        <f t="shared" si="3"/>
        <v>65-1810(f)</v>
      </c>
      <c r="E332" s="11" t="s">
        <v>133</v>
      </c>
      <c r="F332" s="11">
        <v>3.0</v>
      </c>
      <c r="G332" s="11">
        <v>3.0</v>
      </c>
      <c r="H332" s="11">
        <v>3.0</v>
      </c>
      <c r="I332" s="11">
        <v>3.0</v>
      </c>
    </row>
    <row r="333">
      <c r="A333" s="10" t="s">
        <v>6730</v>
      </c>
      <c r="B333" s="49" t="str">
        <f t="shared" si="1"/>
        <v>Barbers</v>
      </c>
      <c r="C333" s="49" t="str">
        <f t="shared" si="2"/>
        <v>Barbers; Penalty for any violation of act</v>
      </c>
      <c r="D333" s="49" t="str">
        <f t="shared" si="3"/>
        <v>65-1822(a)</v>
      </c>
      <c r="E333" s="11" t="s">
        <v>133</v>
      </c>
      <c r="F333" s="11">
        <v>3.0</v>
      </c>
      <c r="G333" s="11">
        <v>3.0</v>
      </c>
      <c r="H333" s="11">
        <v>3.0</v>
      </c>
      <c r="I333" s="11">
        <v>3.0</v>
      </c>
    </row>
    <row r="334">
      <c r="A334" s="10" t="s">
        <v>6731</v>
      </c>
      <c r="B334" s="49" t="str">
        <f t="shared" si="1"/>
        <v>Barbers</v>
      </c>
      <c r="C334" s="49" t="str">
        <f t="shared" si="2"/>
        <v>Barbers; Penalty for any violation of act unless otherwise provided</v>
      </c>
      <c r="D334" s="49" t="str">
        <f t="shared" si="3"/>
        <v>65-1828(a)</v>
      </c>
      <c r="E334" s="11" t="s">
        <v>133</v>
      </c>
      <c r="F334" s="11">
        <v>3.0</v>
      </c>
      <c r="G334" s="11">
        <v>3.0</v>
      </c>
      <c r="H334" s="11">
        <v>3.0</v>
      </c>
      <c r="I334" s="11">
        <v>3.0</v>
      </c>
    </row>
    <row r="335">
      <c r="A335" s="10" t="s">
        <v>6732</v>
      </c>
      <c r="B335" s="49" t="str">
        <f t="shared" si="1"/>
        <v>Barbers</v>
      </c>
      <c r="C335" s="49" t="str">
        <f t="shared" si="2"/>
        <v>Barbers; Practice or attempt to practice by fraudulent misrepresentations</v>
      </c>
      <c r="D335" s="49" t="str">
        <f t="shared" si="3"/>
        <v>65-1822(c)</v>
      </c>
      <c r="E335" s="11" t="s">
        <v>133</v>
      </c>
      <c r="F335" s="11">
        <v>3.0</v>
      </c>
      <c r="G335" s="11">
        <v>3.0</v>
      </c>
      <c r="H335" s="11">
        <v>3.0</v>
      </c>
      <c r="I335" s="11">
        <v>3.0</v>
      </c>
    </row>
    <row r="336">
      <c r="A336" s="10" t="s">
        <v>6733</v>
      </c>
      <c r="B336" s="49" t="str">
        <f t="shared" si="1"/>
        <v>Battery</v>
      </c>
      <c r="C336" s="49" t="str">
        <f t="shared" si="2"/>
        <v>Battery; Attorney while engaged in performance of duty</v>
      </c>
      <c r="D336" s="49" t="str">
        <f t="shared" si="3"/>
        <v>21-5413(c)(1)(D)</v>
      </c>
      <c r="E336" s="11" t="s">
        <v>133</v>
      </c>
      <c r="F336" s="11">
        <v>3.0</v>
      </c>
      <c r="G336" s="11">
        <v>3.0</v>
      </c>
      <c r="H336" s="11">
        <v>3.0</v>
      </c>
      <c r="I336" s="11">
        <v>3.0</v>
      </c>
    </row>
    <row r="337">
      <c r="A337" s="10" t="s">
        <v>6734</v>
      </c>
      <c r="B337" s="49" t="str">
        <f t="shared" si="1"/>
        <v>Battery</v>
      </c>
      <c r="C337" s="49" t="str">
        <f t="shared" si="2"/>
        <v>Battery; Attorney while engaged in performance of duty</v>
      </c>
      <c r="D337" s="49" t="str">
        <f t="shared" si="3"/>
        <v>21-5413(c)(2)(D)</v>
      </c>
      <c r="E337" s="11" t="s">
        <v>133</v>
      </c>
      <c r="F337" s="11">
        <v>3.0</v>
      </c>
      <c r="G337" s="11">
        <v>3.0</v>
      </c>
      <c r="H337" s="11">
        <v>3.0</v>
      </c>
      <c r="I337" s="11">
        <v>3.0</v>
      </c>
    </row>
    <row r="338">
      <c r="A338" s="10" t="s">
        <v>6735</v>
      </c>
      <c r="B338" s="49" t="str">
        <f t="shared" si="1"/>
        <v>Battery</v>
      </c>
      <c r="C338" s="49" t="str">
        <f t="shared" si="2"/>
        <v>Battery; Campus or university police officer; knowingly or recklessly causing bodily harm</v>
      </c>
      <c r="D338" s="49" t="str">
        <f t="shared" si="3"/>
        <v>21-5413(c)(2)(A)</v>
      </c>
      <c r="E338" s="11" t="s">
        <v>133</v>
      </c>
      <c r="F338" s="11">
        <v>3.0</v>
      </c>
      <c r="G338" s="11">
        <v>3.0</v>
      </c>
      <c r="H338" s="11">
        <v>3.0</v>
      </c>
      <c r="I338" s="11">
        <v>3.0</v>
      </c>
    </row>
    <row r="339">
      <c r="A339" s="10" t="s">
        <v>6736</v>
      </c>
      <c r="B339" s="49" t="str">
        <f t="shared" si="1"/>
        <v>Battery</v>
      </c>
      <c r="C339" s="49" t="str">
        <f t="shared" si="2"/>
        <v>Battery; Campus/university police officer; Knowingly causing physical contact  in a rude, insulting or angry manner</v>
      </c>
      <c r="D339" s="49" t="str">
        <f t="shared" si="3"/>
        <v>21-5413(c)(1)(A)</v>
      </c>
      <c r="E339" s="11" t="s">
        <v>133</v>
      </c>
      <c r="F339" s="11">
        <v>3.0</v>
      </c>
      <c r="G339" s="11">
        <v>3.0</v>
      </c>
      <c r="H339" s="11">
        <v>3.0</v>
      </c>
      <c r="I339" s="11">
        <v>3.0</v>
      </c>
    </row>
    <row r="340">
      <c r="A340" s="10" t="s">
        <v>6737</v>
      </c>
      <c r="B340" s="49" t="str">
        <f t="shared" si="1"/>
        <v>Battery</v>
      </c>
      <c r="C340" s="49" t="str">
        <f t="shared" si="2"/>
        <v>Battery; City or county correctional officer/employee by a person confined in city holding facility or county jail</v>
      </c>
      <c r="D340" s="49" t="str">
        <f t="shared" si="3"/>
        <v>21-5413(c)(3)(D)</v>
      </c>
      <c r="E340" s="11" t="s">
        <v>133</v>
      </c>
      <c r="F340" s="11">
        <v>3.0</v>
      </c>
      <c r="G340" s="11">
        <v>3.0</v>
      </c>
      <c r="H340" s="11">
        <v>3.0</v>
      </c>
      <c r="I340" s="11">
        <v>3.0</v>
      </c>
    </row>
    <row r="341">
      <c r="A341" s="10" t="s">
        <v>6738</v>
      </c>
      <c r="B341" s="49" t="str">
        <f t="shared" si="1"/>
        <v>Battery</v>
      </c>
      <c r="C341" s="49" t="str">
        <f t="shared" si="2"/>
        <v>Battery; Community corrections or court services officer while engaged in performance of duty</v>
      </c>
      <c r="D341" s="49" t="str">
        <f t="shared" si="3"/>
        <v>21-5413(c)(1)(E)</v>
      </c>
      <c r="E341" s="11" t="s">
        <v>133</v>
      </c>
      <c r="F341" s="11">
        <v>3.0</v>
      </c>
      <c r="G341" s="11">
        <v>3.0</v>
      </c>
      <c r="H341" s="11">
        <v>3.0</v>
      </c>
      <c r="I341" s="11">
        <v>3.0</v>
      </c>
    </row>
    <row r="342">
      <c r="A342" s="10" t="s">
        <v>6739</v>
      </c>
      <c r="B342" s="49" t="str">
        <f t="shared" si="1"/>
        <v>Battery</v>
      </c>
      <c r="C342" s="49" t="str">
        <f t="shared" si="2"/>
        <v>Battery; Community corrections or court services officer while engaged in performance of duty</v>
      </c>
      <c r="D342" s="49" t="str">
        <f t="shared" si="3"/>
        <v>21-5413(c)(2)(E)</v>
      </c>
      <c r="E342" s="11" t="s">
        <v>133</v>
      </c>
      <c r="F342" s="11">
        <v>3.0</v>
      </c>
      <c r="G342" s="11">
        <v>3.0</v>
      </c>
      <c r="H342" s="11">
        <v>3.0</v>
      </c>
      <c r="I342" s="11">
        <v>3.0</v>
      </c>
    </row>
    <row r="343">
      <c r="A343" s="10" t="s">
        <v>6740</v>
      </c>
      <c r="B343" s="49" t="str">
        <f t="shared" si="1"/>
        <v>Battery</v>
      </c>
      <c r="C343" s="49" t="str">
        <f t="shared" si="2"/>
        <v>Battery; Judge while engaged in performance of duty</v>
      </c>
      <c r="D343" s="49" t="str">
        <f t="shared" si="3"/>
        <v>21-5413(c)(1)(C)</v>
      </c>
      <c r="E343" s="11" t="s">
        <v>133</v>
      </c>
      <c r="F343" s="11">
        <v>3.0</v>
      </c>
      <c r="G343" s="11">
        <v>3.0</v>
      </c>
      <c r="H343" s="11">
        <v>3.0</v>
      </c>
      <c r="I343" s="11">
        <v>3.0</v>
      </c>
    </row>
    <row r="344">
      <c r="A344" s="10" t="s">
        <v>6741</v>
      </c>
      <c r="B344" s="49" t="str">
        <f t="shared" si="1"/>
        <v>Battery</v>
      </c>
      <c r="C344" s="49" t="str">
        <f t="shared" si="2"/>
        <v>Battery; Judge while engaged in performance of duty</v>
      </c>
      <c r="D344" s="49" t="str">
        <f t="shared" si="3"/>
        <v>21-5413(c)(2)(C)</v>
      </c>
      <c r="E344" s="11" t="s">
        <v>133</v>
      </c>
      <c r="F344" s="11">
        <v>3.0</v>
      </c>
      <c r="G344" s="11">
        <v>3.0</v>
      </c>
      <c r="H344" s="11">
        <v>3.0</v>
      </c>
      <c r="I344" s="11">
        <v>3.0</v>
      </c>
    </row>
    <row r="345">
      <c r="A345" s="10" t="s">
        <v>6742</v>
      </c>
      <c r="B345" s="49" t="str">
        <f t="shared" si="1"/>
        <v>Battery</v>
      </c>
      <c r="C345" s="49" t="str">
        <f t="shared" si="2"/>
        <v>Battery; Juvenile correctional facility officer/employee by a person confined in a JCF</v>
      </c>
      <c r="D345" s="49" t="str">
        <f t="shared" si="3"/>
        <v>21-5413(c)(3)(B)</v>
      </c>
      <c r="E345" s="11" t="s">
        <v>133</v>
      </c>
      <c r="F345" s="11">
        <v>3.0</v>
      </c>
      <c r="G345" s="11">
        <v>3.0</v>
      </c>
      <c r="H345" s="11">
        <v>3.0</v>
      </c>
      <c r="I345" s="11">
        <v>3.0</v>
      </c>
    </row>
    <row r="346">
      <c r="A346" s="10" t="s">
        <v>6743</v>
      </c>
      <c r="B346" s="49" t="str">
        <f t="shared" si="1"/>
        <v>Battery</v>
      </c>
      <c r="C346" s="49" t="str">
        <f t="shared" si="2"/>
        <v>Battery; Juvenile detention facility officer/employee by a person confined in a JDC</v>
      </c>
      <c r="D346" s="49" t="str">
        <f t="shared" si="3"/>
        <v>21-5413(c)(3)(C)</v>
      </c>
      <c r="E346" s="11" t="s">
        <v>133</v>
      </c>
      <c r="F346" s="11">
        <v>3.0</v>
      </c>
      <c r="G346" s="11">
        <v>3.0</v>
      </c>
      <c r="H346" s="11">
        <v>3.0</v>
      </c>
      <c r="I346" s="11">
        <v>3.0</v>
      </c>
    </row>
    <row r="347">
      <c r="A347" s="10" t="s">
        <v>6744</v>
      </c>
      <c r="B347" s="49" t="str">
        <f t="shared" si="1"/>
        <v>Battery</v>
      </c>
      <c r="C347" s="49" t="str">
        <f t="shared" si="2"/>
        <v>Battery; Knowingly causing physical contact with another person when done in a rude, insulting or angry manner</v>
      </c>
      <c r="D347" s="49" t="str">
        <f t="shared" si="3"/>
        <v>21-5413(a)(2)</v>
      </c>
      <c r="E347" s="11" t="s">
        <v>133</v>
      </c>
      <c r="F347" s="11">
        <v>3.0</v>
      </c>
      <c r="G347" s="11">
        <v>3.0</v>
      </c>
      <c r="H347" s="11">
        <v>3.0</v>
      </c>
      <c r="I347" s="11">
        <v>3.0</v>
      </c>
    </row>
    <row r="348">
      <c r="A348" s="10" t="s">
        <v>6745</v>
      </c>
      <c r="B348" s="49" t="str">
        <f t="shared" si="1"/>
        <v>Battery</v>
      </c>
      <c r="C348" s="49" t="str">
        <f t="shared" si="2"/>
        <v>Battery; Knowingly or recklessly causing bodily harm to another person</v>
      </c>
      <c r="D348" s="49" t="str">
        <f t="shared" si="3"/>
        <v>21-5413(a)(1)</v>
      </c>
      <c r="E348" s="11" t="s">
        <v>133</v>
      </c>
      <c r="F348" s="11">
        <v>3.0</v>
      </c>
      <c r="G348" s="11">
        <v>3.0</v>
      </c>
      <c r="H348" s="11">
        <v>3.0</v>
      </c>
      <c r="I348" s="11">
        <v>3.0</v>
      </c>
    </row>
    <row r="349">
      <c r="A349" s="10" t="s">
        <v>6746</v>
      </c>
      <c r="B349" s="49" t="str">
        <f t="shared" si="1"/>
        <v>Battery</v>
      </c>
      <c r="C349" s="49" t="str">
        <f t="shared" si="2"/>
        <v>Battery; Law enforcement officer; Knowingly causing physical contact in a rude, insulting or angry manner</v>
      </c>
      <c r="D349" s="49" t="str">
        <f t="shared" si="3"/>
        <v>21-5413(c)(1)(B)</v>
      </c>
      <c r="E349" s="11" t="s">
        <v>133</v>
      </c>
      <c r="F349" s="11">
        <v>3.0</v>
      </c>
      <c r="G349" s="11">
        <v>3.0</v>
      </c>
      <c r="H349" s="11">
        <v>3.0</v>
      </c>
      <c r="I349" s="11">
        <v>3.0</v>
      </c>
    </row>
    <row r="350">
      <c r="A350" s="10" t="s">
        <v>6747</v>
      </c>
      <c r="B350" s="49" t="str">
        <f t="shared" si="1"/>
        <v>Battery</v>
      </c>
      <c r="C350" s="49" t="str">
        <f t="shared" si="2"/>
        <v>Battery; Mental health employee</v>
      </c>
      <c r="D350" s="49" t="str">
        <f t="shared" si="3"/>
        <v>21-5413(f)</v>
      </c>
      <c r="E350" s="11" t="s">
        <v>133</v>
      </c>
      <c r="F350" s="11">
        <v>3.0</v>
      </c>
      <c r="G350" s="11">
        <v>3.0</v>
      </c>
      <c r="H350" s="11">
        <v>3.0</v>
      </c>
      <c r="I350" s="11">
        <v>3.0</v>
      </c>
    </row>
    <row r="351">
      <c r="A351" s="10" t="s">
        <v>6748</v>
      </c>
      <c r="B351" s="49" t="str">
        <f t="shared" si="1"/>
        <v>Battery</v>
      </c>
      <c r="C351" s="49" t="str">
        <f t="shared" si="2"/>
        <v>Battery; School employee</v>
      </c>
      <c r="D351" s="49" t="str">
        <f t="shared" si="3"/>
        <v>21-5413(e)</v>
      </c>
      <c r="E351" s="11" t="s">
        <v>133</v>
      </c>
      <c r="F351" s="11">
        <v>3.0</v>
      </c>
      <c r="G351" s="11">
        <v>3.0</v>
      </c>
      <c r="H351" s="11">
        <v>3.0</v>
      </c>
      <c r="I351" s="11">
        <v>3.0</v>
      </c>
    </row>
    <row r="352">
      <c r="A352" s="10" t="s">
        <v>6749</v>
      </c>
      <c r="B352" s="49" t="str">
        <f t="shared" si="1"/>
        <v>Battery</v>
      </c>
      <c r="C352" s="49" t="str">
        <f t="shared" si="2"/>
        <v>Battery; State correctional officer/employee by a person in custody of the Secretary of Corrections</v>
      </c>
      <c r="D352" s="49" t="str">
        <f t="shared" si="3"/>
        <v>21-5413(c)(3)(A)</v>
      </c>
      <c r="E352" s="11" t="s">
        <v>133</v>
      </c>
      <c r="F352" s="11">
        <v>3.0</v>
      </c>
      <c r="G352" s="11">
        <v>3.0</v>
      </c>
      <c r="H352" s="11">
        <v>3.0</v>
      </c>
      <c r="I352" s="11">
        <v>3.0</v>
      </c>
    </row>
    <row r="353">
      <c r="A353" s="10" t="s">
        <v>6750</v>
      </c>
      <c r="B353" s="49" t="str">
        <f t="shared" si="1"/>
        <v>Battery</v>
      </c>
      <c r="C353" s="49" t="str">
        <f t="shared" si="2"/>
        <v>Battery; State, county or city law enforcement officer; knowingly or recklessly causing bodily harm</v>
      </c>
      <c r="D353" s="49" t="str">
        <f t="shared" si="3"/>
        <v>21-5413(c)(2)(B)</v>
      </c>
      <c r="E353" s="11" t="s">
        <v>133</v>
      </c>
      <c r="F353" s="11">
        <v>3.0</v>
      </c>
      <c r="G353" s="11">
        <v>3.0</v>
      </c>
      <c r="H353" s="11">
        <v>3.0</v>
      </c>
      <c r="I353" s="11">
        <v>3.0</v>
      </c>
    </row>
    <row r="354">
      <c r="A354" s="10" t="s">
        <v>6751</v>
      </c>
      <c r="B354" s="49" t="str">
        <f t="shared" si="1"/>
        <v>Bigamy</v>
      </c>
      <c r="C354" s="49" t="str">
        <f t="shared" si="2"/>
        <v>Bigamy; Cohabitation in this state after marriage in another state or country under circumstances described in subsection (a)(1) or (a)(2)</v>
      </c>
      <c r="D354" s="49" t="str">
        <f t="shared" si="3"/>
        <v>21-5609(a)(3)</v>
      </c>
      <c r="E354" s="11" t="s">
        <v>133</v>
      </c>
      <c r="F354" s="11">
        <v>3.0</v>
      </c>
      <c r="G354" s="11">
        <v>3.0</v>
      </c>
      <c r="H354" s="11">
        <v>3.0</v>
      </c>
      <c r="I354" s="11">
        <v>3.0</v>
      </c>
    </row>
    <row r="355">
      <c r="A355" s="10" t="s">
        <v>6752</v>
      </c>
      <c r="B355" s="49" t="str">
        <f t="shared" si="1"/>
        <v>Bigamy</v>
      </c>
      <c r="C355" s="49" t="str">
        <f t="shared" si="2"/>
        <v>Bigamy; Marriage by a person who has another spouse living at the time of such marriage</v>
      </c>
      <c r="D355" s="49" t="str">
        <f t="shared" si="3"/>
        <v>21-5609(a)(1)</v>
      </c>
      <c r="E355" s="11" t="s">
        <v>133</v>
      </c>
      <c r="F355" s="11">
        <v>3.0</v>
      </c>
      <c r="G355" s="11">
        <v>3.0</v>
      </c>
      <c r="H355" s="11">
        <v>3.0</v>
      </c>
      <c r="I355" s="11">
        <v>3.0</v>
      </c>
    </row>
    <row r="356">
      <c r="A356" s="10" t="s">
        <v>6753</v>
      </c>
      <c r="B356" s="49" t="str">
        <f t="shared" si="1"/>
        <v>Bigamy</v>
      </c>
      <c r="C356" s="49" t="str">
        <f t="shared" si="2"/>
        <v>Bigamy; Marriage by an unmarried person to a person known to be the spouse of another</v>
      </c>
      <c r="D356" s="49" t="str">
        <f t="shared" si="3"/>
        <v>21-5609(a)(2)</v>
      </c>
      <c r="E356" s="11" t="s">
        <v>133</v>
      </c>
      <c r="F356" s="11">
        <v>3.0</v>
      </c>
      <c r="G356" s="11">
        <v>3.0</v>
      </c>
      <c r="H356" s="11">
        <v>3.0</v>
      </c>
      <c r="I356" s="11">
        <v>3.0</v>
      </c>
    </row>
    <row r="357">
      <c r="A357" s="10" t="s">
        <v>6754</v>
      </c>
      <c r="B357" s="49" t="str">
        <f t="shared" si="1"/>
        <v>Blackmail</v>
      </c>
      <c r="C357" s="49" t="str">
        <f t="shared" si="2"/>
        <v>Blackmail; Intentionally gain/attempt to gain anything of value or compel another to act against such person's will, by threatening to: Communicate information that would subject such person or another to public ridicule, contempt or degradation</v>
      </c>
      <c r="D357" s="49" t="str">
        <f t="shared" si="3"/>
        <v>21-5428(a)(1)</v>
      </c>
      <c r="E357" s="11" t="s">
        <v>133</v>
      </c>
      <c r="F357" s="11">
        <v>3.0</v>
      </c>
      <c r="G357" s="11">
        <v>3.0</v>
      </c>
      <c r="H357" s="11">
        <v>3.0</v>
      </c>
      <c r="I357" s="11">
        <v>3.0</v>
      </c>
    </row>
    <row r="358">
      <c r="A358" s="10" t="s">
        <v>6755</v>
      </c>
      <c r="B358" s="49" t="str">
        <f t="shared" si="1"/>
        <v>Blackmail</v>
      </c>
      <c r="C358" s="49" t="str">
        <f t="shared" si="2"/>
        <v>Blackmail; Intentionally gain/attempt to gain anything of value or compel another to act against such person's will, by threatening to: Disseminate videotape, photograph, film or image obtained in violation of K.S.A. 21-6101(a)(6)</v>
      </c>
      <c r="D358" s="49" t="str">
        <f t="shared" si="3"/>
        <v>21-5428(a)(2)</v>
      </c>
      <c r="E358" s="11" t="s">
        <v>133</v>
      </c>
      <c r="F358" s="11">
        <v>3.0</v>
      </c>
      <c r="G358" s="11">
        <v>3.0</v>
      </c>
      <c r="H358" s="11">
        <v>3.0</v>
      </c>
      <c r="I358" s="11">
        <v>3.0</v>
      </c>
    </row>
    <row r="359">
      <c r="A359" s="10" t="s">
        <v>6756</v>
      </c>
      <c r="B359" s="49" t="str">
        <f t="shared" si="1"/>
        <v>Board of Examiners In Fitting &amp; Dispensing of Hearing Aids</v>
      </c>
      <c r="C359" s="49" t="str">
        <f t="shared" si="2"/>
        <v>Board of Examiners In Fitting &amp; Dispensing of Hearing Aids; Penalty for violation of Act - 1st offense</v>
      </c>
      <c r="D359" s="49" t="str">
        <f t="shared" si="3"/>
        <v>74-5824</v>
      </c>
      <c r="E359" s="11" t="s">
        <v>133</v>
      </c>
      <c r="F359" s="11">
        <v>3.0</v>
      </c>
      <c r="G359" s="11">
        <v>3.0</v>
      </c>
      <c r="H359" s="11">
        <v>3.0</v>
      </c>
      <c r="I359" s="11">
        <v>3.0</v>
      </c>
    </row>
    <row r="360">
      <c r="A360" s="10" t="s">
        <v>6757</v>
      </c>
      <c r="B360" s="49" t="str">
        <f t="shared" si="1"/>
        <v>Board of Examiners In Fitting &amp; Dispensing of Hearing Aids</v>
      </c>
      <c r="C360" s="49" t="str">
        <f t="shared" si="2"/>
        <v>Board of Examiners In Fitting &amp; Dispensing of Hearing Aids; Penalty for violation of Act - 2nd or subs. offense</v>
      </c>
      <c r="D360" s="49" t="str">
        <f t="shared" si="3"/>
        <v>74-5824</v>
      </c>
      <c r="E360" s="11" t="s">
        <v>133</v>
      </c>
      <c r="F360" s="11">
        <v>3.0</v>
      </c>
      <c r="G360" s="11">
        <v>3.0</v>
      </c>
      <c r="H360" s="11">
        <v>3.0</v>
      </c>
      <c r="I360" s="11">
        <v>3.0</v>
      </c>
    </row>
    <row r="361">
      <c r="A361" s="10" t="s">
        <v>6758</v>
      </c>
      <c r="B361" s="49" t="str">
        <f t="shared" si="1"/>
        <v>Boating</v>
      </c>
      <c r="C361" s="49" t="str">
        <f t="shared" si="2"/>
        <v>Boating; Applications for license of vessels to indicate presence of marine toilets</v>
      </c>
      <c r="D361" s="49" t="str">
        <f t="shared" si="3"/>
        <v>32-1155</v>
      </c>
      <c r="E361" s="11" t="s">
        <v>133</v>
      </c>
      <c r="F361" s="11">
        <v>3.0</v>
      </c>
      <c r="G361" s="11">
        <v>3.0</v>
      </c>
      <c r="H361" s="11">
        <v>3.0</v>
      </c>
      <c r="I361" s="11">
        <v>3.0</v>
      </c>
    </row>
    <row r="362">
      <c r="A362" s="10" t="s">
        <v>6759</v>
      </c>
      <c r="B362" s="49" t="str">
        <f t="shared" si="1"/>
        <v>Boating</v>
      </c>
      <c r="C362" s="49" t="str">
        <f t="shared" si="2"/>
        <v>Boating; Boating without required lifesaving devices</v>
      </c>
      <c r="D362" s="49" t="str">
        <f t="shared" si="3"/>
        <v>32-1129(a)</v>
      </c>
      <c r="E362" s="11" t="s">
        <v>133</v>
      </c>
      <c r="F362" s="11">
        <v>3.0</v>
      </c>
      <c r="G362" s="11">
        <v>3.0</v>
      </c>
      <c r="H362" s="11">
        <v>3.0</v>
      </c>
      <c r="I362" s="11">
        <v>3.0</v>
      </c>
    </row>
    <row r="363">
      <c r="A363" s="10" t="s">
        <v>6760</v>
      </c>
      <c r="B363" s="49" t="str">
        <f t="shared" si="1"/>
        <v>Boating</v>
      </c>
      <c r="C363" s="49" t="str">
        <f t="shared" si="2"/>
        <v>Boating; Every motorboat of class 2 or 3 shall be provided with an efficient bell</v>
      </c>
      <c r="D363" s="49" t="str">
        <f t="shared" si="3"/>
        <v>32-1119(e)</v>
      </c>
      <c r="E363" s="11" t="s">
        <v>133</v>
      </c>
      <c r="F363" s="11">
        <v>3.0</v>
      </c>
      <c r="G363" s="11">
        <v>3.0</v>
      </c>
      <c r="H363" s="11">
        <v>3.0</v>
      </c>
      <c r="I363" s="11">
        <v>3.0</v>
      </c>
    </row>
    <row r="364">
      <c r="A364" s="10" t="s">
        <v>6761</v>
      </c>
      <c r="B364" s="49" t="str">
        <f t="shared" si="1"/>
        <v>Boating</v>
      </c>
      <c r="C364" s="49" t="str">
        <f t="shared" si="2"/>
        <v>Boating; Fail to have the carburetor or carburetors of engine using gasoline as fuel, equipped with coast guard approved flame arrester, backfire trap or other similar device, unless exempt</v>
      </c>
      <c r="D364" s="49" t="str">
        <f t="shared" si="3"/>
        <v>32-1119(i)</v>
      </c>
      <c r="E364" s="11" t="s">
        <v>133</v>
      </c>
      <c r="F364" s="11">
        <v>3.0</v>
      </c>
      <c r="G364" s="11">
        <v>3.0</v>
      </c>
      <c r="H364" s="11">
        <v>3.0</v>
      </c>
      <c r="I364" s="11">
        <v>3.0</v>
      </c>
    </row>
    <row r="365">
      <c r="A365" s="10" t="s">
        <v>6762</v>
      </c>
      <c r="B365" s="49" t="str">
        <f t="shared" si="1"/>
        <v>Boating</v>
      </c>
      <c r="C365" s="49" t="str">
        <f t="shared" si="2"/>
        <v>Boating; Fail to keep readily accessible and in good condition, coast guard approved fire extinguishers, capable of promptly and effectually extinguishing burning gasoline</v>
      </c>
      <c r="D365" s="49" t="str">
        <f t="shared" si="3"/>
        <v>32-1119(g)</v>
      </c>
      <c r="E365" s="11" t="s">
        <v>133</v>
      </c>
      <c r="F365" s="11">
        <v>3.0</v>
      </c>
      <c r="G365" s="11">
        <v>3.0</v>
      </c>
      <c r="H365" s="11">
        <v>3.0</v>
      </c>
      <c r="I365" s="11">
        <v>3.0</v>
      </c>
    </row>
    <row r="366">
      <c r="A366" s="10" t="s">
        <v>6763</v>
      </c>
      <c r="B366" s="49" t="str">
        <f t="shared" si="1"/>
        <v>Boating</v>
      </c>
      <c r="C366" s="49" t="str">
        <f t="shared" si="2"/>
        <v>Boating; Fail to keep readily accessible one coast guard approved lifesaving device for each person on board</v>
      </c>
      <c r="D366" s="49" t="str">
        <f t="shared" si="3"/>
        <v>32-1119(f)</v>
      </c>
      <c r="E366" s="11" t="s">
        <v>133</v>
      </c>
      <c r="F366" s="11">
        <v>3.0</v>
      </c>
      <c r="G366" s="11">
        <v>3.0</v>
      </c>
      <c r="H366" s="11">
        <v>3.0</v>
      </c>
      <c r="I366" s="11">
        <v>3.0</v>
      </c>
    </row>
    <row r="367">
      <c r="A367" s="10" t="s">
        <v>6764</v>
      </c>
      <c r="B367" s="49" t="str">
        <f t="shared" si="1"/>
        <v>Boating</v>
      </c>
      <c r="C367" s="49" t="str">
        <f t="shared" si="2"/>
        <v>Boating; Fail to provide means for properly and efficiently ventilating the bilges of the engine and fuel tank compartments, unless exempt</v>
      </c>
      <c r="D367" s="49" t="str">
        <f t="shared" si="3"/>
        <v>32-1119(j)</v>
      </c>
      <c r="E367" s="11" t="s">
        <v>133</v>
      </c>
      <c r="F367" s="11">
        <v>3.0</v>
      </c>
      <c r="G367" s="11">
        <v>3.0</v>
      </c>
      <c r="H367" s="11">
        <v>3.0</v>
      </c>
      <c r="I367" s="11">
        <v>3.0</v>
      </c>
    </row>
    <row r="368">
      <c r="A368" s="10" t="s">
        <v>6765</v>
      </c>
      <c r="B368" s="49" t="str">
        <f t="shared" si="1"/>
        <v>Boating</v>
      </c>
      <c r="C368" s="49" t="str">
        <f t="shared" si="2"/>
        <v>Boating; Failure of owner of a boat livery ensure that the equipment required pursuant to K.S.A. 32-1119 has been provided prior to permitting operation of any motorboat</v>
      </c>
      <c r="D368" s="49" t="str">
        <f t="shared" si="3"/>
        <v>32-1148(b)</v>
      </c>
      <c r="E368" s="11" t="s">
        <v>133</v>
      </c>
      <c r="F368" s="11">
        <v>3.0</v>
      </c>
      <c r="G368" s="11">
        <v>3.0</v>
      </c>
      <c r="H368" s="11">
        <v>3.0</v>
      </c>
      <c r="I368" s="11">
        <v>3.0</v>
      </c>
    </row>
    <row r="369">
      <c r="A369" s="10" t="s">
        <v>6766</v>
      </c>
      <c r="B369" s="49" t="str">
        <f t="shared" si="1"/>
        <v>Boating</v>
      </c>
      <c r="C369" s="49" t="str">
        <f t="shared" si="2"/>
        <v>Boating; Failure of owner of a boat livery to keep certain records for at least 6 months</v>
      </c>
      <c r="D369" s="49" t="str">
        <f t="shared" si="3"/>
        <v>32-1148(a)</v>
      </c>
      <c r="E369" s="11" t="s">
        <v>133</v>
      </c>
      <c r="F369" s="11">
        <v>3.0</v>
      </c>
      <c r="G369" s="11">
        <v>3.0</v>
      </c>
      <c r="H369" s="11">
        <v>3.0</v>
      </c>
      <c r="I369" s="11">
        <v>3.0</v>
      </c>
    </row>
    <row r="370">
      <c r="A370" s="10" t="s">
        <v>6767</v>
      </c>
      <c r="B370" s="49" t="str">
        <f t="shared" si="1"/>
        <v>Boating</v>
      </c>
      <c r="C370" s="49" t="str">
        <f t="shared" si="2"/>
        <v>Boating; Failure of vessel operator involved in a collision resulting in death or excessive property damage to file full description of the incident</v>
      </c>
      <c r="D370" s="49" t="str">
        <f t="shared" si="3"/>
        <v>32-1177(b)</v>
      </c>
      <c r="E370" s="11" t="s">
        <v>133</v>
      </c>
      <c r="F370" s="11">
        <v>3.0</v>
      </c>
      <c r="G370" s="11">
        <v>3.0</v>
      </c>
      <c r="H370" s="11">
        <v>3.0</v>
      </c>
      <c r="I370" s="11">
        <v>3.0</v>
      </c>
    </row>
    <row r="371">
      <c r="A371" s="10" t="s">
        <v>6768</v>
      </c>
      <c r="B371" s="49" t="str">
        <f t="shared" si="1"/>
        <v>Boating</v>
      </c>
      <c r="C371" s="49" t="str">
        <f t="shared" si="2"/>
        <v>Boating; Failure of vessel operator involved in a collision, accident or other casualty to render aid and provide contact information</v>
      </c>
      <c r="D371" s="49" t="str">
        <f t="shared" si="3"/>
        <v>32-1177(a)</v>
      </c>
      <c r="E371" s="11" t="s">
        <v>133</v>
      </c>
      <c r="F371" s="11">
        <v>3.0</v>
      </c>
      <c r="G371" s="11">
        <v>3.0</v>
      </c>
      <c r="H371" s="11">
        <v>3.0</v>
      </c>
      <c r="I371" s="11">
        <v>3.0</v>
      </c>
    </row>
    <row r="372">
      <c r="A372" s="10" t="s">
        <v>6769</v>
      </c>
      <c r="B372" s="49" t="str">
        <f t="shared" si="1"/>
        <v>Boating</v>
      </c>
      <c r="C372" s="49" t="str">
        <f t="shared" si="2"/>
        <v>Boating; Inspection certificate issued by the United States coast guard required for owner of any vessel operating on the waters of this state and carrying more than 20 passengers</v>
      </c>
      <c r="D372" s="49" t="str">
        <f t="shared" si="3"/>
        <v>32-1127(b)</v>
      </c>
      <c r="E372" s="11" t="s">
        <v>133</v>
      </c>
      <c r="F372" s="11">
        <v>3.0</v>
      </c>
      <c r="G372" s="11">
        <v>3.0</v>
      </c>
      <c r="H372" s="11">
        <v>3.0</v>
      </c>
      <c r="I372" s="11">
        <v>3.0</v>
      </c>
    </row>
    <row r="373">
      <c r="A373" s="10" t="s">
        <v>6770</v>
      </c>
      <c r="B373" s="49" t="str">
        <f t="shared" si="1"/>
        <v>Boating</v>
      </c>
      <c r="C373" s="49" t="str">
        <f t="shared" si="2"/>
        <v>Boating; Intentional, unauthorized, defacing, destroying, removing or altering of an identification number required for a vessel</v>
      </c>
      <c r="D373" s="49" t="str">
        <f t="shared" si="3"/>
        <v>32-1115(a)(1)</v>
      </c>
      <c r="E373" s="11" t="s">
        <v>133</v>
      </c>
      <c r="F373" s="11">
        <v>3.0</v>
      </c>
      <c r="G373" s="11">
        <v>3.0</v>
      </c>
      <c r="H373" s="11">
        <v>3.0</v>
      </c>
      <c r="I373" s="11">
        <v>3.0</v>
      </c>
    </row>
    <row r="374">
      <c r="A374" s="10" t="s">
        <v>6771</v>
      </c>
      <c r="B374" s="49" t="str">
        <f t="shared" si="1"/>
        <v>Boating</v>
      </c>
      <c r="C374" s="49" t="str">
        <f t="shared" si="2"/>
        <v>Boating; Lighting requirements for motorboats</v>
      </c>
      <c r="D374" s="49" t="str">
        <f t="shared" si="3"/>
        <v>32-1119(b)</v>
      </c>
      <c r="E374" s="11" t="s">
        <v>133</v>
      </c>
      <c r="F374" s="11">
        <v>3.0</v>
      </c>
      <c r="G374" s="11">
        <v>3.0</v>
      </c>
      <c r="H374" s="11">
        <v>3.0</v>
      </c>
      <c r="I374" s="11">
        <v>3.0</v>
      </c>
    </row>
    <row r="375">
      <c r="A375" s="10" t="s">
        <v>6772</v>
      </c>
      <c r="B375" s="49" t="str">
        <f t="shared" si="1"/>
        <v>Boating</v>
      </c>
      <c r="C375" s="49" t="str">
        <f t="shared" si="2"/>
        <v>Boating; Manipulation of any water skis, surfboard or similar device while under the influence of alcohol or drugs, or both</v>
      </c>
      <c r="D375" s="49" t="str">
        <f t="shared" si="3"/>
        <v>32-1125(b)</v>
      </c>
      <c r="E375" s="11" t="s">
        <v>133</v>
      </c>
      <c r="F375" s="11">
        <v>3.0</v>
      </c>
      <c r="G375" s="11">
        <v>3.0</v>
      </c>
      <c r="H375" s="11">
        <v>3.0</v>
      </c>
      <c r="I375" s="11">
        <v>3.0</v>
      </c>
    </row>
    <row r="376">
      <c r="A376" s="10" t="s">
        <v>6773</v>
      </c>
      <c r="B376" s="49" t="str">
        <f t="shared" si="1"/>
        <v>Boating</v>
      </c>
      <c r="C376" s="49" t="str">
        <f t="shared" si="2"/>
        <v>Boating; Motorboats of class 1, 2, or 3 shall be provided with an efficient whistle or other sound-producing mechanical appliance</v>
      </c>
      <c r="D376" s="49" t="str">
        <f t="shared" si="3"/>
        <v>32-1119(d)</v>
      </c>
      <c r="E376" s="11" t="s">
        <v>133</v>
      </c>
      <c r="F376" s="11">
        <v>3.0</v>
      </c>
      <c r="G376" s="11">
        <v>3.0</v>
      </c>
      <c r="H376" s="11">
        <v>3.0</v>
      </c>
      <c r="I376" s="11">
        <v>3.0</v>
      </c>
    </row>
    <row r="377">
      <c r="A377" s="10" t="s">
        <v>6774</v>
      </c>
      <c r="B377" s="49" t="str">
        <f t="shared" si="1"/>
        <v>Boating</v>
      </c>
      <c r="C377" s="49" t="str">
        <f t="shared" si="2"/>
        <v>Boating; Operate a motorboat or other vessel close to swimming areas, moored boats or vessels engaged in fishing, servicing buoys or markings, or similar activities, without reducing to no wake speed</v>
      </c>
      <c r="D377" s="49" t="str">
        <f t="shared" si="3"/>
        <v>32-1119(n)</v>
      </c>
      <c r="E377" s="11" t="s">
        <v>133</v>
      </c>
      <c r="F377" s="11">
        <v>3.0</v>
      </c>
      <c r="G377" s="11">
        <v>3.0</v>
      </c>
      <c r="H377" s="11">
        <v>3.0</v>
      </c>
      <c r="I377" s="11">
        <v>3.0</v>
      </c>
    </row>
    <row r="378">
      <c r="A378" s="10" t="s">
        <v>6775</v>
      </c>
      <c r="B378" s="49" t="str">
        <f t="shared" si="1"/>
        <v>Boating</v>
      </c>
      <c r="C378" s="49" t="str">
        <f t="shared" si="2"/>
        <v>Boating; Operate a motorboat towing a person or persons on water skis, surfboard, or similar device, without a wide angle rear view mirror properly placed to provide a maximum vision of the person or persons being towed, or an observer at least 12 yrs of age in the boat in addition to the operator</v>
      </c>
      <c r="D378" s="49" t="str">
        <f t="shared" si="3"/>
        <v>32-1128(d)</v>
      </c>
      <c r="E378" s="11" t="s">
        <v>133</v>
      </c>
      <c r="F378" s="11">
        <v>3.0</v>
      </c>
      <c r="G378" s="11">
        <v>3.0</v>
      </c>
      <c r="H378" s="11">
        <v>3.0</v>
      </c>
      <c r="I378" s="11">
        <v>3.0</v>
      </c>
    </row>
    <row r="379">
      <c r="A379" s="10" t="s">
        <v>6776</v>
      </c>
      <c r="B379" s="49" t="str">
        <f t="shared" si="1"/>
        <v>Boating</v>
      </c>
      <c r="C379" s="49" t="str">
        <f t="shared" si="2"/>
        <v>Boating; Operate a vessel towing a person or persons on water skis, surfboard, or similar device, or engage in water skiing, surfboarding, or similar activity during prohibited hours</v>
      </c>
      <c r="D379" s="49" t="str">
        <f t="shared" si="3"/>
        <v>32-1128(a)</v>
      </c>
      <c r="E379" s="11" t="s">
        <v>133</v>
      </c>
      <c r="F379" s="11">
        <v>3.0</v>
      </c>
      <c r="G379" s="11">
        <v>3.0</v>
      </c>
      <c r="H379" s="11">
        <v>3.0</v>
      </c>
      <c r="I379" s="11">
        <v>3.0</v>
      </c>
    </row>
    <row r="380">
      <c r="A380" s="10" t="s">
        <v>6777</v>
      </c>
      <c r="B380" s="49" t="str">
        <f t="shared" si="1"/>
        <v>Boating</v>
      </c>
      <c r="C380" s="49" t="str">
        <f t="shared" si="2"/>
        <v>Boating; Operate or give permission to operate a vessel which is not equipped as required by the laws of Kansas and rules and regulations of the secretary</v>
      </c>
      <c r="D380" s="49" t="str">
        <f t="shared" si="3"/>
        <v>32-1119(m)</v>
      </c>
      <c r="E380" s="11" t="s">
        <v>133</v>
      </c>
      <c r="F380" s="11">
        <v>3.0</v>
      </c>
      <c r="G380" s="11">
        <v>3.0</v>
      </c>
      <c r="H380" s="11">
        <v>3.0</v>
      </c>
      <c r="I380" s="11">
        <v>3.0</v>
      </c>
    </row>
    <row r="381">
      <c r="A381" s="10" t="s">
        <v>6778</v>
      </c>
      <c r="B381" s="49" t="str">
        <f t="shared" si="1"/>
        <v>Boating</v>
      </c>
      <c r="C381" s="49" t="str">
        <f t="shared" si="2"/>
        <v>Boating; Operate or manipulate a vessel, tow rope or other device, in such a way as to cause the water skis, surfboard, or similar device, or any person thereon to collide with or strike against any object or person</v>
      </c>
      <c r="D381" s="49" t="str">
        <f t="shared" si="3"/>
        <v>32-1128(c)</v>
      </c>
      <c r="E381" s="11" t="s">
        <v>133</v>
      </c>
      <c r="F381" s="11">
        <v>3.0</v>
      </c>
      <c r="G381" s="11">
        <v>3.0</v>
      </c>
      <c r="H381" s="11">
        <v>3.0</v>
      </c>
      <c r="I381" s="11">
        <v>3.0</v>
      </c>
    </row>
    <row r="382">
      <c r="A382" s="10" t="s">
        <v>6779</v>
      </c>
      <c r="B382" s="49" t="str">
        <f t="shared" si="1"/>
        <v>Boating</v>
      </c>
      <c r="C382" s="49" t="str">
        <f t="shared" si="2"/>
        <v>Boating; Operate or permit the operation of any motorboat or vessel propelled by sail without such vessel being numbered in accordance with this act</v>
      </c>
      <c r="D382" s="49" t="str">
        <f t="shared" si="3"/>
        <v>32-1110</v>
      </c>
      <c r="E382" s="11" t="s">
        <v>133</v>
      </c>
      <c r="F382" s="11">
        <v>3.0</v>
      </c>
      <c r="G382" s="11">
        <v>3.0</v>
      </c>
      <c r="H382" s="11">
        <v>3.0</v>
      </c>
      <c r="I382" s="11">
        <v>3.0</v>
      </c>
    </row>
    <row r="383">
      <c r="A383" s="10" t="s">
        <v>6780</v>
      </c>
      <c r="B383" s="49" t="str">
        <f t="shared" si="1"/>
        <v>Boating</v>
      </c>
      <c r="C383" s="49" t="str">
        <f t="shared" si="2"/>
        <v>Boating; Operation of any motorboat or vessel for pleasure riding or pull any water skis, surfboard or similar device in prohibited areas</v>
      </c>
      <c r="D383" s="49" t="str">
        <f t="shared" si="3"/>
        <v>32-1125(c)</v>
      </c>
      <c r="E383" s="11" t="s">
        <v>133</v>
      </c>
      <c r="F383" s="11">
        <v>3.0</v>
      </c>
      <c r="G383" s="11">
        <v>3.0</v>
      </c>
      <c r="H383" s="11">
        <v>3.0</v>
      </c>
      <c r="I383" s="11">
        <v>3.0</v>
      </c>
    </row>
    <row r="384">
      <c r="A384" s="10" t="s">
        <v>6781</v>
      </c>
      <c r="B384" s="49" t="str">
        <f t="shared" si="1"/>
        <v>Boating</v>
      </c>
      <c r="C384" s="49" t="str">
        <f t="shared" si="2"/>
        <v>Boating; Operation of any vessel on the waters of this state carrying more than 20 passengers without satisfying the United States coast guard stability test criteria for small passenger vessels in 46 C.F.R. 179</v>
      </c>
      <c r="D384" s="49" t="str">
        <f t="shared" si="3"/>
        <v>32-1127(a)</v>
      </c>
      <c r="E384" s="11" t="s">
        <v>133</v>
      </c>
      <c r="F384" s="11">
        <v>3.0</v>
      </c>
      <c r="G384" s="11">
        <v>3.0</v>
      </c>
      <c r="H384" s="11">
        <v>3.0</v>
      </c>
      <c r="I384" s="11">
        <v>3.0</v>
      </c>
    </row>
    <row r="385">
      <c r="A385" s="10" t="s">
        <v>6782</v>
      </c>
      <c r="B385" s="49" t="str">
        <f t="shared" si="1"/>
        <v>Boating</v>
      </c>
      <c r="C385" s="49" t="str">
        <f t="shared" si="2"/>
        <v>Boating; Operation of or mooring a vessel in prohibited areas; operation of a vessel for purposes other than fishing in designated fishing areas; operation of a vessel for purposes other than hunting in designated hunting areas</v>
      </c>
      <c r="D385" s="49" t="str">
        <f t="shared" si="3"/>
        <v>32-1125(d)</v>
      </c>
      <c r="E385" s="11" t="s">
        <v>133</v>
      </c>
      <c r="F385" s="11">
        <v>3.0</v>
      </c>
      <c r="G385" s="11">
        <v>3.0</v>
      </c>
      <c r="H385" s="11">
        <v>3.0</v>
      </c>
      <c r="I385" s="11">
        <v>3.0</v>
      </c>
    </row>
    <row r="386">
      <c r="A386" s="10" t="s">
        <v>6783</v>
      </c>
      <c r="B386" s="49" t="str">
        <f t="shared" si="1"/>
        <v>Boating</v>
      </c>
      <c r="C386" s="49" t="str">
        <f t="shared" si="2"/>
        <v>Boating; Permitting a person under 12 yrs of age to operate a motorboat without parental or other adult (over 17 yrs) direct supervision</v>
      </c>
      <c r="D386" s="49" t="str">
        <f t="shared" si="3"/>
        <v>32-1125(e)</v>
      </c>
      <c r="E386" s="11" t="s">
        <v>133</v>
      </c>
      <c r="F386" s="11">
        <v>3.0</v>
      </c>
      <c r="G386" s="11">
        <v>3.0</v>
      </c>
      <c r="H386" s="11">
        <v>3.0</v>
      </c>
      <c r="I386" s="11">
        <v>3.0</v>
      </c>
    </row>
    <row r="387">
      <c r="A387" s="10" t="s">
        <v>6784</v>
      </c>
      <c r="B387" s="49" t="str">
        <f t="shared" si="1"/>
        <v>Boating</v>
      </c>
      <c r="C387" s="49" t="str">
        <f t="shared" si="2"/>
        <v>Boating; Placing or stamping any serial number upon a vessel other than the one assigned to the vessel</v>
      </c>
      <c r="D387" s="49" t="str">
        <f t="shared" si="3"/>
        <v>32-1115(a)(2)</v>
      </c>
      <c r="E387" s="11" t="s">
        <v>133</v>
      </c>
      <c r="F387" s="11">
        <v>3.0</v>
      </c>
      <c r="G387" s="11">
        <v>3.0</v>
      </c>
      <c r="H387" s="11">
        <v>3.0</v>
      </c>
      <c r="I387" s="11">
        <v>3.0</v>
      </c>
    </row>
    <row r="388">
      <c r="A388" s="10" t="s">
        <v>6785</v>
      </c>
      <c r="B388" s="49" t="str">
        <f t="shared" si="1"/>
        <v>Boating</v>
      </c>
      <c r="C388" s="49" t="str">
        <f t="shared" si="2"/>
        <v>Boating; Reckless or negligent, operation of or manipulation of any motorboat or vessel, water skis, surfboard or similar device</v>
      </c>
      <c r="D388" s="49" t="str">
        <f t="shared" si="3"/>
        <v>32-1125(a)</v>
      </c>
      <c r="E388" s="11" t="s">
        <v>133</v>
      </c>
      <c r="F388" s="11">
        <v>3.0</v>
      </c>
      <c r="G388" s="11">
        <v>3.0</v>
      </c>
      <c r="H388" s="11">
        <v>3.0</v>
      </c>
      <c r="I388" s="11">
        <v>3.0</v>
      </c>
    </row>
    <row r="389">
      <c r="A389" s="10" t="s">
        <v>6786</v>
      </c>
      <c r="B389" s="49" t="str">
        <f t="shared" si="1"/>
        <v>Boating</v>
      </c>
      <c r="C389" s="49" t="str">
        <f t="shared" si="2"/>
        <v>Boating; Sanitation; toilet facilities</v>
      </c>
      <c r="D389" s="49" t="str">
        <f t="shared" si="3"/>
        <v>32-1152</v>
      </c>
      <c r="E389" s="11" t="s">
        <v>133</v>
      </c>
      <c r="F389" s="11">
        <v>3.0</v>
      </c>
      <c r="G389" s="11">
        <v>3.0</v>
      </c>
      <c r="H389" s="11">
        <v>3.0</v>
      </c>
      <c r="I389" s="11">
        <v>3.0</v>
      </c>
    </row>
    <row r="390">
      <c r="A390" s="10" t="s">
        <v>6787</v>
      </c>
      <c r="B390" s="49" t="str">
        <f t="shared" si="1"/>
        <v>Boating</v>
      </c>
      <c r="C390" s="49" t="str">
        <f t="shared" si="2"/>
        <v>Boating; Selling, bartering, exchanging or possessing any vessel where the original hull identification number has been destroyed, removed, altered or defaced</v>
      </c>
      <c r="D390" s="49" t="str">
        <f t="shared" si="3"/>
        <v>32-1115(b)</v>
      </c>
      <c r="E390" s="11" t="s">
        <v>133</v>
      </c>
      <c r="F390" s="11">
        <v>3.0</v>
      </c>
      <c r="G390" s="11">
        <v>3.0</v>
      </c>
      <c r="H390" s="11">
        <v>3.0</v>
      </c>
      <c r="I390" s="11">
        <v>3.0</v>
      </c>
    </row>
    <row r="391">
      <c r="A391" s="10" t="s">
        <v>6788</v>
      </c>
      <c r="B391" s="49" t="str">
        <f t="shared" si="1"/>
        <v>Boating</v>
      </c>
      <c r="C391" s="49" t="str">
        <f t="shared" si="2"/>
        <v>Boating; Unlawful sewage disposal</v>
      </c>
      <c r="D391" s="49" t="str">
        <f t="shared" si="3"/>
        <v>32-1153</v>
      </c>
      <c r="E391" s="11" t="s">
        <v>133</v>
      </c>
      <c r="F391" s="11">
        <v>3.0</v>
      </c>
      <c r="G391" s="11">
        <v>3.0</v>
      </c>
      <c r="H391" s="11">
        <v>3.0</v>
      </c>
      <c r="I391" s="11">
        <v>3.0</v>
      </c>
    </row>
    <row r="392">
      <c r="A392" s="10" t="s">
        <v>6789</v>
      </c>
      <c r="B392" s="49" t="str">
        <f t="shared" si="1"/>
        <v>Boating</v>
      </c>
      <c r="C392" s="49" t="str">
        <f t="shared" si="2"/>
        <v>Boating; Violating capacity limits of a vessel</v>
      </c>
      <c r="D392" s="49" t="str">
        <f t="shared" si="3"/>
        <v>32-1126</v>
      </c>
      <c r="E392" s="11" t="s">
        <v>133</v>
      </c>
      <c r="F392" s="11">
        <v>3.0</v>
      </c>
      <c r="G392" s="11">
        <v>3.0</v>
      </c>
      <c r="H392" s="11">
        <v>3.0</v>
      </c>
      <c r="I392" s="11">
        <v>3.0</v>
      </c>
    </row>
    <row r="393">
      <c r="A393" s="10" t="s">
        <v>6790</v>
      </c>
      <c r="B393" s="49" t="str">
        <f t="shared" si="1"/>
        <v>Boating</v>
      </c>
      <c r="C393" s="49" t="str">
        <f t="shared" si="2"/>
        <v>Boating; Water Activities; scuba diving; rules and regulations; buoy required</v>
      </c>
      <c r="D393" s="49" t="str">
        <f t="shared" si="3"/>
        <v>32-1151</v>
      </c>
      <c r="E393" s="11" t="s">
        <v>133</v>
      </c>
      <c r="F393" s="11">
        <v>3.0</v>
      </c>
      <c r="G393" s="11">
        <v>3.0</v>
      </c>
      <c r="H393" s="11">
        <v>3.0</v>
      </c>
      <c r="I393" s="11">
        <v>3.0</v>
      </c>
    </row>
    <row r="394">
      <c r="A394" s="10" t="s">
        <v>6791</v>
      </c>
      <c r="B394" s="49" t="str">
        <f t="shared" si="1"/>
        <v>Boating</v>
      </c>
      <c r="C394" s="49" t="str">
        <f t="shared" si="2"/>
        <v>Boating; Water Activities; Scuba diving; rules and regulations; diving in prohibited locations</v>
      </c>
      <c r="D394" s="49" t="str">
        <f t="shared" si="3"/>
        <v>32-1150</v>
      </c>
      <c r="E394" s="11" t="s">
        <v>133</v>
      </c>
      <c r="F394" s="11">
        <v>3.0</v>
      </c>
      <c r="G394" s="11">
        <v>3.0</v>
      </c>
      <c r="H394" s="11">
        <v>3.0</v>
      </c>
      <c r="I394" s="11">
        <v>3.0</v>
      </c>
    </row>
    <row r="395">
      <c r="A395" s="10" t="s">
        <v>6792</v>
      </c>
      <c r="B395" s="49" t="str">
        <f t="shared" si="1"/>
        <v>Boating</v>
      </c>
      <c r="C395" s="49" t="str">
        <f t="shared" si="2"/>
        <v>Boating; Willfully fail or refuse to stop, or flee or attempt to elude a pursuing law enforcement vehicle or vessel, when given a visual or audible signal to stop</v>
      </c>
      <c r="D395" s="49" t="str">
        <f t="shared" si="3"/>
        <v>32-1125(f)</v>
      </c>
      <c r="E395" s="11" t="s">
        <v>133</v>
      </c>
      <c r="F395" s="11">
        <v>3.0</v>
      </c>
      <c r="G395" s="11">
        <v>3.0</v>
      </c>
      <c r="H395" s="11">
        <v>3.0</v>
      </c>
      <c r="I395" s="11">
        <v>3.0</v>
      </c>
    </row>
    <row r="396">
      <c r="A396" s="10" t="s">
        <v>6793</v>
      </c>
      <c r="B396" s="49" t="str">
        <f t="shared" si="1"/>
        <v>Bonds &amp; Warrants</v>
      </c>
      <c r="C396" s="49" t="str">
        <f t="shared" si="2"/>
        <v>Bonds &amp; Warrants; Cash-Basis law; clerks not to issue or sign orders</v>
      </c>
      <c r="D396" s="49" t="str">
        <f t="shared" si="3"/>
        <v>-286806</v>
      </c>
      <c r="E396" s="11" t="s">
        <v>133</v>
      </c>
      <c r="F396" s="11">
        <v>3.0</v>
      </c>
      <c r="G396" s="11">
        <v>3.0</v>
      </c>
      <c r="H396" s="11">
        <v>3.0</v>
      </c>
      <c r="I396" s="11">
        <v>3.0</v>
      </c>
    </row>
    <row r="397">
      <c r="A397" s="10" t="s">
        <v>6794</v>
      </c>
      <c r="B397" s="49" t="str">
        <f t="shared" si="1"/>
        <v>Bonds &amp; Warrants</v>
      </c>
      <c r="C397" s="49" t="str">
        <f t="shared" si="2"/>
        <v>Bonds &amp; Warrants; Cash-Basis law; creating indebtedness in excess of funds unlawful</v>
      </c>
      <c r="D397" s="49" t="str">
        <f t="shared" si="3"/>
        <v>-287171</v>
      </c>
      <c r="E397" s="11" t="s">
        <v>133</v>
      </c>
      <c r="F397" s="11">
        <v>3.0</v>
      </c>
      <c r="G397" s="11">
        <v>3.0</v>
      </c>
      <c r="H397" s="11">
        <v>3.0</v>
      </c>
      <c r="I397" s="11">
        <v>3.0</v>
      </c>
    </row>
    <row r="398">
      <c r="A398" s="10" t="s">
        <v>6795</v>
      </c>
      <c r="B398" s="49" t="str">
        <f t="shared" si="1"/>
        <v>Bonds &amp; Warrants</v>
      </c>
      <c r="C398" s="49" t="str">
        <f t="shared" si="2"/>
        <v>Bonds &amp; Warrants; Cash-Basis law; member of governing body of any municipality, knowingly voting for or in any manner aid or promote the entering into of any contract or the creation of any other indebtedness</v>
      </c>
      <c r="D398" s="49" t="str">
        <f t="shared" si="3"/>
        <v>10-1116(c)</v>
      </c>
      <c r="E398" s="11" t="s">
        <v>133</v>
      </c>
      <c r="F398" s="11">
        <v>3.0</v>
      </c>
      <c r="G398" s="11">
        <v>3.0</v>
      </c>
      <c r="H398" s="11">
        <v>3.0</v>
      </c>
      <c r="I398" s="11">
        <v>3.0</v>
      </c>
    </row>
    <row r="399">
      <c r="A399" s="10" t="s">
        <v>6796</v>
      </c>
      <c r="B399" s="49" t="str">
        <f t="shared" si="1"/>
        <v>Bonds &amp; Warrants</v>
      </c>
      <c r="C399" s="49" t="str">
        <f t="shared" si="2"/>
        <v>Bonds &amp; Warrants; Cash-Basis law; treasurers not to pay orders</v>
      </c>
      <c r="D399" s="49" t="str">
        <f t="shared" si="3"/>
        <v>-286441</v>
      </c>
      <c r="E399" s="11" t="s">
        <v>133</v>
      </c>
      <c r="F399" s="11">
        <v>3.0</v>
      </c>
      <c r="G399" s="11">
        <v>3.0</v>
      </c>
      <c r="H399" s="11">
        <v>3.0</v>
      </c>
      <c r="I399" s="11">
        <v>3.0</v>
      </c>
    </row>
    <row r="400">
      <c r="A400" s="10" t="s">
        <v>6797</v>
      </c>
      <c r="B400" s="49" t="str">
        <f t="shared" si="1"/>
        <v>Bonds &amp; Warrants</v>
      </c>
      <c r="C400" s="49" t="str">
        <f t="shared" si="2"/>
        <v>Bonds &amp; Warrants; Diversion of interest and sinking funds for refunding bonds; misappropriation of such</v>
      </c>
      <c r="D400" s="49" t="str">
        <f t="shared" si="3"/>
        <v>10-118a</v>
      </c>
      <c r="E400" s="11" t="s">
        <v>133</v>
      </c>
      <c r="F400" s="11">
        <v>3.0</v>
      </c>
      <c r="G400" s="11">
        <v>3.0</v>
      </c>
      <c r="H400" s="11">
        <v>3.0</v>
      </c>
      <c r="I400" s="11">
        <v>3.0</v>
      </c>
    </row>
    <row r="401">
      <c r="A401" s="10" t="s">
        <v>6798</v>
      </c>
      <c r="B401" s="49" t="str">
        <f t="shared" si="1"/>
        <v>Bonds &amp; Warrants</v>
      </c>
      <c r="C401" s="49" t="str">
        <f t="shared" si="2"/>
        <v>Bonds &amp; Warrants; Execution of unlawful or irregular warrants or warrant checks</v>
      </c>
      <c r="D401" s="49" t="str">
        <f t="shared" si="3"/>
        <v>10-810</v>
      </c>
      <c r="E401" s="11" t="s">
        <v>133</v>
      </c>
      <c r="F401" s="11">
        <v>3.0</v>
      </c>
      <c r="G401" s="11">
        <v>3.0</v>
      </c>
      <c r="H401" s="11">
        <v>3.0</v>
      </c>
      <c r="I401" s="11">
        <v>3.0</v>
      </c>
    </row>
    <row r="402">
      <c r="A402" s="10" t="s">
        <v>6799</v>
      </c>
      <c r="B402" s="49" t="str">
        <f t="shared" si="1"/>
        <v>Bonds &amp; Warrants</v>
      </c>
      <c r="C402" s="49" t="str">
        <f t="shared" si="2"/>
        <v>Bonds &amp; Warrants; Failure of a county treasurer to forward moneys in the county treasury when requested</v>
      </c>
      <c r="D402" s="49" t="str">
        <f t="shared" si="3"/>
        <v>10-130(d)(1)</v>
      </c>
      <c r="E402" s="11" t="s">
        <v>133</v>
      </c>
      <c r="F402" s="11">
        <v>3.0</v>
      </c>
      <c r="G402" s="11">
        <v>3.0</v>
      </c>
      <c r="H402" s="11">
        <v>3.0</v>
      </c>
      <c r="I402" s="11">
        <v>3.0</v>
      </c>
    </row>
    <row r="403">
      <c r="A403" s="10" t="s">
        <v>6800</v>
      </c>
      <c r="B403" s="49" t="str">
        <f t="shared" si="1"/>
        <v>Bonds &amp; Warrants</v>
      </c>
      <c r="C403" s="49" t="str">
        <f t="shared" si="2"/>
        <v>Bonds &amp; Warrants; Failure of state treasurer to pay certain funds or moneys as provided by law</v>
      </c>
      <c r="D403" s="49" t="str">
        <f t="shared" si="3"/>
        <v>10-130a</v>
      </c>
      <c r="E403" s="11" t="s">
        <v>133</v>
      </c>
      <c r="F403" s="11">
        <v>3.0</v>
      </c>
      <c r="G403" s="11">
        <v>3.0</v>
      </c>
      <c r="H403" s="11">
        <v>3.0</v>
      </c>
      <c r="I403" s="11">
        <v>3.0</v>
      </c>
    </row>
    <row r="404">
      <c r="A404" s="10" t="s">
        <v>6801</v>
      </c>
      <c r="B404" s="49" t="str">
        <f t="shared" si="1"/>
        <v>Bonds &amp; Warrants</v>
      </c>
      <c r="C404" s="49" t="str">
        <f t="shared" si="2"/>
        <v>Bonds &amp; Warrants; Failure of the treasurer of a municipality or any county treasurer to make timely request for moneys</v>
      </c>
      <c r="D404" s="49" t="str">
        <f t="shared" si="3"/>
        <v>10-130(d)(2)</v>
      </c>
      <c r="E404" s="11" t="s">
        <v>133</v>
      </c>
      <c r="F404" s="11">
        <v>3.0</v>
      </c>
      <c r="G404" s="11">
        <v>3.0</v>
      </c>
      <c r="H404" s="11">
        <v>3.0</v>
      </c>
      <c r="I404" s="11">
        <v>3.0</v>
      </c>
    </row>
    <row r="405">
      <c r="A405" s="10" t="s">
        <v>6802</v>
      </c>
      <c r="B405" s="49" t="str">
        <f t="shared" si="1"/>
        <v>Bonds &amp; Warrants</v>
      </c>
      <c r="C405" s="49" t="str">
        <f t="shared" si="2"/>
        <v>Bonds &amp; Warrants; Failure of the treasurer of a municipality to make timely remittance of moneys for redemption of bonds or to pay the interest thereon</v>
      </c>
      <c r="D405" s="49" t="str">
        <f t="shared" si="3"/>
        <v>10-130(d)(3)</v>
      </c>
      <c r="E405" s="11" t="s">
        <v>133</v>
      </c>
      <c r="F405" s="11">
        <v>3.0</v>
      </c>
      <c r="G405" s="11">
        <v>3.0</v>
      </c>
      <c r="H405" s="11">
        <v>3.0</v>
      </c>
      <c r="I405" s="11">
        <v>3.0</v>
      </c>
    </row>
    <row r="406">
      <c r="A406" s="10" t="s">
        <v>6803</v>
      </c>
      <c r="B406" s="49" t="str">
        <f t="shared" si="1"/>
        <v>Bonds &amp; Warrants</v>
      </c>
      <c r="C406" s="49" t="str">
        <f t="shared" si="2"/>
        <v>Bonds &amp; Warrants; Failure to furnish statement</v>
      </c>
      <c r="D406" s="49" t="str">
        <f t="shared" si="3"/>
        <v>10-110(a)</v>
      </c>
      <c r="E406" s="11" t="s">
        <v>133</v>
      </c>
      <c r="F406" s="11">
        <v>3.0</v>
      </c>
      <c r="G406" s="11">
        <v>3.0</v>
      </c>
      <c r="H406" s="11">
        <v>3.0</v>
      </c>
      <c r="I406" s="11">
        <v>3.0</v>
      </c>
    </row>
    <row r="407">
      <c r="A407" s="10" t="s">
        <v>6804</v>
      </c>
      <c r="B407" s="49" t="str">
        <f t="shared" si="1"/>
        <v>Bonds &amp; Warrants</v>
      </c>
      <c r="C407" s="49" t="str">
        <f t="shared" si="2"/>
        <v>Bonds &amp; Warrants; Failure to levy a sum sufficient to pay the interest on bonds as required</v>
      </c>
      <c r="D407" s="49" t="str">
        <f t="shared" si="3"/>
        <v>10-113</v>
      </c>
      <c r="E407" s="11" t="s">
        <v>133</v>
      </c>
      <c r="F407" s="11">
        <v>3.0</v>
      </c>
      <c r="G407" s="11">
        <v>3.0</v>
      </c>
      <c r="H407" s="11">
        <v>3.0</v>
      </c>
      <c r="I407" s="11">
        <v>3.0</v>
      </c>
    </row>
    <row r="408">
      <c r="A408" s="10" t="s">
        <v>6805</v>
      </c>
      <c r="B408" s="49" t="str">
        <f t="shared" si="1"/>
        <v>Bonds &amp; Warrants</v>
      </c>
      <c r="C408" s="49" t="str">
        <f t="shared" si="2"/>
        <v>Bonds &amp; Warrants; Failure to make cancellation</v>
      </c>
      <c r="D408" s="49" t="str">
        <f t="shared" si="3"/>
        <v>10-110(a)</v>
      </c>
      <c r="E408" s="11" t="s">
        <v>133</v>
      </c>
      <c r="F408" s="11">
        <v>3.0</v>
      </c>
      <c r="G408" s="11">
        <v>3.0</v>
      </c>
      <c r="H408" s="11">
        <v>3.0</v>
      </c>
      <c r="I408" s="11">
        <v>3.0</v>
      </c>
    </row>
    <row r="409">
      <c r="A409" s="10" t="s">
        <v>6806</v>
      </c>
      <c r="B409" s="49" t="str">
        <f t="shared" si="1"/>
        <v>Bonds &amp; Warrants</v>
      </c>
      <c r="C409" s="49" t="str">
        <f t="shared" si="2"/>
        <v>Bonds &amp; Warrants; Unlawful issue, diversion or misuse of bond proceeds or tax funds</v>
      </c>
      <c r="D409" s="49" t="str">
        <f t="shared" si="3"/>
        <v>10-117</v>
      </c>
      <c r="E409" s="11" t="s">
        <v>133</v>
      </c>
      <c r="F409" s="11">
        <v>3.0</v>
      </c>
      <c r="G409" s="11">
        <v>3.0</v>
      </c>
      <c r="H409" s="11">
        <v>3.0</v>
      </c>
      <c r="I409" s="11">
        <v>3.0</v>
      </c>
    </row>
    <row r="410">
      <c r="A410" s="10" t="s">
        <v>6807</v>
      </c>
      <c r="B410" s="49" t="str">
        <f t="shared" si="1"/>
        <v>Breach of Privacy</v>
      </c>
      <c r="C410" s="49" t="str">
        <f t="shared" si="2"/>
        <v>Breach of Privacy; Disseminating any videotape photograph, film or image of another identifiable person 18 years of age or older who is nude or engaged in sexual activity and under circumstances in which such identifiable person had a reasonable expectation of privacy, with the intent to harass, threaten or intimidate such identifiable person, and such identifiable person did not consent to such dissemination</v>
      </c>
      <c r="D410" s="49" t="str">
        <f t="shared" si="3"/>
        <v>21-6101(a)(8)</v>
      </c>
      <c r="E410" s="11" t="s">
        <v>133</v>
      </c>
      <c r="F410" s="11">
        <v>3.0</v>
      </c>
      <c r="G410" s="11">
        <v>3.0</v>
      </c>
      <c r="H410" s="11">
        <v>3.0</v>
      </c>
      <c r="I410" s="11">
        <v>3.0</v>
      </c>
    </row>
    <row r="411">
      <c r="A411" s="10" t="s">
        <v>6808</v>
      </c>
      <c r="B411" s="49" t="str">
        <f t="shared" si="1"/>
        <v>Breach of Privacy</v>
      </c>
      <c r="C411" s="49" t="str">
        <f t="shared" si="2"/>
        <v>Breach of Privacy; Disseminating any videotape photograph, film or image of another identifiable person 18 years of age or older who is nude or engaged in sexual activity and under circumstances in which such identifiable person had a reasonable expectation of privacy, with the intent to harass, threaten or intimidate such identifiable person, and such identifiable person did not consent to such dissemination; 2nd or subsequent offense</v>
      </c>
      <c r="D411" s="49" t="str">
        <f t="shared" si="3"/>
        <v>21-6101(a)(8)</v>
      </c>
      <c r="E411" s="11" t="s">
        <v>133</v>
      </c>
      <c r="F411" s="11">
        <v>3.0</v>
      </c>
      <c r="G411" s="11">
        <v>3.0</v>
      </c>
      <c r="H411" s="11">
        <v>3.0</v>
      </c>
      <c r="I411" s="11">
        <v>3.0</v>
      </c>
    </row>
    <row r="412">
      <c r="A412" s="10" t="s">
        <v>6809</v>
      </c>
      <c r="B412" s="49" t="str">
        <f t="shared" si="1"/>
        <v>Breach of Privacy</v>
      </c>
      <c r="C412" s="49" t="str">
        <f t="shared" si="2"/>
        <v>Breach of Privacy; Install or use any device or equipment for the interception of any telephone, telegraph or other wire or wireless communication</v>
      </c>
      <c r="D412" s="49" t="str">
        <f t="shared" si="3"/>
        <v>21-6101(a)(5)</v>
      </c>
      <c r="E412" s="11" t="s">
        <v>133</v>
      </c>
      <c r="F412" s="11">
        <v>3.0</v>
      </c>
      <c r="G412" s="11">
        <v>3.0</v>
      </c>
      <c r="H412" s="11">
        <v>3.0</v>
      </c>
      <c r="I412" s="11">
        <v>3.0</v>
      </c>
    </row>
    <row r="413">
      <c r="A413" s="10" t="s">
        <v>6810</v>
      </c>
      <c r="B413" s="49" t="str">
        <f t="shared" si="1"/>
        <v>Breach of Privacy</v>
      </c>
      <c r="C413" s="49" t="str">
        <f t="shared" si="2"/>
        <v>Breach of Privacy; Install or use outside or inside a private place any device for hearing, recording, amplifying or broadcasting sounds</v>
      </c>
      <c r="D413" s="49" t="str">
        <f t="shared" si="3"/>
        <v>21-6101(a)(4)</v>
      </c>
      <c r="E413" s="11" t="s">
        <v>133</v>
      </c>
      <c r="F413" s="11">
        <v>3.0</v>
      </c>
      <c r="G413" s="11">
        <v>3.0</v>
      </c>
      <c r="H413" s="11">
        <v>3.0</v>
      </c>
      <c r="I413" s="11">
        <v>3.0</v>
      </c>
    </row>
    <row r="414">
      <c r="A414" s="10" t="s">
        <v>6811</v>
      </c>
      <c r="B414" s="49" t="str">
        <f t="shared" si="1"/>
        <v>Breach of Privacy</v>
      </c>
      <c r="C414" s="49" t="str">
        <f t="shared" si="2"/>
        <v>Breach of Privacy; Knowingly and without authority; Disseminating or permitting the dissemination of any videotape, photograph, film or image obtained in violation of subsection (a)(6)</v>
      </c>
      <c r="D414" s="49" t="str">
        <f t="shared" si="3"/>
        <v>21-6101(a)(7)</v>
      </c>
      <c r="E414" s="11" t="s">
        <v>133</v>
      </c>
      <c r="F414" s="11">
        <v>3.0</v>
      </c>
      <c r="G414" s="11">
        <v>3.0</v>
      </c>
      <c r="H414" s="11">
        <v>3.0</v>
      </c>
      <c r="I414" s="11">
        <v>3.0</v>
      </c>
    </row>
    <row r="415">
      <c r="A415" s="10" t="s">
        <v>6812</v>
      </c>
      <c r="B415" s="49" t="str">
        <f t="shared" si="1"/>
        <v>Breach of Privacy</v>
      </c>
      <c r="C415" s="49" t="str">
        <f t="shared" si="2"/>
        <v>Breach of Privacy; Knowingly and without authority; Divulging, without consent of sender or receiver, the existence or contents of intercepted message</v>
      </c>
      <c r="D415" s="49" t="str">
        <f t="shared" si="3"/>
        <v>21-6101(a)(2)</v>
      </c>
      <c r="E415" s="11" t="s">
        <v>133</v>
      </c>
      <c r="F415" s="11">
        <v>3.0</v>
      </c>
      <c r="G415" s="11">
        <v>3.0</v>
      </c>
      <c r="H415" s="11">
        <v>3.0</v>
      </c>
      <c r="I415" s="11">
        <v>3.0</v>
      </c>
    </row>
    <row r="416">
      <c r="A416" s="10" t="s">
        <v>6813</v>
      </c>
      <c r="B416" s="49" t="str">
        <f t="shared" si="1"/>
        <v>Breach of Privacy</v>
      </c>
      <c r="C416" s="49" t="str">
        <f t="shared" si="2"/>
        <v>Breach of Privacy; Knowingly and without authority; Enter with intent to listen surreptitiously to private conversations in a private place or to observe the personal conduct of any other person entitled to privacy therein</v>
      </c>
      <c r="D416" s="49" t="str">
        <f t="shared" si="3"/>
        <v>21-6101(a)(3)</v>
      </c>
      <c r="E416" s="11" t="s">
        <v>133</v>
      </c>
      <c r="F416" s="11">
        <v>3.0</v>
      </c>
      <c r="G416" s="11">
        <v>3.0</v>
      </c>
      <c r="H416" s="11">
        <v>3.0</v>
      </c>
      <c r="I416" s="11">
        <v>3.0</v>
      </c>
    </row>
    <row r="417">
      <c r="A417" s="10" t="s">
        <v>6814</v>
      </c>
      <c r="B417" s="49" t="str">
        <f t="shared" si="1"/>
        <v>Breach of Privacy</v>
      </c>
      <c r="C417" s="49" t="str">
        <f t="shared" si="2"/>
        <v>Breach of Privacy; Knowingly and without authority; Installing or using a concealed camera of any type, to secretly photograph or record by electronic or other means, another, who is nude or in a state of undress, or record under or through the clothing being worn by that other person, for the purpose of viewing the body of, or the undergarments worn by, that other person, without consent or knowledge of that other person, with intent to invade the privacy</v>
      </c>
      <c r="D417" s="49" t="str">
        <f t="shared" si="3"/>
        <v>21-6101(a)(6)</v>
      </c>
      <c r="E417" s="11" t="s">
        <v>133</v>
      </c>
      <c r="F417" s="11">
        <v>3.0</v>
      </c>
      <c r="G417" s="11">
        <v>3.0</v>
      </c>
      <c r="H417" s="11">
        <v>3.0</v>
      </c>
      <c r="I417" s="11">
        <v>3.0</v>
      </c>
    </row>
    <row r="418">
      <c r="A418" s="10" t="s">
        <v>6815</v>
      </c>
      <c r="B418" s="49" t="str">
        <f t="shared" si="1"/>
        <v>Breach of Privacy</v>
      </c>
      <c r="C418" s="49" t="str">
        <f t="shared" si="2"/>
        <v>Breach of Privacy; Knowingly and without authority; Installing or using a concealed camera of any type, to secretly photograph or record by electronic or other means, another, who is nude or in a state of undress, or record under or through the clothing being worn by that other person, for the purpose of viewing the body of, or the undergarments worn by, that other person, without consent or knowledge of that other person, with intent to invade the privacy; 2nd offense within 5 years</v>
      </c>
      <c r="D418" s="49" t="str">
        <f t="shared" si="3"/>
        <v>21-6101(a)(6)</v>
      </c>
      <c r="E418" s="11" t="s">
        <v>133</v>
      </c>
      <c r="F418" s="11">
        <v>3.0</v>
      </c>
      <c r="G418" s="11">
        <v>3.0</v>
      </c>
      <c r="H418" s="11">
        <v>3.0</v>
      </c>
      <c r="I418" s="11">
        <v>3.0</v>
      </c>
    </row>
    <row r="419">
      <c r="A419" s="10" t="s">
        <v>6816</v>
      </c>
      <c r="B419" s="49" t="str">
        <f t="shared" si="1"/>
        <v>Breach of Privacy</v>
      </c>
      <c r="C419" s="49" t="str">
        <f t="shared" si="2"/>
        <v>Breach of Privacy; Knowingly and without authority; Intercepting, without consent of sender or receiver, a message by telephone, telegraph, letter or other means of private communication</v>
      </c>
      <c r="D419" s="49" t="str">
        <f t="shared" si="3"/>
        <v>21-6101(a)(1)</v>
      </c>
      <c r="E419" s="11" t="s">
        <v>133</v>
      </c>
      <c r="F419" s="11">
        <v>3.0</v>
      </c>
      <c r="G419" s="11">
        <v>3.0</v>
      </c>
      <c r="H419" s="11">
        <v>3.0</v>
      </c>
      <c r="I419" s="11">
        <v>3.0</v>
      </c>
    </row>
    <row r="420">
      <c r="A420" s="10" t="s">
        <v>6817</v>
      </c>
      <c r="B420" s="49" t="str">
        <f t="shared" si="1"/>
        <v>Bribery</v>
      </c>
      <c r="C420" s="49" t="str">
        <f t="shared" si="2"/>
        <v>Bribery; Intent to improperly influence a public official, offer, give or promise to give, directly or indirectly, to any public official benefit, reward or consideration which public official is not permitted to accept, in exchange for performance or omission of performance of public official's duty or promise to perform or omit to perform powers or duties</v>
      </c>
      <c r="D420" s="49" t="str">
        <f t="shared" si="3"/>
        <v>21-6001(a)(1)</v>
      </c>
      <c r="E420" s="11" t="s">
        <v>133</v>
      </c>
      <c r="F420" s="11">
        <v>3.0</v>
      </c>
      <c r="G420" s="11">
        <v>3.0</v>
      </c>
      <c r="H420" s="11">
        <v>3.0</v>
      </c>
      <c r="I420" s="11">
        <v>3.0</v>
      </c>
    </row>
    <row r="421">
      <c r="A421" s="10" t="s">
        <v>6818</v>
      </c>
      <c r="B421" s="49" t="str">
        <f t="shared" si="1"/>
        <v>Bribery</v>
      </c>
      <c r="C421" s="49" t="str">
        <f t="shared" si="2"/>
        <v>Bribery; Public official  intentionally requesting, receiving or agreeing to receive, directly or indirectly, any benefit, reward or consideration, which public official is not permitted to accept, with intent to improperly influence such public official and in exchange for performance or omission of performance of public official’s powers or duties or promise to perform or omit performance of powers or duties</v>
      </c>
      <c r="D421" s="49" t="str">
        <f t="shared" si="3"/>
        <v>21-6001(a)(2)</v>
      </c>
      <c r="E421" s="11" t="s">
        <v>133</v>
      </c>
      <c r="F421" s="11">
        <v>3.0</v>
      </c>
      <c r="G421" s="11">
        <v>3.0</v>
      </c>
      <c r="H421" s="11">
        <v>3.0</v>
      </c>
      <c r="I421" s="11">
        <v>3.0</v>
      </c>
    </row>
    <row r="422">
      <c r="A422" s="10" t="s">
        <v>6819</v>
      </c>
      <c r="B422" s="49" t="str">
        <f t="shared" si="1"/>
        <v>BUI</v>
      </c>
      <c r="C422" s="49" t="str">
        <f t="shared" si="2"/>
        <v>BUI; Alcohol concentration in blood or breath is .02 or more within 3 hours of vessel operation or attempted operation and person under 21; 1st offense</v>
      </c>
      <c r="D422" s="49" t="str">
        <f t="shared" si="3"/>
        <v>32-1131(a)(3)</v>
      </c>
      <c r="E422" s="11" t="s">
        <v>133</v>
      </c>
      <c r="F422" s="11">
        <v>3.0</v>
      </c>
      <c r="G422" s="11">
        <v>3.0</v>
      </c>
      <c r="H422" s="11">
        <v>3.0</v>
      </c>
      <c r="I422" s="11">
        <v>3.0</v>
      </c>
    </row>
    <row r="423">
      <c r="A423" s="10" t="s">
        <v>6820</v>
      </c>
      <c r="B423" s="49" t="str">
        <f t="shared" si="1"/>
        <v>BUI</v>
      </c>
      <c r="C423" s="49" t="str">
        <f t="shared" si="2"/>
        <v>BUI; Alcohol concentration in blood or breath is .02 or more within 3 hours of vessel operation or attempted operation and person under 21; 2nd or subs. offense</v>
      </c>
      <c r="D423" s="49" t="str">
        <f t="shared" si="3"/>
        <v>32-1131(a)(3)</v>
      </c>
      <c r="E423" s="11" t="s">
        <v>133</v>
      </c>
      <c r="F423" s="11">
        <v>3.0</v>
      </c>
      <c r="G423" s="11">
        <v>3.0</v>
      </c>
      <c r="H423" s="11">
        <v>3.0</v>
      </c>
      <c r="I423" s="11">
        <v>3.0</v>
      </c>
    </row>
    <row r="424">
      <c r="A424" s="10" t="s">
        <v>6821</v>
      </c>
      <c r="B424" s="49" t="str">
        <f t="shared" si="1"/>
        <v>BUI</v>
      </c>
      <c r="C424" s="49" t="str">
        <f t="shared" si="2"/>
        <v>BUI; Alcohol concentration in blood or breath is .08 or more as shown by competent evidence including other competent evidence; 1st offense</v>
      </c>
      <c r="D424" s="49" t="str">
        <f t="shared" si="3"/>
        <v>32-1131(a)(1)</v>
      </c>
      <c r="E424" s="11" t="s">
        <v>133</v>
      </c>
      <c r="F424" s="11">
        <v>3.0</v>
      </c>
      <c r="G424" s="11">
        <v>3.0</v>
      </c>
      <c r="H424" s="11">
        <v>3.0</v>
      </c>
      <c r="I424" s="11">
        <v>3.0</v>
      </c>
    </row>
    <row r="425">
      <c r="A425" s="10" t="s">
        <v>6822</v>
      </c>
      <c r="B425" s="49" t="str">
        <f t="shared" si="1"/>
        <v>BUI</v>
      </c>
      <c r="C425" s="49" t="str">
        <f t="shared" si="2"/>
        <v>BUI; Alcohol concentration in blood or breath is .08 or more as shown by competent evidence including other competent evidence; 2nd or subs. offense</v>
      </c>
      <c r="D425" s="49" t="str">
        <f t="shared" si="3"/>
        <v>32-1131(a)(1)</v>
      </c>
      <c r="E425" s="11" t="s">
        <v>133</v>
      </c>
      <c r="F425" s="11">
        <v>3.0</v>
      </c>
      <c r="G425" s="11">
        <v>3.0</v>
      </c>
      <c r="H425" s="11">
        <v>3.0</v>
      </c>
      <c r="I425" s="11">
        <v>3.0</v>
      </c>
    </row>
    <row r="426">
      <c r="A426" s="10" t="s">
        <v>6823</v>
      </c>
      <c r="B426" s="49" t="str">
        <f t="shared" si="1"/>
        <v>BUI</v>
      </c>
      <c r="C426" s="49" t="str">
        <f t="shared" si="2"/>
        <v>BUI; Alcohol concentration in blood or breath is .08 or more within 3 hours of vessel operation or attempted operation; 1st offense</v>
      </c>
      <c r="D426" s="49" t="str">
        <f t="shared" si="3"/>
        <v>32-1131(a)(2)</v>
      </c>
      <c r="E426" s="11" t="s">
        <v>133</v>
      </c>
      <c r="F426" s="11">
        <v>3.0</v>
      </c>
      <c r="G426" s="11">
        <v>3.0</v>
      </c>
      <c r="H426" s="11">
        <v>3.0</v>
      </c>
      <c r="I426" s="11">
        <v>3.0</v>
      </c>
    </row>
    <row r="427">
      <c r="A427" s="10" t="s">
        <v>6824</v>
      </c>
      <c r="B427" s="49" t="str">
        <f t="shared" si="1"/>
        <v>BUI</v>
      </c>
      <c r="C427" s="49" t="str">
        <f t="shared" si="2"/>
        <v>BUI; Alcohol concentration in blood or breath is .08 or more within 3 hours of vessel operation or attempted operation; 2nd or subs. offense</v>
      </c>
      <c r="D427" s="49" t="str">
        <f t="shared" si="3"/>
        <v>32-1131(a)(2)</v>
      </c>
      <c r="E427" s="11" t="s">
        <v>133</v>
      </c>
      <c r="F427" s="11">
        <v>3.0</v>
      </c>
      <c r="G427" s="11">
        <v>3.0</v>
      </c>
      <c r="H427" s="11">
        <v>3.0</v>
      </c>
      <c r="I427" s="11">
        <v>3.0</v>
      </c>
    </row>
    <row r="428">
      <c r="A428" s="10" t="s">
        <v>6825</v>
      </c>
      <c r="B428" s="49" t="str">
        <f t="shared" si="1"/>
        <v>BUI</v>
      </c>
      <c r="C428" s="49" t="str">
        <f t="shared" si="2"/>
        <v>BUI; Under the influence of alcohol to degree that renders the person incapable of safely operating a vessel; 1st offense</v>
      </c>
      <c r="D428" s="49" t="str">
        <f t="shared" si="3"/>
        <v>32-1131(a)(4)</v>
      </c>
      <c r="E428" s="11" t="s">
        <v>133</v>
      </c>
      <c r="F428" s="11">
        <v>3.0</v>
      </c>
      <c r="G428" s="11">
        <v>3.0</v>
      </c>
      <c r="H428" s="11">
        <v>3.0</v>
      </c>
      <c r="I428" s="11">
        <v>3.0</v>
      </c>
    </row>
    <row r="429">
      <c r="A429" s="10" t="s">
        <v>6826</v>
      </c>
      <c r="B429" s="49" t="str">
        <f t="shared" si="1"/>
        <v>BUI</v>
      </c>
      <c r="C429" s="49" t="str">
        <f t="shared" si="2"/>
        <v>BUI; Under the influence of alcohol to degree that renders the person incapable of safely operating a vessel; 2nd or subs. offense</v>
      </c>
      <c r="D429" s="49" t="str">
        <f t="shared" si="3"/>
        <v>32-1131(a)(4)</v>
      </c>
      <c r="E429" s="11" t="s">
        <v>133</v>
      </c>
      <c r="F429" s="11">
        <v>3.0</v>
      </c>
      <c r="G429" s="11">
        <v>3.0</v>
      </c>
      <c r="H429" s="11">
        <v>3.0</v>
      </c>
      <c r="I429" s="11">
        <v>3.0</v>
      </c>
    </row>
    <row r="430">
      <c r="A430" s="10" t="s">
        <v>6827</v>
      </c>
      <c r="B430" s="49" t="str">
        <f t="shared" si="1"/>
        <v>BUI</v>
      </c>
      <c r="C430" s="49" t="str">
        <f t="shared" si="2"/>
        <v>BUI; Under the influence of any drug or drugs that renders the person incapable of safely operating a vessel; 1st offense</v>
      </c>
      <c r="D430" s="49" t="str">
        <f t="shared" si="3"/>
        <v>32-1131(a)(5)</v>
      </c>
      <c r="E430" s="11" t="s">
        <v>133</v>
      </c>
      <c r="F430" s="11">
        <v>3.0</v>
      </c>
      <c r="G430" s="11">
        <v>3.0</v>
      </c>
      <c r="H430" s="11">
        <v>3.0</v>
      </c>
      <c r="I430" s="11">
        <v>3.0</v>
      </c>
    </row>
    <row r="431">
      <c r="A431" s="10" t="s">
        <v>6828</v>
      </c>
      <c r="B431" s="49" t="str">
        <f t="shared" si="1"/>
        <v>BUI</v>
      </c>
      <c r="C431" s="49" t="str">
        <f t="shared" si="2"/>
        <v>BUI; Under the influence of any drug or drugs that renders the person incapable of safely operating a vessel; 2nd or subs. offense</v>
      </c>
      <c r="D431" s="49" t="str">
        <f t="shared" si="3"/>
        <v>32-1131(a)(5)</v>
      </c>
      <c r="E431" s="11" t="s">
        <v>133</v>
      </c>
      <c r="F431" s="11">
        <v>3.0</v>
      </c>
      <c r="G431" s="11">
        <v>3.0</v>
      </c>
      <c r="H431" s="11">
        <v>3.0</v>
      </c>
      <c r="I431" s="11">
        <v>3.0</v>
      </c>
    </row>
    <row r="432">
      <c r="A432" s="10" t="s">
        <v>6829</v>
      </c>
      <c r="B432" s="49" t="str">
        <f t="shared" si="1"/>
        <v>BUI</v>
      </c>
      <c r="C432" s="49" t="str">
        <f t="shared" si="2"/>
        <v>BUI; Under the influence of combination of alcohol and drug that renders the person incapable of safely operating a vessel; 1st offense</v>
      </c>
      <c r="D432" s="49" t="str">
        <f t="shared" si="3"/>
        <v>32-1131(a)(6)</v>
      </c>
      <c r="E432" s="11" t="s">
        <v>133</v>
      </c>
      <c r="F432" s="11">
        <v>3.0</v>
      </c>
      <c r="G432" s="11">
        <v>3.0</v>
      </c>
      <c r="H432" s="11">
        <v>3.0</v>
      </c>
      <c r="I432" s="11">
        <v>3.0</v>
      </c>
    </row>
    <row r="433">
      <c r="A433" s="10" t="s">
        <v>6830</v>
      </c>
      <c r="B433" s="49" t="str">
        <f t="shared" si="1"/>
        <v>BUI</v>
      </c>
      <c r="C433" s="49" t="str">
        <f t="shared" si="2"/>
        <v>BUI; Under the influence of combination of alcohol and drug that renders the person incapable of safely operating a vessel; 2nd or subs. offense</v>
      </c>
      <c r="D433" s="49" t="str">
        <f t="shared" si="3"/>
        <v>32-1131(a)(6)</v>
      </c>
      <c r="E433" s="11" t="s">
        <v>133</v>
      </c>
      <c r="F433" s="11">
        <v>3.0</v>
      </c>
      <c r="G433" s="11">
        <v>3.0</v>
      </c>
      <c r="H433" s="11">
        <v>3.0</v>
      </c>
      <c r="I433" s="11">
        <v>3.0</v>
      </c>
    </row>
    <row r="434">
      <c r="A434" s="10" t="s">
        <v>6831</v>
      </c>
      <c r="B434" s="49" t="str">
        <f t="shared" si="1"/>
        <v>Burglary</v>
      </c>
      <c r="C434" s="49" t="str">
        <f t="shared" si="2"/>
        <v>Burglary; Without authority, enter into or remain within a building or other structure not a dwelling, with intent to commit the theft of a firearm</v>
      </c>
      <c r="D434" s="49" t="str">
        <f t="shared" si="3"/>
        <v>21-5807(a)(2)</v>
      </c>
      <c r="E434" s="11" t="s">
        <v>133</v>
      </c>
      <c r="F434" s="11">
        <v>3.0</v>
      </c>
      <c r="G434" s="11">
        <v>3.0</v>
      </c>
      <c r="H434" s="11">
        <v>3.0</v>
      </c>
      <c r="I434" s="11">
        <v>3.0</v>
      </c>
    </row>
    <row r="435">
      <c r="A435" s="10" t="s">
        <v>6832</v>
      </c>
      <c r="B435" s="49" t="str">
        <f t="shared" si="1"/>
        <v>Burglary</v>
      </c>
      <c r="C435" s="49" t="str">
        <f t="shared" si="2"/>
        <v>Burglary; Without authority, enter into or remain within a bulding or other structure not a dwelling, with intent to commit a felony, theft or sexually motivated crime therein</v>
      </c>
      <c r="D435" s="49" t="str">
        <f t="shared" si="3"/>
        <v>21-5807(a)(2)</v>
      </c>
      <c r="E435" s="11" t="s">
        <v>133</v>
      </c>
      <c r="F435" s="11">
        <v>3.0</v>
      </c>
      <c r="G435" s="11">
        <v>3.0</v>
      </c>
      <c r="H435" s="11">
        <v>3.0</v>
      </c>
      <c r="I435" s="11">
        <v>3.0</v>
      </c>
    </row>
    <row r="436">
      <c r="A436" s="10" t="s">
        <v>6833</v>
      </c>
      <c r="B436" s="49" t="str">
        <f t="shared" si="1"/>
        <v>Burglary</v>
      </c>
      <c r="C436" s="49" t="str">
        <f t="shared" si="2"/>
        <v>Burglary; Without authority, enter into or remain within a dwelling with intent to commit a felony, theft or sexually motivated crime therein</v>
      </c>
      <c r="D436" s="49" t="str">
        <f t="shared" si="3"/>
        <v>21-5807(a)(1)</v>
      </c>
      <c r="E436" s="11" t="s">
        <v>133</v>
      </c>
      <c r="F436" s="11">
        <v>3.0</v>
      </c>
      <c r="G436" s="11">
        <v>3.0</v>
      </c>
      <c r="H436" s="11">
        <v>3.0</v>
      </c>
      <c r="I436" s="11">
        <v>3.0</v>
      </c>
    </row>
    <row r="437">
      <c r="A437" s="10" t="s">
        <v>6834</v>
      </c>
      <c r="B437" s="49" t="str">
        <f t="shared" si="1"/>
        <v>Burglary</v>
      </c>
      <c r="C437" s="49" t="str">
        <f t="shared" si="2"/>
        <v>Burglary; Without authority, enter into or remain within a dwelling with intent to commit the theft of a firearm</v>
      </c>
      <c r="D437" s="49" t="str">
        <f t="shared" si="3"/>
        <v>21-5807(a)(1)</v>
      </c>
      <c r="E437" s="11" t="s">
        <v>133</v>
      </c>
      <c r="F437" s="11">
        <v>3.0</v>
      </c>
      <c r="G437" s="11">
        <v>3.0</v>
      </c>
      <c r="H437" s="11">
        <v>3.0</v>
      </c>
      <c r="I437" s="11">
        <v>3.0</v>
      </c>
    </row>
    <row r="438">
      <c r="A438" s="10" t="s">
        <v>6835</v>
      </c>
      <c r="B438" s="49" t="str">
        <f t="shared" si="1"/>
        <v>Burglary</v>
      </c>
      <c r="C438" s="49" t="str">
        <f t="shared" si="2"/>
        <v>Burglary; Without authority, enter into or remain within any vehicle, aircraft, watercraft, railroad car or other means of conveyance of persons or property, with intent to commit a felony, theft or sexually motivated crime therein</v>
      </c>
      <c r="D438" s="49" t="str">
        <f t="shared" si="3"/>
        <v>21-5807(a)(3)</v>
      </c>
      <c r="E438" s="11" t="s">
        <v>133</v>
      </c>
      <c r="F438" s="11">
        <v>3.0</v>
      </c>
      <c r="G438" s="11">
        <v>3.0</v>
      </c>
      <c r="H438" s="11">
        <v>3.0</v>
      </c>
      <c r="I438" s="11">
        <v>3.0</v>
      </c>
    </row>
    <row r="439">
      <c r="A439" s="10" t="s">
        <v>6836</v>
      </c>
      <c r="B439" s="49" t="str">
        <f t="shared" si="1"/>
        <v>Burglary</v>
      </c>
      <c r="C439" s="49" t="str">
        <f t="shared" si="2"/>
        <v>Burglary; Without authority, enter into or remain within any vehicle, aircraft, watercraft, railroad car or other means of conveyance of persons or property, with intent to commit the theft of a firearm</v>
      </c>
      <c r="D439" s="49" t="str">
        <f t="shared" si="3"/>
        <v>21-5807(a)(3)</v>
      </c>
      <c r="E439" s="11" t="s">
        <v>133</v>
      </c>
      <c r="F439" s="11">
        <v>3.0</v>
      </c>
      <c r="G439" s="11">
        <v>3.0</v>
      </c>
      <c r="H439" s="11">
        <v>3.0</v>
      </c>
      <c r="I439" s="11">
        <v>3.0</v>
      </c>
    </row>
    <row r="440">
      <c r="A440" s="10" t="s">
        <v>6837</v>
      </c>
      <c r="B440" s="49" t="str">
        <f t="shared" si="1"/>
        <v>Business Crimes</v>
      </c>
      <c r="C440" s="49" t="str">
        <f t="shared" si="2"/>
        <v>Business Crimes; Debt adjusting</v>
      </c>
      <c r="D440" s="49" t="str">
        <f t="shared" si="3"/>
        <v>21-6502(a)</v>
      </c>
      <c r="E440" s="11" t="s">
        <v>133</v>
      </c>
      <c r="F440" s="11">
        <v>3.0</v>
      </c>
      <c r="G440" s="11">
        <v>3.0</v>
      </c>
      <c r="H440" s="11">
        <v>3.0</v>
      </c>
      <c r="I440" s="11">
        <v>3.0</v>
      </c>
    </row>
    <row r="441">
      <c r="A441" s="10" t="s">
        <v>6838</v>
      </c>
      <c r="B441" s="49" t="str">
        <f t="shared" si="1"/>
        <v>Business Crimes</v>
      </c>
      <c r="C441" s="49" t="str">
        <f t="shared" si="2"/>
        <v>Business Crimes; Deceptive commercial practices</v>
      </c>
      <c r="D441" s="49" t="str">
        <f t="shared" si="3"/>
        <v>21-6503(a)</v>
      </c>
      <c r="E441" s="11" t="s">
        <v>133</v>
      </c>
      <c r="F441" s="11">
        <v>3.0</v>
      </c>
      <c r="G441" s="11">
        <v>3.0</v>
      </c>
      <c r="H441" s="11">
        <v>3.0</v>
      </c>
      <c r="I441" s="11">
        <v>3.0</v>
      </c>
    </row>
    <row r="442">
      <c r="A442" s="10" t="s">
        <v>6839</v>
      </c>
      <c r="B442" s="49" t="str">
        <f t="shared" si="1"/>
        <v>Business Crimes</v>
      </c>
      <c r="C442" s="49" t="str">
        <f t="shared" si="2"/>
        <v>Business Crimes; Equity skimming; With intent to defraud, intentionally engaging in a pattern or practice of applying or authorizing the application of rents from such dwelling for such person's own use</v>
      </c>
      <c r="D442" s="49" t="str">
        <f t="shared" si="3"/>
        <v>21-6504(a)(3)</v>
      </c>
      <c r="E442" s="11" t="s">
        <v>133</v>
      </c>
      <c r="F442" s="11">
        <v>3.0</v>
      </c>
      <c r="G442" s="11">
        <v>3.0</v>
      </c>
      <c r="H442" s="11">
        <v>3.0</v>
      </c>
      <c r="I442" s="11">
        <v>3.0</v>
      </c>
    </row>
    <row r="443">
      <c r="A443" s="10" t="s">
        <v>6840</v>
      </c>
      <c r="B443" s="49" t="str">
        <f t="shared" si="1"/>
        <v>Business Crimes</v>
      </c>
      <c r="C443" s="49" t="str">
        <f t="shared" si="2"/>
        <v>Business Crimes; Equity skimming; With intent to defraud, intentionally engaging in a pattern or practice of failing to deliver to holder of mortgage before a sheriff's sale or holder of the certificate of purchase during the period of redemption all rent proceeds received</v>
      </c>
      <c r="D443" s="49" t="str">
        <f t="shared" si="3"/>
        <v>21-6504(a)(2)</v>
      </c>
      <c r="E443" s="11" t="s">
        <v>133</v>
      </c>
      <c r="F443" s="11">
        <v>3.0</v>
      </c>
      <c r="G443" s="11">
        <v>3.0</v>
      </c>
      <c r="H443" s="11">
        <v>3.0</v>
      </c>
      <c r="I443" s="11">
        <v>3.0</v>
      </c>
    </row>
    <row r="444">
      <c r="A444" s="10" t="s">
        <v>6841</v>
      </c>
      <c r="B444" s="49" t="str">
        <f t="shared" si="1"/>
        <v>Business Crimes</v>
      </c>
      <c r="C444" s="49" t="str">
        <f t="shared" si="2"/>
        <v>Business Crimes; Equity skimming; With intent to defraud, intentionally engaging in a pattern or practice of purchasing family dwellings, or acquiring any interest therein, which are subject to a loan in default or near default and secured by a mortgage</v>
      </c>
      <c r="D444" s="49" t="str">
        <f t="shared" si="3"/>
        <v>21-6504(a)(1)</v>
      </c>
      <c r="E444" s="11" t="s">
        <v>133</v>
      </c>
      <c r="F444" s="11">
        <v>3.0</v>
      </c>
      <c r="G444" s="11">
        <v>3.0</v>
      </c>
      <c r="H444" s="11">
        <v>3.0</v>
      </c>
      <c r="I444" s="11">
        <v>3.0</v>
      </c>
    </row>
    <row r="445">
      <c r="A445" s="10" t="s">
        <v>6842</v>
      </c>
      <c r="B445" s="49" t="str">
        <f t="shared" si="1"/>
        <v>Business Crimes</v>
      </c>
      <c r="C445" s="49" t="str">
        <f t="shared" si="2"/>
        <v>Business Crimes; Knowingly employing an illegal alien within the United States</v>
      </c>
      <c r="D445" s="49" t="str">
        <f t="shared" si="3"/>
        <v>21-6509(a)</v>
      </c>
      <c r="E445" s="11" t="s">
        <v>133</v>
      </c>
      <c r="F445" s="11">
        <v>3.0</v>
      </c>
      <c r="G445" s="11">
        <v>3.0</v>
      </c>
      <c r="H445" s="11">
        <v>3.0</v>
      </c>
      <c r="I445" s="11">
        <v>3.0</v>
      </c>
    </row>
    <row r="446">
      <c r="A446" s="10" t="s">
        <v>6843</v>
      </c>
      <c r="B446" s="49" t="str">
        <f t="shared" si="1"/>
        <v>Business Crimes</v>
      </c>
      <c r="C446" s="49" t="str">
        <f t="shared" si="2"/>
        <v>Business Crimes; Tie-in magazine sale</v>
      </c>
      <c r="D446" s="49" t="str">
        <f t="shared" si="3"/>
        <v>21-6505(a)</v>
      </c>
      <c r="E446" s="11" t="s">
        <v>133</v>
      </c>
      <c r="F446" s="11">
        <v>3.0</v>
      </c>
      <c r="G446" s="11">
        <v>3.0</v>
      </c>
      <c r="H446" s="11">
        <v>3.0</v>
      </c>
      <c r="I446" s="11">
        <v>3.0</v>
      </c>
    </row>
    <row r="447">
      <c r="A447" s="10" t="s">
        <v>6844</v>
      </c>
      <c r="B447" s="49" t="str">
        <f t="shared" si="1"/>
        <v>Buying Sexual Relations</v>
      </c>
      <c r="C447" s="49" t="str">
        <f t="shared" si="2"/>
        <v>Buying Sexual Relations; Entering or remaining in a place where sexual relations are sold with the intent to engage in sexual acts with a person 18 or older offender has no prior convictions under this section</v>
      </c>
      <c r="D447" s="49" t="str">
        <f t="shared" si="3"/>
        <v>21-6421(a)(1)</v>
      </c>
      <c r="E447" s="11" t="s">
        <v>133</v>
      </c>
      <c r="F447" s="11">
        <v>3.0</v>
      </c>
      <c r="G447" s="11">
        <v>3.0</v>
      </c>
      <c r="H447" s="11">
        <v>3.0</v>
      </c>
      <c r="I447" s="11">
        <v>3.0</v>
      </c>
    </row>
    <row r="448">
      <c r="A448" s="10" t="s">
        <v>6845</v>
      </c>
      <c r="B448" s="49" t="str">
        <f t="shared" si="1"/>
        <v>Buying Sexual Relations</v>
      </c>
      <c r="C448" s="49" t="str">
        <f t="shared" si="2"/>
        <v>Buying Sexual Relations; Entering or remaining in a place where sexual relations are sold with the intent to engage in sexual acts with a person 18 or older offender has prior conviction under this section</v>
      </c>
      <c r="D448" s="49" t="str">
        <f t="shared" si="3"/>
        <v>21-6421(a)(1)</v>
      </c>
      <c r="E448" s="11" t="s">
        <v>133</v>
      </c>
      <c r="F448" s="11">
        <v>3.0</v>
      </c>
      <c r="G448" s="11">
        <v>3.0</v>
      </c>
      <c r="H448" s="11">
        <v>3.0</v>
      </c>
      <c r="I448" s="11">
        <v>3.0</v>
      </c>
    </row>
    <row r="449">
      <c r="A449" s="10" t="s">
        <v>6846</v>
      </c>
      <c r="B449" s="49" t="str">
        <f t="shared" si="1"/>
        <v>Buying Sexual Relations</v>
      </c>
      <c r="C449" s="49" t="str">
        <f t="shared" si="2"/>
        <v>Buying Sexual Relations; Knowingly hiring a person 18 or older to engage in sexual acts offender has no prior convictions under this section</v>
      </c>
      <c r="D449" s="49" t="str">
        <f t="shared" si="3"/>
        <v>21-6421(a)(2)</v>
      </c>
      <c r="E449" s="11" t="s">
        <v>133</v>
      </c>
      <c r="F449" s="11">
        <v>3.0</v>
      </c>
      <c r="G449" s="11">
        <v>3.0</v>
      </c>
      <c r="H449" s="11">
        <v>3.0</v>
      </c>
      <c r="I449" s="11">
        <v>3.0</v>
      </c>
    </row>
    <row r="450">
      <c r="A450" s="10" t="s">
        <v>6847</v>
      </c>
      <c r="B450" s="49" t="str">
        <f t="shared" si="1"/>
        <v>Buying Sexual Relations</v>
      </c>
      <c r="C450" s="49" t="str">
        <f t="shared" si="2"/>
        <v>Buying Sexual Relations; Knowingly hiring a person 18 or older to engage in sexual acts offender has prior conviction under this section</v>
      </c>
      <c r="D450" s="49" t="str">
        <f t="shared" si="3"/>
        <v>21-6421(a)(2)</v>
      </c>
      <c r="E450" s="11" t="s">
        <v>133</v>
      </c>
      <c r="F450" s="11">
        <v>3.0</v>
      </c>
      <c r="G450" s="11">
        <v>3.0</v>
      </c>
      <c r="H450" s="11">
        <v>3.0</v>
      </c>
      <c r="I450" s="11">
        <v>3.0</v>
      </c>
    </row>
    <row r="451">
      <c r="A451" s="10" t="s">
        <v>6848</v>
      </c>
      <c r="B451" s="49" t="str">
        <f t="shared" si="1"/>
        <v>Care &amp; Treatment</v>
      </c>
      <c r="C451" s="49" t="str">
        <f t="shared" si="2"/>
        <v>Care &amp; Treatment; Mentally Ill Persons; make any false petition, report or order provided for in this act for a corrupt consideration or advantage, or through malice</v>
      </c>
      <c r="D451" s="49" t="str">
        <f t="shared" si="3"/>
        <v>59-2980</v>
      </c>
      <c r="E451" s="11" t="s">
        <v>133</v>
      </c>
      <c r="F451" s="11">
        <v>3.0</v>
      </c>
      <c r="G451" s="11">
        <v>3.0</v>
      </c>
      <c r="H451" s="11">
        <v>3.0</v>
      </c>
      <c r="I451" s="11">
        <v>3.0</v>
      </c>
    </row>
    <row r="452">
      <c r="A452" s="10" t="s">
        <v>6849</v>
      </c>
      <c r="B452" s="49" t="str">
        <f t="shared" si="1"/>
        <v>Care &amp; Treatment</v>
      </c>
      <c r="C452" s="49" t="str">
        <f t="shared" si="2"/>
        <v>Care &amp; Treatment; Mentally Ill Persons; unauthorized and willful disclosure of privileged records</v>
      </c>
      <c r="D452" s="49" t="str">
        <f t="shared" si="3"/>
        <v>59-2979(a)</v>
      </c>
      <c r="E452" s="11" t="s">
        <v>133</v>
      </c>
      <c r="F452" s="11">
        <v>3.0</v>
      </c>
      <c r="G452" s="11">
        <v>3.0</v>
      </c>
      <c r="H452" s="11">
        <v>3.0</v>
      </c>
      <c r="I452" s="11">
        <v>3.0</v>
      </c>
    </row>
    <row r="453">
      <c r="A453" s="10" t="s">
        <v>6850</v>
      </c>
      <c r="B453" s="49" t="str">
        <f t="shared" si="1"/>
        <v>Care &amp; Treatment</v>
      </c>
      <c r="C453" s="49" t="str">
        <f t="shared" si="2"/>
        <v>Care &amp; Treatment; Mentally Ill Persons; willful, unauthorized deprivation of any patient's rights</v>
      </c>
      <c r="D453" s="49" t="str">
        <f t="shared" si="3"/>
        <v>59-2978(a)</v>
      </c>
      <c r="E453" s="11" t="s">
        <v>133</v>
      </c>
      <c r="F453" s="11">
        <v>3.0</v>
      </c>
      <c r="G453" s="11">
        <v>3.0</v>
      </c>
      <c r="H453" s="11">
        <v>3.0</v>
      </c>
      <c r="I453" s="11">
        <v>3.0</v>
      </c>
    </row>
    <row r="454">
      <c r="A454" s="10" t="s">
        <v>6851</v>
      </c>
      <c r="B454" s="49" t="str">
        <f t="shared" si="1"/>
        <v>Care &amp; Treatment</v>
      </c>
      <c r="C454" s="49" t="str">
        <f t="shared" si="2"/>
        <v>Care &amp; Treatment; Persons with Addiction Problems; make any false petition, report or order provided for in this act for a corrupt consideration or advantage, or through malice</v>
      </c>
      <c r="D454" s="49" t="str">
        <f t="shared" si="3"/>
        <v>59-29b80</v>
      </c>
      <c r="E454" s="11" t="s">
        <v>133</v>
      </c>
      <c r="F454" s="11">
        <v>3.0</v>
      </c>
      <c r="G454" s="11">
        <v>3.0</v>
      </c>
      <c r="H454" s="11">
        <v>3.0</v>
      </c>
      <c r="I454" s="11">
        <v>3.0</v>
      </c>
    </row>
    <row r="455">
      <c r="A455" s="10" t="s">
        <v>6852</v>
      </c>
      <c r="B455" s="49" t="str">
        <f t="shared" si="1"/>
        <v>Care &amp; Treatment</v>
      </c>
      <c r="C455" s="49" t="str">
        <f t="shared" si="2"/>
        <v>Care &amp; Treatment; Persons with Addiction Problems; unauthorized and willful disclosure of privileged records</v>
      </c>
      <c r="D455" s="49" t="str">
        <f t="shared" si="3"/>
        <v>59-29b79(a)</v>
      </c>
      <c r="E455" s="11" t="s">
        <v>133</v>
      </c>
      <c r="F455" s="11">
        <v>3.0</v>
      </c>
      <c r="G455" s="11">
        <v>3.0</v>
      </c>
      <c r="H455" s="11">
        <v>3.0</v>
      </c>
      <c r="I455" s="11">
        <v>3.0</v>
      </c>
    </row>
    <row r="456">
      <c r="A456" s="10" t="s">
        <v>6853</v>
      </c>
      <c r="B456" s="49" t="str">
        <f t="shared" si="1"/>
        <v>Care &amp; Treatment</v>
      </c>
      <c r="C456" s="49" t="str">
        <f t="shared" si="2"/>
        <v>Care &amp; Treatment; Persons with Addiction Problems; willful, unauthorized deprivation of any patient's rights</v>
      </c>
      <c r="D456" s="49" t="str">
        <f t="shared" si="3"/>
        <v>59-29b78(a)</v>
      </c>
      <c r="E456" s="11" t="s">
        <v>133</v>
      </c>
      <c r="F456" s="11">
        <v>3.0</v>
      </c>
      <c r="G456" s="11">
        <v>3.0</v>
      </c>
      <c r="H456" s="11">
        <v>3.0</v>
      </c>
      <c r="I456" s="11">
        <v>3.0</v>
      </c>
    </row>
    <row r="457">
      <c r="A457" s="10" t="s">
        <v>6854</v>
      </c>
      <c r="B457" s="49" t="str">
        <f t="shared" si="1"/>
        <v>Carrying Concealed Explosives or Detonating Substance</v>
      </c>
      <c r="C457" s="49" t="str">
        <f t="shared" si="2"/>
        <v>Carrying Concealed Explosives or Detonating Substance</v>
      </c>
      <c r="D457" s="49" t="str">
        <f t="shared" si="3"/>
        <v>21-6312(c)</v>
      </c>
      <c r="E457" s="11" t="s">
        <v>133</v>
      </c>
      <c r="F457" s="11">
        <v>3.0</v>
      </c>
      <c r="G457" s="11">
        <v>3.0</v>
      </c>
      <c r="H457" s="11">
        <v>3.0</v>
      </c>
      <c r="I457" s="11">
        <v>3.0</v>
      </c>
    </row>
    <row r="458">
      <c r="A458" s="10" t="s">
        <v>6855</v>
      </c>
      <c r="B458" s="49" t="str">
        <f t="shared" si="1"/>
        <v>Causing Unlawful Prosecution for Worthless Check</v>
      </c>
      <c r="C458" s="49" t="str">
        <f t="shared" si="2"/>
        <v>Causing Unlawful Prosecution for Worthless Check</v>
      </c>
      <c r="D458" s="49" t="str">
        <f t="shared" si="3"/>
        <v>21-5822(a)</v>
      </c>
      <c r="E458" s="11" t="s">
        <v>133</v>
      </c>
      <c r="F458" s="11">
        <v>3.0</v>
      </c>
      <c r="G458" s="11">
        <v>3.0</v>
      </c>
      <c r="H458" s="11">
        <v>3.0</v>
      </c>
      <c r="I458" s="11">
        <v>3.0</v>
      </c>
    </row>
    <row r="459">
      <c r="A459" s="10" t="s">
        <v>6856</v>
      </c>
      <c r="B459" s="49" t="str">
        <f t="shared" si="1"/>
        <v>Cemetery Corporations</v>
      </c>
      <c r="C459" s="49" t="str">
        <f t="shared" si="2"/>
        <v>Cemetery Corporations; Misuse of the Cemetery Merchandise Trust Fund</v>
      </c>
      <c r="D459" s="49" t="str">
        <f t="shared" si="3"/>
        <v>16-323</v>
      </c>
      <c r="E459" s="11" t="s">
        <v>133</v>
      </c>
      <c r="F459" s="11">
        <v>3.0</v>
      </c>
      <c r="G459" s="11">
        <v>3.0</v>
      </c>
      <c r="H459" s="11">
        <v>3.0</v>
      </c>
      <c r="I459" s="11">
        <v>3.0</v>
      </c>
    </row>
    <row r="460">
      <c r="A460" s="10" t="s">
        <v>6857</v>
      </c>
      <c r="B460" s="49" t="str">
        <f t="shared" si="1"/>
        <v>Cemetery Corporations</v>
      </c>
      <c r="C460" s="49" t="str">
        <f t="shared" si="2"/>
        <v>Cemetery Corporations; Misuse of the permanent maintenance fund</v>
      </c>
      <c r="D460" s="49" t="str">
        <f t="shared" si="3"/>
        <v>17-1311a(a)</v>
      </c>
      <c r="E460" s="11" t="s">
        <v>133</v>
      </c>
      <c r="F460" s="11">
        <v>3.0</v>
      </c>
      <c r="G460" s="11">
        <v>3.0</v>
      </c>
      <c r="H460" s="11">
        <v>3.0</v>
      </c>
      <c r="I460" s="11">
        <v>3.0</v>
      </c>
    </row>
    <row r="461">
      <c r="A461" s="10" t="s">
        <v>6858</v>
      </c>
      <c r="B461" s="49" t="str">
        <f t="shared" si="1"/>
        <v>Census</v>
      </c>
      <c r="C461" s="49" t="str">
        <f t="shared" si="2"/>
        <v>Census; Any interference with one carrying out the provisions of this act</v>
      </c>
      <c r="D461" s="49" t="str">
        <f t="shared" si="3"/>
        <v>11-307</v>
      </c>
      <c r="E461" s="11" t="s">
        <v>133</v>
      </c>
      <c r="F461" s="11">
        <v>3.0</v>
      </c>
      <c r="G461" s="11">
        <v>3.0</v>
      </c>
      <c r="H461" s="11">
        <v>3.0</v>
      </c>
      <c r="I461" s="11">
        <v>3.0</v>
      </c>
    </row>
    <row r="462">
      <c r="A462" s="10" t="s">
        <v>6859</v>
      </c>
      <c r="B462" s="49" t="str">
        <f t="shared" si="1"/>
        <v>Census</v>
      </c>
      <c r="C462" s="49" t="str">
        <f t="shared" si="2"/>
        <v>Census; Employee knowingly failing to perform the duties or submitting false report</v>
      </c>
      <c r="D462" s="49" t="str">
        <f t="shared" si="3"/>
        <v>11-208(a)</v>
      </c>
      <c r="E462" s="11" t="s">
        <v>133</v>
      </c>
      <c r="F462" s="11">
        <v>3.0</v>
      </c>
      <c r="G462" s="11">
        <v>3.0</v>
      </c>
      <c r="H462" s="11">
        <v>3.0</v>
      </c>
      <c r="I462" s="11">
        <v>3.0</v>
      </c>
    </row>
    <row r="463">
      <c r="A463" s="10" t="s">
        <v>6860</v>
      </c>
      <c r="B463" s="49" t="str">
        <f t="shared" si="1"/>
        <v>Cereal Malt Beverages</v>
      </c>
      <c r="C463" s="49" t="str">
        <f t="shared" si="2"/>
        <v>Cereal Malt Beverages; Accept, receive or borrow money or anything else of value, or accept or receive credit, from any manufacturer or distributor</v>
      </c>
      <c r="D463" s="49" t="str">
        <f t="shared" si="3"/>
        <v>41-2705(a)(1)</v>
      </c>
      <c r="E463" s="11" t="s">
        <v>133</v>
      </c>
      <c r="F463" s="11">
        <v>3.0</v>
      </c>
      <c r="G463" s="11">
        <v>3.0</v>
      </c>
      <c r="H463" s="11">
        <v>3.0</v>
      </c>
      <c r="I463" s="11">
        <v>3.0</v>
      </c>
    </row>
    <row r="464">
      <c r="A464" s="10" t="s">
        <v>6861</v>
      </c>
      <c r="B464" s="49" t="str">
        <f t="shared" si="1"/>
        <v>Cereal Malt Beverages</v>
      </c>
      <c r="C464" s="49" t="str">
        <f t="shared" si="2"/>
        <v>Cereal Malt Beverages; Accept, receive or borrow money or anything else of value, or accept or receive credit, from any officer, manager, agent or representative of a manufacturer or distributor</v>
      </c>
      <c r="D464" s="49" t="str">
        <f t="shared" si="3"/>
        <v>41-2705(a)(4)</v>
      </c>
      <c r="E464" s="11" t="s">
        <v>133</v>
      </c>
      <c r="F464" s="11">
        <v>3.0</v>
      </c>
      <c r="G464" s="11">
        <v>3.0</v>
      </c>
      <c r="H464" s="11">
        <v>3.0</v>
      </c>
      <c r="I464" s="11">
        <v>3.0</v>
      </c>
    </row>
    <row r="465">
      <c r="A465" s="10" t="s">
        <v>6862</v>
      </c>
      <c r="B465" s="49" t="str">
        <f t="shared" si="1"/>
        <v>Cereal Malt Beverages</v>
      </c>
      <c r="C465" s="49" t="str">
        <f t="shared" si="2"/>
        <v>Cereal Malt Beverages; Accept, receive or borrow money or anything else of value, or accept or receive credit, from any person connected with, in any way representing or a member of the family of a manufacturer or distributor</v>
      </c>
      <c r="D465" s="49" t="str">
        <f t="shared" si="3"/>
        <v>41-2705(a)(2)</v>
      </c>
      <c r="E465" s="11" t="s">
        <v>133</v>
      </c>
      <c r="F465" s="11">
        <v>3.0</v>
      </c>
      <c r="G465" s="11">
        <v>3.0</v>
      </c>
      <c r="H465" s="11">
        <v>3.0</v>
      </c>
      <c r="I465" s="11">
        <v>3.0</v>
      </c>
    </row>
    <row r="466">
      <c r="A466" s="10" t="s">
        <v>6863</v>
      </c>
      <c r="B466" s="49" t="str">
        <f t="shared" si="1"/>
        <v>Cereal Malt Beverages</v>
      </c>
      <c r="C466" s="49" t="str">
        <f t="shared" si="2"/>
        <v>Cereal Malt Beverages; Accept, receive or borrow money or anything else of value, or accept or receive credit, from any stockholders in a manufacturer or distributor</v>
      </c>
      <c r="D466" s="49" t="str">
        <f t="shared" si="3"/>
        <v>41-2705(a)(3)</v>
      </c>
      <c r="E466" s="11" t="s">
        <v>133</v>
      </c>
      <c r="F466" s="11">
        <v>3.0</v>
      </c>
      <c r="G466" s="11">
        <v>3.0</v>
      </c>
      <c r="H466" s="11">
        <v>3.0</v>
      </c>
      <c r="I466" s="11">
        <v>3.0</v>
      </c>
    </row>
    <row r="467">
      <c r="A467" s="10" t="s">
        <v>6864</v>
      </c>
      <c r="B467" s="49" t="str">
        <f t="shared" si="1"/>
        <v>Cereal Malt Beverages</v>
      </c>
      <c r="C467" s="49" t="str">
        <f t="shared" si="2"/>
        <v>Cereal Malt Beverages; Cereal malt beverage prohibited at state capitol</v>
      </c>
      <c r="D467" s="49" t="str">
        <f t="shared" si="3"/>
        <v>41-2725(a)</v>
      </c>
      <c r="E467" s="11" t="s">
        <v>133</v>
      </c>
      <c r="F467" s="11">
        <v>3.0</v>
      </c>
      <c r="G467" s="11">
        <v>3.0</v>
      </c>
      <c r="H467" s="11">
        <v>3.0</v>
      </c>
      <c r="I467" s="11">
        <v>3.0</v>
      </c>
    </row>
    <row r="468">
      <c r="A468" s="10" t="s">
        <v>6865</v>
      </c>
      <c r="B468" s="49" t="str">
        <f t="shared" si="1"/>
        <v>Cereal Malt Beverages</v>
      </c>
      <c r="C468" s="49" t="str">
        <f t="shared" si="2"/>
        <v>Cereal Malt Beverages; Certain sales on credit or in trade prohibited</v>
      </c>
      <c r="D468" s="49" t="str">
        <f t="shared" si="3"/>
        <v>41-2706(a)</v>
      </c>
      <c r="E468" s="11" t="s">
        <v>133</v>
      </c>
      <c r="F468" s="11">
        <v>3.0</v>
      </c>
      <c r="G468" s="11">
        <v>3.0</v>
      </c>
      <c r="H468" s="11">
        <v>3.0</v>
      </c>
      <c r="I468" s="11">
        <v>3.0</v>
      </c>
    </row>
    <row r="469">
      <c r="A469" s="10" t="s">
        <v>6866</v>
      </c>
      <c r="B469" s="49" t="str">
        <f t="shared" si="1"/>
        <v>Cereal Malt Beverages</v>
      </c>
      <c r="C469" s="49" t="str">
        <f t="shared" si="2"/>
        <v>Cereal Malt Beverages; Certain sales practices prohibited; Advertise or promote any prohibited practices in K.S.A. 41-2722(a)(1) through (4)</v>
      </c>
      <c r="D469" s="49" t="str">
        <f t="shared" si="3"/>
        <v>41-2722(a)(5)</v>
      </c>
      <c r="E469" s="11" t="s">
        <v>133</v>
      </c>
      <c r="F469" s="11">
        <v>3.0</v>
      </c>
      <c r="G469" s="11">
        <v>3.0</v>
      </c>
      <c r="H469" s="11">
        <v>3.0</v>
      </c>
      <c r="I469" s="11">
        <v>3.0</v>
      </c>
    </row>
    <row r="470">
      <c r="A470" s="10" t="s">
        <v>6867</v>
      </c>
      <c r="B470" s="49" t="str">
        <f t="shared" si="1"/>
        <v>Cereal Malt Beverages</v>
      </c>
      <c r="C470" s="49" t="str">
        <f t="shared" si="2"/>
        <v>Cereal Malt Beverages; Certain sales practices prohibited; Encourage or permit games or contests involving cereal malt beverages or awarding drinks as prizes</v>
      </c>
      <c r="D470" s="49" t="str">
        <f t="shared" si="3"/>
        <v>41-2722(a)(4)</v>
      </c>
      <c r="E470" s="11" t="s">
        <v>133</v>
      </c>
      <c r="F470" s="11">
        <v>3.0</v>
      </c>
      <c r="G470" s="11">
        <v>3.0</v>
      </c>
      <c r="H470" s="11">
        <v>3.0</v>
      </c>
      <c r="I470" s="11">
        <v>3.0</v>
      </c>
    </row>
    <row r="471">
      <c r="A471" s="10" t="s">
        <v>6868</v>
      </c>
      <c r="B471" s="49" t="str">
        <f t="shared" si="1"/>
        <v>Cereal Malt Beverages</v>
      </c>
      <c r="C471" s="49" t="str">
        <f t="shared" si="2"/>
        <v>Cereal Malt Beverages; Certain sales practices prohibited; Offer or serve a drink at a price less than licensee's acquisition cost</v>
      </c>
      <c r="D471" s="49" t="str">
        <f t="shared" si="3"/>
        <v>41-2722(a)(2)</v>
      </c>
      <c r="E471" s="11" t="s">
        <v>133</v>
      </c>
      <c r="F471" s="11">
        <v>3.0</v>
      </c>
      <c r="G471" s="11">
        <v>3.0</v>
      </c>
      <c r="H471" s="11">
        <v>3.0</v>
      </c>
      <c r="I471" s="11">
        <v>3.0</v>
      </c>
    </row>
    <row r="472">
      <c r="A472" s="10" t="s">
        <v>6869</v>
      </c>
      <c r="B472" s="49" t="str">
        <f t="shared" si="1"/>
        <v>Cereal Malt Beverages</v>
      </c>
      <c r="C472" s="49" t="str">
        <f t="shared" si="2"/>
        <v>Cereal Malt Beverages; Certain sales practices prohibited; Offer or serve an unlimited number of drinks during a set period of time for a fixed price, except at private functions</v>
      </c>
      <c r="D472" s="49" t="str">
        <f t="shared" si="3"/>
        <v>41-2722(a)(3)</v>
      </c>
      <c r="E472" s="11" t="s">
        <v>133</v>
      </c>
      <c r="F472" s="11">
        <v>3.0</v>
      </c>
      <c r="G472" s="11">
        <v>3.0</v>
      </c>
      <c r="H472" s="11">
        <v>3.0</v>
      </c>
      <c r="I472" s="11">
        <v>3.0</v>
      </c>
    </row>
    <row r="473">
      <c r="A473" s="10" t="s">
        <v>6870</v>
      </c>
      <c r="B473" s="49" t="str">
        <f t="shared" si="1"/>
        <v>Cereal Malt Beverages</v>
      </c>
      <c r="C473" s="49" t="str">
        <f t="shared" si="2"/>
        <v>Cereal Malt Beverages; Certain sales practices prohibited; Offer or serve free cereal malt beverages to any person</v>
      </c>
      <c r="D473" s="49" t="str">
        <f t="shared" si="3"/>
        <v>41-2722(a)(1)</v>
      </c>
      <c r="E473" s="11" t="s">
        <v>133</v>
      </c>
      <c r="F473" s="11">
        <v>3.0</v>
      </c>
      <c r="G473" s="11">
        <v>3.0</v>
      </c>
      <c r="H473" s="11">
        <v>3.0</v>
      </c>
      <c r="I473" s="11">
        <v>3.0</v>
      </c>
    </row>
    <row r="474">
      <c r="A474" s="10" t="s">
        <v>6871</v>
      </c>
      <c r="B474" s="49" t="str">
        <f t="shared" si="1"/>
        <v>Cereal Malt Beverages</v>
      </c>
      <c r="C474" s="49" t="str">
        <f t="shared" si="2"/>
        <v>Cereal Malt Beverages; CMB;  Sales below cost prohibited; punished per 41-2711</v>
      </c>
      <c r="D474" s="49" t="str">
        <f t="shared" si="3"/>
        <v>41-2726(a)</v>
      </c>
      <c r="E474" s="11" t="s">
        <v>133</v>
      </c>
      <c r="F474" s="11">
        <v>3.0</v>
      </c>
      <c r="G474" s="11">
        <v>3.0</v>
      </c>
      <c r="H474" s="11">
        <v>3.0</v>
      </c>
      <c r="I474" s="11">
        <v>3.0</v>
      </c>
    </row>
    <row r="475">
      <c r="A475" s="10" t="s">
        <v>6872</v>
      </c>
      <c r="B475" s="49" t="str">
        <f t="shared" si="1"/>
        <v>Cereal Malt Beverages</v>
      </c>
      <c r="C475" s="49" t="str">
        <f t="shared" si="2"/>
        <v>Cereal Malt Beverages; Licensee permitting or assenting, or being a party to any violation or infringement of the provisions of this section or of K.S.A. 41-702 or 41-703</v>
      </c>
      <c r="D475" s="49" t="str">
        <f t="shared" si="3"/>
        <v>41-2705(b)</v>
      </c>
      <c r="E475" s="11" t="s">
        <v>133</v>
      </c>
      <c r="F475" s="11">
        <v>3.0</v>
      </c>
      <c r="G475" s="11">
        <v>3.0</v>
      </c>
      <c r="H475" s="11">
        <v>3.0</v>
      </c>
      <c r="I475" s="11">
        <v>3.0</v>
      </c>
    </row>
    <row r="476">
      <c r="A476" s="10" t="s">
        <v>6873</v>
      </c>
      <c r="B476" s="49" t="str">
        <f t="shared" si="1"/>
        <v>Cereal Malt Beverages</v>
      </c>
      <c r="C476" s="49" t="str">
        <f t="shared" si="2"/>
        <v>Cereal Malt Beverages; Retailer's license required for sale of CMB</v>
      </c>
      <c r="D476" s="49" t="str">
        <f t="shared" si="3"/>
        <v>41-2702</v>
      </c>
      <c r="E476" s="11" t="s">
        <v>133</v>
      </c>
      <c r="F476" s="11">
        <v>3.0</v>
      </c>
      <c r="G476" s="11">
        <v>3.0</v>
      </c>
      <c r="H476" s="11">
        <v>3.0</v>
      </c>
      <c r="I476" s="11">
        <v>3.0</v>
      </c>
    </row>
    <row r="477">
      <c r="A477" s="10" t="s">
        <v>6874</v>
      </c>
      <c r="B477" s="49" t="str">
        <f t="shared" si="1"/>
        <v>Cereal Malt Beverages</v>
      </c>
      <c r="C477" s="49" t="str">
        <f t="shared" si="2"/>
        <v>Cereal Malt Beverages; Sale by distributor to retailer on credit unlawful</v>
      </c>
      <c r="D477" s="49" t="str">
        <f t="shared" si="3"/>
        <v>41-2707</v>
      </c>
      <c r="E477" s="11" t="s">
        <v>133</v>
      </c>
      <c r="F477" s="11">
        <v>3.0</v>
      </c>
      <c r="G477" s="11">
        <v>3.0</v>
      </c>
      <c r="H477" s="11">
        <v>3.0</v>
      </c>
      <c r="I477" s="11">
        <v>3.0</v>
      </c>
    </row>
    <row r="478">
      <c r="A478" s="10" t="s">
        <v>6875</v>
      </c>
      <c r="B478" s="49" t="str">
        <f t="shared" si="1"/>
        <v>Cereal Malt Beverages</v>
      </c>
      <c r="C478" s="49" t="str">
        <f t="shared" si="2"/>
        <v>Cereal Malt Beverages; Sell or serve cereal malt beverage in a pitcher capable of containing not more than 64 fluid ounces.</v>
      </c>
      <c r="D478" s="49" t="str">
        <f t="shared" si="3"/>
        <v>41-2722(b)(3)</v>
      </c>
      <c r="E478" s="11" t="s">
        <v>133</v>
      </c>
      <c r="F478" s="11">
        <v>3.0</v>
      </c>
      <c r="G478" s="11">
        <v>3.0</v>
      </c>
      <c r="H478" s="11">
        <v>3.0</v>
      </c>
      <c r="I478" s="11">
        <v>3.0</v>
      </c>
    </row>
    <row r="479">
      <c r="A479" s="10" t="s">
        <v>6876</v>
      </c>
      <c r="B479" s="49" t="str">
        <f t="shared" si="1"/>
        <v>Certification of Operators of Water Supply Systems &amp; Wastewater Treatment Facilities</v>
      </c>
      <c r="C479" s="49" t="str">
        <f t="shared" si="2"/>
        <v>Certification of Operators of Water Supply Systems &amp; Wastewater Treatment Facilities; Fail to supply supervision by a certified operator</v>
      </c>
      <c r="D479" s="49" t="str">
        <f t="shared" si="3"/>
        <v>65-4516</v>
      </c>
      <c r="E479" s="11" t="s">
        <v>133</v>
      </c>
      <c r="F479" s="11">
        <v>3.0</v>
      </c>
      <c r="G479" s="11">
        <v>3.0</v>
      </c>
      <c r="H479" s="11">
        <v>3.0</v>
      </c>
      <c r="I479" s="11">
        <v>3.0</v>
      </c>
    </row>
    <row r="480">
      <c r="A480" s="10" t="s">
        <v>6877</v>
      </c>
      <c r="B480" s="49" t="str">
        <f t="shared" si="1"/>
        <v>Chemigation Safety Law</v>
      </c>
      <c r="C480" s="49" t="str">
        <f t="shared" si="2"/>
        <v>Chemigation Safety Law; Engage in chemigation on a suspended or revoked permit</v>
      </c>
      <c r="D480" s="49" t="str">
        <f t="shared" si="3"/>
        <v>2-3308(a)(2)</v>
      </c>
      <c r="E480" s="11" t="s">
        <v>133</v>
      </c>
      <c r="F480" s="11">
        <v>3.0</v>
      </c>
      <c r="G480" s="11">
        <v>3.0</v>
      </c>
      <c r="H480" s="11">
        <v>3.0</v>
      </c>
      <c r="I480" s="11">
        <v>3.0</v>
      </c>
    </row>
    <row r="481">
      <c r="A481" s="10" t="s">
        <v>6878</v>
      </c>
      <c r="B481" s="49" t="str">
        <f t="shared" si="1"/>
        <v>Chemigation Safety Law</v>
      </c>
      <c r="C481" s="49" t="str">
        <f t="shared" si="2"/>
        <v>Chemigation Safety Law; Engage in chemigation without a permit</v>
      </c>
      <c r="D481" s="49" t="str">
        <f t="shared" si="3"/>
        <v>2-3308(a)(1)</v>
      </c>
      <c r="E481" s="11" t="s">
        <v>133</v>
      </c>
      <c r="F481" s="11">
        <v>3.0</v>
      </c>
      <c r="G481" s="11">
        <v>3.0</v>
      </c>
      <c r="H481" s="11">
        <v>3.0</v>
      </c>
      <c r="I481" s="11">
        <v>3.0</v>
      </c>
    </row>
    <row r="482">
      <c r="A482" s="10" t="s">
        <v>6879</v>
      </c>
      <c r="B482" s="49" t="str">
        <f t="shared" si="1"/>
        <v>Chemigation Safety Law</v>
      </c>
      <c r="C482" s="49" t="str">
        <f t="shared" si="2"/>
        <v>Chemigation Safety Law; Failure of permit holder to immediately notify the secretary of any actual or suspected accident resulting from the use of chemigation</v>
      </c>
      <c r="D482" s="49" t="str">
        <f t="shared" si="3"/>
        <v>2-3308(a)(4)</v>
      </c>
      <c r="E482" s="11" t="s">
        <v>133</v>
      </c>
      <c r="F482" s="11">
        <v>3.0</v>
      </c>
      <c r="G482" s="11">
        <v>3.0</v>
      </c>
      <c r="H482" s="11">
        <v>3.0</v>
      </c>
      <c r="I482" s="11">
        <v>3.0</v>
      </c>
    </row>
    <row r="483">
      <c r="A483" s="10" t="s">
        <v>6880</v>
      </c>
      <c r="B483" s="49" t="str">
        <f t="shared" si="1"/>
        <v>Chemigation Safety Law</v>
      </c>
      <c r="C483" s="49" t="str">
        <f t="shared" si="2"/>
        <v>Chemigation Safety Law; Person registered or holding permit; aid, abet or conspire with any person to evade any of the provisions of this act; allow use of a registration or permit by a person not named on the registration or permit</v>
      </c>
      <c r="D483" s="49" t="str">
        <f t="shared" si="3"/>
        <v>2-3313(g)</v>
      </c>
      <c r="E483" s="11" t="s">
        <v>133</v>
      </c>
      <c r="F483" s="11">
        <v>3.0</v>
      </c>
      <c r="G483" s="11">
        <v>3.0</v>
      </c>
      <c r="H483" s="11">
        <v>3.0</v>
      </c>
      <c r="I483" s="11">
        <v>3.0</v>
      </c>
    </row>
    <row r="484">
      <c r="A484" s="10" t="s">
        <v>6881</v>
      </c>
      <c r="B484" s="49" t="str">
        <f t="shared" si="1"/>
        <v>Chemigation Safety Law</v>
      </c>
      <c r="C484" s="49" t="str">
        <f t="shared" si="2"/>
        <v>Chemigation Safety Law; Person registered or holding permit; impersonate any state, county or city inspector or official, as acting in their official capacity</v>
      </c>
      <c r="D484" s="49" t="str">
        <f t="shared" si="3"/>
        <v>2-3313(h)</v>
      </c>
      <c r="E484" s="11" t="s">
        <v>133</v>
      </c>
      <c r="F484" s="11">
        <v>3.0</v>
      </c>
      <c r="G484" s="11">
        <v>3.0</v>
      </c>
      <c r="H484" s="11">
        <v>3.0</v>
      </c>
      <c r="I484" s="11">
        <v>3.0</v>
      </c>
    </row>
    <row r="485">
      <c r="A485" s="10" t="s">
        <v>6882</v>
      </c>
      <c r="B485" s="49" t="str">
        <f t="shared" si="1"/>
        <v>Chemigation Safety Law</v>
      </c>
      <c r="C485" s="49" t="str">
        <f t="shared" si="2"/>
        <v>Chemigation Safety Law; Person registered or holding permit; knowingly use ineffective or improper equipment or materials</v>
      </c>
      <c r="D485" s="49" t="str">
        <f t="shared" si="3"/>
        <v>2-3313(b)</v>
      </c>
      <c r="E485" s="11" t="s">
        <v>133</v>
      </c>
      <c r="F485" s="11">
        <v>3.0</v>
      </c>
      <c r="G485" s="11">
        <v>3.0</v>
      </c>
      <c r="H485" s="11">
        <v>3.0</v>
      </c>
      <c r="I485" s="11">
        <v>3.0</v>
      </c>
    </row>
    <row r="486">
      <c r="A486" s="10" t="s">
        <v>6883</v>
      </c>
      <c r="B486" s="49" t="str">
        <f t="shared" si="1"/>
        <v>Chemigation Safety Law</v>
      </c>
      <c r="C486" s="49" t="str">
        <f t="shared" si="2"/>
        <v>Chemigation Safety Law; Person registered or holding permit; make a pesticide use or application not in accordance with the label directions</v>
      </c>
      <c r="D486" s="49" t="str">
        <f t="shared" si="3"/>
        <v>2-3313(a)</v>
      </c>
      <c r="E486" s="11" t="s">
        <v>133</v>
      </c>
      <c r="F486" s="11">
        <v>3.0</v>
      </c>
      <c r="G486" s="11">
        <v>3.0</v>
      </c>
      <c r="H486" s="11">
        <v>3.0</v>
      </c>
      <c r="I486" s="11">
        <v>3.0</v>
      </c>
    </row>
    <row r="487">
      <c r="A487" s="10" t="s">
        <v>6884</v>
      </c>
      <c r="B487" s="49" t="str">
        <f t="shared" si="1"/>
        <v>Chemigation Safety Law</v>
      </c>
      <c r="C487" s="49" t="str">
        <f t="shared" si="2"/>
        <v>Chemigation Safety Law; Person registered or holding permit; make false or fraudulent records or reports</v>
      </c>
      <c r="D487" s="49" t="str">
        <f t="shared" si="3"/>
        <v>2-3313(d)</v>
      </c>
      <c r="E487" s="11" t="s">
        <v>133</v>
      </c>
      <c r="F487" s="11">
        <v>3.0</v>
      </c>
      <c r="G487" s="11">
        <v>3.0</v>
      </c>
      <c r="H487" s="11">
        <v>3.0</v>
      </c>
      <c r="I487" s="11">
        <v>3.0</v>
      </c>
    </row>
    <row r="488">
      <c r="A488" s="10" t="s">
        <v>6885</v>
      </c>
      <c r="B488" s="49" t="str">
        <f t="shared" si="1"/>
        <v>Chemigation Safety Law</v>
      </c>
      <c r="C488" s="49" t="str">
        <f t="shared" si="2"/>
        <v>Chemigation Safety Law; Person registered or holding permit; refuse or neglect to comply with any limitations or restrictions on or in a duly issued registration or permit</v>
      </c>
      <c r="D488" s="49" t="str">
        <f t="shared" si="3"/>
        <v>2-3313(f)</v>
      </c>
      <c r="E488" s="11" t="s">
        <v>133</v>
      </c>
      <c r="F488" s="11">
        <v>3.0</v>
      </c>
      <c r="G488" s="11">
        <v>3.0</v>
      </c>
      <c r="H488" s="11">
        <v>3.0</v>
      </c>
      <c r="I488" s="11">
        <v>3.0</v>
      </c>
    </row>
    <row r="489">
      <c r="A489" s="10" t="s">
        <v>6886</v>
      </c>
      <c r="B489" s="49" t="str">
        <f t="shared" si="1"/>
        <v>Chemigation Safety Law</v>
      </c>
      <c r="C489" s="49" t="str">
        <f t="shared" si="2"/>
        <v>Chemigation Safety Law; Person registered or holding permit; refuse or neglect to keep and maintain records as required; refuse or neglect to make records available as required by this act</v>
      </c>
      <c r="D489" s="49" t="str">
        <f t="shared" si="3"/>
        <v>2-3313(c)</v>
      </c>
      <c r="E489" s="11" t="s">
        <v>133</v>
      </c>
      <c r="F489" s="11">
        <v>3.0</v>
      </c>
      <c r="G489" s="11">
        <v>3.0</v>
      </c>
      <c r="H489" s="11">
        <v>3.0</v>
      </c>
      <c r="I489" s="11">
        <v>3.0</v>
      </c>
    </row>
    <row r="490">
      <c r="A490" s="10" t="s">
        <v>6887</v>
      </c>
      <c r="B490" s="49" t="str">
        <f t="shared" si="1"/>
        <v>Chemigation Safety Law</v>
      </c>
      <c r="C490" s="49" t="str">
        <f t="shared" si="2"/>
        <v>Chemigation Safety Law; Person registered or holding permit; use any chemigation method or pesticide, fertilizer or other chemical material without regard to public health, safety or welfare</v>
      </c>
      <c r="D490" s="49" t="str">
        <f t="shared" si="3"/>
        <v>2-3313(i)</v>
      </c>
      <c r="E490" s="11" t="s">
        <v>133</v>
      </c>
      <c r="F490" s="11">
        <v>3.0</v>
      </c>
      <c r="G490" s="11">
        <v>3.0</v>
      </c>
      <c r="H490" s="11">
        <v>3.0</v>
      </c>
      <c r="I490" s="11">
        <v>3.0</v>
      </c>
    </row>
    <row r="491">
      <c r="A491" s="10" t="s">
        <v>6888</v>
      </c>
      <c r="B491" s="49" t="str">
        <f t="shared" si="1"/>
        <v>Chemigation Safety Law</v>
      </c>
      <c r="C491" s="49" t="str">
        <f t="shared" si="2"/>
        <v>Chemigation Safety Law; Person registered or holding permit; use fraud or misrepresentation in making an application for or renewal of a registration or permit</v>
      </c>
      <c r="D491" s="49" t="str">
        <f t="shared" si="3"/>
        <v>2-3313(e)</v>
      </c>
      <c r="E491" s="11" t="s">
        <v>133</v>
      </c>
      <c r="F491" s="11">
        <v>3.0</v>
      </c>
      <c r="G491" s="11">
        <v>3.0</v>
      </c>
      <c r="H491" s="11">
        <v>3.0</v>
      </c>
      <c r="I491" s="11">
        <v>3.0</v>
      </c>
    </row>
    <row r="492">
      <c r="A492" s="10" t="s">
        <v>6889</v>
      </c>
      <c r="B492" s="49" t="str">
        <f t="shared" si="1"/>
        <v>Chemigation Safety Law</v>
      </c>
      <c r="C492" s="49" t="str">
        <f t="shared" si="2"/>
        <v>Chemigation Safety Law; Person registered or holding permit; use the chemigation process without proper registration or permit issued under the provisions of this act</v>
      </c>
      <c r="D492" s="49" t="str">
        <f t="shared" si="3"/>
        <v>2-3313(j)</v>
      </c>
      <c r="E492" s="11" t="s">
        <v>133</v>
      </c>
      <c r="F492" s="11">
        <v>3.0</v>
      </c>
      <c r="G492" s="11">
        <v>3.0</v>
      </c>
      <c r="H492" s="11">
        <v>3.0</v>
      </c>
      <c r="I492" s="11">
        <v>3.0</v>
      </c>
    </row>
    <row r="493">
      <c r="A493" s="10" t="s">
        <v>6890</v>
      </c>
      <c r="B493" s="49" t="str">
        <f t="shared" si="1"/>
        <v>Chemigation Safety Law</v>
      </c>
      <c r="C493" s="49" t="str">
        <f t="shared" si="2"/>
        <v>Chemigation Safety Law; Tamper with, or damage equipment specified in this act</v>
      </c>
      <c r="D493" s="49" t="str">
        <f t="shared" si="3"/>
        <v>2-3308(a)(3)</v>
      </c>
      <c r="E493" s="11" t="s">
        <v>133</v>
      </c>
      <c r="F493" s="11">
        <v>3.0</v>
      </c>
      <c r="G493" s="11">
        <v>3.0</v>
      </c>
      <c r="H493" s="11">
        <v>3.0</v>
      </c>
      <c r="I493" s="11">
        <v>3.0</v>
      </c>
    </row>
    <row r="494">
      <c r="A494" s="10" t="s">
        <v>6891</v>
      </c>
      <c r="B494" s="49" t="str">
        <f t="shared" si="1"/>
        <v>Child Labor</v>
      </c>
      <c r="C494" s="49" t="str">
        <f t="shared" si="2"/>
        <v>Child Labor; Employment of children under 14</v>
      </c>
      <c r="D494" s="49" t="str">
        <f t="shared" si="3"/>
        <v>38-601</v>
      </c>
      <c r="E494" s="11" t="s">
        <v>133</v>
      </c>
      <c r="F494" s="11">
        <v>3.0</v>
      </c>
      <c r="G494" s="11">
        <v>3.0</v>
      </c>
      <c r="H494" s="11">
        <v>3.0</v>
      </c>
      <c r="I494" s="11">
        <v>3.0</v>
      </c>
    </row>
    <row r="495">
      <c r="A495" s="10" t="s">
        <v>6892</v>
      </c>
      <c r="B495" s="49" t="str">
        <f t="shared" si="1"/>
        <v>Child Labor</v>
      </c>
      <c r="C495" s="49" t="str">
        <f t="shared" si="2"/>
        <v>Child Labor; Employment of children under 16</v>
      </c>
      <c r="D495" s="49" t="str">
        <f t="shared" si="3"/>
        <v>38-603(a)</v>
      </c>
      <c r="E495" s="11" t="s">
        <v>133</v>
      </c>
      <c r="F495" s="11">
        <v>3.0</v>
      </c>
      <c r="G495" s="11">
        <v>3.0</v>
      </c>
      <c r="H495" s="11">
        <v>3.0</v>
      </c>
      <c r="I495" s="11">
        <v>3.0</v>
      </c>
    </row>
    <row r="496">
      <c r="A496" s="10" t="s">
        <v>6893</v>
      </c>
      <c r="B496" s="49" t="str">
        <f t="shared" si="1"/>
        <v>Child Labor</v>
      </c>
      <c r="C496" s="49" t="str">
        <f t="shared" si="2"/>
        <v>Child Labor; Employment of children under 18</v>
      </c>
      <c r="D496" s="49" t="str">
        <f t="shared" si="3"/>
        <v>38-602</v>
      </c>
      <c r="E496" s="11" t="s">
        <v>133</v>
      </c>
      <c r="F496" s="11">
        <v>3.0</v>
      </c>
      <c r="G496" s="11">
        <v>3.0</v>
      </c>
      <c r="H496" s="11">
        <v>3.0</v>
      </c>
      <c r="I496" s="11">
        <v>3.0</v>
      </c>
    </row>
    <row r="497">
      <c r="A497" s="10" t="s">
        <v>6894</v>
      </c>
      <c r="B497" s="49" t="str">
        <f t="shared" si="1"/>
        <v>Child Labor</v>
      </c>
      <c r="C497" s="49" t="str">
        <f t="shared" si="2"/>
        <v>Child Labor; Employment of infant under 1 month on motion picture set or location without written appropriate certification by licensed physician and surgeon board-certified in pediatrics</v>
      </c>
      <c r="D497" s="49" t="str">
        <f t="shared" si="3"/>
        <v>38-616(a)</v>
      </c>
      <c r="E497" s="11" t="s">
        <v>133</v>
      </c>
      <c r="F497" s="11">
        <v>3.0</v>
      </c>
      <c r="G497" s="11">
        <v>3.0</v>
      </c>
      <c r="H497" s="11">
        <v>3.0</v>
      </c>
      <c r="I497" s="11">
        <v>3.0</v>
      </c>
    </row>
    <row r="498">
      <c r="A498" s="10" t="s">
        <v>6895</v>
      </c>
      <c r="B498" s="49" t="str">
        <f t="shared" si="1"/>
        <v>Child Rape Protection Act</v>
      </c>
      <c r="C498" s="49" t="str">
        <f t="shared" si="2"/>
        <v>Child Rape Protection Act; 1st conviction</v>
      </c>
      <c r="D498" s="49" t="str">
        <f t="shared" si="3"/>
        <v>65-67a09(c)</v>
      </c>
      <c r="E498" s="11" t="s">
        <v>133</v>
      </c>
      <c r="F498" s="11">
        <v>3.0</v>
      </c>
      <c r="G498" s="11">
        <v>3.0</v>
      </c>
      <c r="H498" s="11">
        <v>3.0</v>
      </c>
      <c r="I498" s="11">
        <v>3.0</v>
      </c>
    </row>
    <row r="499">
      <c r="A499" s="10" t="s">
        <v>6896</v>
      </c>
      <c r="B499" s="49" t="str">
        <f t="shared" si="1"/>
        <v>Child Rape Protection Act</v>
      </c>
      <c r="C499" s="49" t="str">
        <f t="shared" si="2"/>
        <v>Child Rape Protection Act; Failure of a physician to comply with any provision of this section or any rule or regulation adopted hereunder; 2nd or subs. conviction</v>
      </c>
      <c r="D499" s="49" t="str">
        <f t="shared" si="3"/>
        <v>65-67a09(c)</v>
      </c>
      <c r="E499" s="11" t="s">
        <v>133</v>
      </c>
      <c r="F499" s="11">
        <v>3.0</v>
      </c>
      <c r="G499" s="11">
        <v>3.0</v>
      </c>
      <c r="H499" s="11">
        <v>3.0</v>
      </c>
      <c r="I499" s="11">
        <v>3.0</v>
      </c>
    </row>
    <row r="500">
      <c r="A500" s="10" t="s">
        <v>6897</v>
      </c>
      <c r="B500" s="49" t="str">
        <f t="shared" si="1"/>
        <v>Cigarettes &amp; Tobacco Products</v>
      </c>
      <c r="C500" s="49" t="str">
        <f t="shared" si="2"/>
        <v>Cigarettes &amp; Tobacco Products; Affix a stamp required pursuant to K.S.A. 79-3311 to the package of any cigarettes described in subsection (v) or altered in violation of subsection (w)</v>
      </c>
      <c r="D500" s="49" t="str">
        <f t="shared" si="3"/>
        <v>79-3321(x)</v>
      </c>
      <c r="E500" s="11" t="s">
        <v>133</v>
      </c>
      <c r="F500" s="11">
        <v>3.0</v>
      </c>
      <c r="G500" s="11">
        <v>3.0</v>
      </c>
      <c r="H500" s="11">
        <v>3.0</v>
      </c>
      <c r="I500" s="11">
        <v>3.0</v>
      </c>
    </row>
    <row r="501">
      <c r="A501" s="10" t="s">
        <v>6898</v>
      </c>
      <c r="B501" s="49" t="str">
        <f t="shared" si="1"/>
        <v>Cigarettes &amp; Tobacco Products</v>
      </c>
      <c r="C501" s="49" t="str">
        <f t="shared" si="2"/>
        <v>Cigarettes &amp; Tobacco Products; Alter the package of any cigarettes, prior to sale or distribution to the ultimate consumer, to remove, conceal or obscure certain labels or health warnings</v>
      </c>
      <c r="D501" s="49" t="str">
        <f t="shared" si="3"/>
        <v>79-3321(w)</v>
      </c>
      <c r="E501" s="11" t="s">
        <v>133</v>
      </c>
      <c r="F501" s="11">
        <v>3.0</v>
      </c>
      <c r="G501" s="11">
        <v>3.0</v>
      </c>
      <c r="H501" s="11">
        <v>3.0</v>
      </c>
      <c r="I501" s="11">
        <v>3.0</v>
      </c>
    </row>
    <row r="502">
      <c r="A502" s="10" t="s">
        <v>6899</v>
      </c>
      <c r="B502" s="49" t="str">
        <f t="shared" si="1"/>
        <v>Cigarettes &amp; Tobacco Products</v>
      </c>
      <c r="C502" s="49" t="str">
        <f t="shared" si="2"/>
        <v>Cigarettes &amp; Tobacco Products; Buy cigarettes or tobacco for a person under 18 yrs of age</v>
      </c>
      <c r="D502" s="49" t="str">
        <f t="shared" si="3"/>
        <v>79-3322(b)(1)(B)</v>
      </c>
      <c r="E502" s="11" t="s">
        <v>133</v>
      </c>
      <c r="F502" s="11">
        <v>3.0</v>
      </c>
      <c r="G502" s="11">
        <v>3.0</v>
      </c>
      <c r="H502" s="11">
        <v>3.0</v>
      </c>
      <c r="I502" s="11">
        <v>3.0</v>
      </c>
    </row>
    <row r="503">
      <c r="A503" s="10" t="s">
        <v>6900</v>
      </c>
      <c r="B503" s="49" t="str">
        <f t="shared" si="1"/>
        <v>Cigarettes &amp; Tobacco Products</v>
      </c>
      <c r="C503" s="49" t="str">
        <f t="shared" si="2"/>
        <v>Cigarettes &amp; Tobacco Products; Dealer; fail or refuse to keep and preserve all records as required</v>
      </c>
      <c r="D503" s="49" t="str">
        <f t="shared" si="3"/>
        <v>79-3321(g)</v>
      </c>
      <c r="E503" s="11" t="s">
        <v>133</v>
      </c>
      <c r="F503" s="11">
        <v>3.0</v>
      </c>
      <c r="G503" s="11">
        <v>3.0</v>
      </c>
      <c r="H503" s="11">
        <v>3.0</v>
      </c>
      <c r="I503" s="11">
        <v>3.0</v>
      </c>
    </row>
    <row r="504">
      <c r="A504" s="10" t="s">
        <v>6901</v>
      </c>
      <c r="B504" s="49" t="str">
        <f t="shared" si="1"/>
        <v>Cigarettes &amp; Tobacco Products</v>
      </c>
      <c r="C504" s="49" t="str">
        <f t="shared" si="2"/>
        <v>Cigarettes &amp; Tobacco Products; Dealer; Fail to produce records or invoices required to be kept</v>
      </c>
      <c r="D504" s="49" t="str">
        <f t="shared" si="3"/>
        <v>79-3321(e)</v>
      </c>
      <c r="E504" s="11" t="s">
        <v>133</v>
      </c>
      <c r="F504" s="11">
        <v>3.0</v>
      </c>
      <c r="G504" s="11">
        <v>3.0</v>
      </c>
      <c r="H504" s="11">
        <v>3.0</v>
      </c>
      <c r="I504" s="11">
        <v>3.0</v>
      </c>
    </row>
    <row r="505">
      <c r="A505" s="10" t="s">
        <v>6902</v>
      </c>
      <c r="B505" s="49" t="str">
        <f t="shared" si="1"/>
        <v>Cigarettes &amp; Tobacco Products</v>
      </c>
      <c r="C505" s="49" t="str">
        <f t="shared" si="2"/>
        <v>Cigarettes &amp; Tobacco Products; Fail of retail cigarette dealer to register, file sales tax returns or remit taxes owed for the sale of cigarettes over the internet, telephone or other mail order transaction</v>
      </c>
      <c r="D505" s="49" t="str">
        <f t="shared" si="3"/>
        <v>79-3333(c)</v>
      </c>
      <c r="E505" s="11" t="s">
        <v>133</v>
      </c>
      <c r="F505" s="11">
        <v>3.0</v>
      </c>
      <c r="G505" s="11">
        <v>3.0</v>
      </c>
      <c r="H505" s="11">
        <v>3.0</v>
      </c>
      <c r="I505" s="11">
        <v>3.0</v>
      </c>
    </row>
    <row r="506">
      <c r="A506" s="10" t="s">
        <v>6903</v>
      </c>
      <c r="B506" s="49" t="str">
        <f t="shared" si="1"/>
        <v>Cigarettes &amp; Tobacco Products</v>
      </c>
      <c r="C506" s="49" t="str">
        <f t="shared" si="2"/>
        <v>Cigarettes &amp; Tobacco Products; Fail or refuse to permit inspection of a carrier transporting cigarettes</v>
      </c>
      <c r="D506" s="49" t="str">
        <f t="shared" si="3"/>
        <v>79-3321(j)</v>
      </c>
      <c r="E506" s="11" t="s">
        <v>133</v>
      </c>
      <c r="F506" s="11">
        <v>3.0</v>
      </c>
      <c r="G506" s="11">
        <v>3.0</v>
      </c>
      <c r="H506" s="11">
        <v>3.0</v>
      </c>
      <c r="I506" s="11">
        <v>3.0</v>
      </c>
    </row>
    <row r="507">
      <c r="A507" s="10" t="s">
        <v>6904</v>
      </c>
      <c r="B507" s="49" t="str">
        <f t="shared" si="1"/>
        <v>Cigarettes &amp; Tobacco Products</v>
      </c>
      <c r="C507" s="49" t="str">
        <f t="shared" si="2"/>
        <v>Cigarettes &amp; Tobacco Products; Fail to comply with documentation requirements involving the sale of cigarettes through the internet or other mail order transaction</v>
      </c>
      <c r="D507" s="49" t="str">
        <f t="shared" si="3"/>
        <v>79-3333(f)</v>
      </c>
      <c r="E507" s="11" t="s">
        <v>133</v>
      </c>
      <c r="F507" s="11">
        <v>3.0</v>
      </c>
      <c r="G507" s="11">
        <v>3.0</v>
      </c>
      <c r="H507" s="11">
        <v>3.0</v>
      </c>
      <c r="I507" s="11">
        <v>3.0</v>
      </c>
    </row>
    <row r="508">
      <c r="A508" s="10" t="s">
        <v>6905</v>
      </c>
      <c r="B508" s="49" t="str">
        <f t="shared" si="1"/>
        <v>Cigarettes &amp; Tobacco Products</v>
      </c>
      <c r="C508" s="49" t="str">
        <f t="shared" si="2"/>
        <v>Cigarettes &amp; Tobacco Products; Fail to comply with packaging requirements when shipping</v>
      </c>
      <c r="D508" s="49" t="str">
        <f t="shared" si="3"/>
        <v>79-3333(g)</v>
      </c>
      <c r="E508" s="11" t="s">
        <v>133</v>
      </c>
      <c r="F508" s="11">
        <v>3.0</v>
      </c>
      <c r="G508" s="11">
        <v>3.0</v>
      </c>
      <c r="H508" s="11">
        <v>3.0</v>
      </c>
      <c r="I508" s="11">
        <v>3.0</v>
      </c>
    </row>
    <row r="509">
      <c r="A509" s="10" t="s">
        <v>6906</v>
      </c>
      <c r="B509" s="49" t="str">
        <f t="shared" si="1"/>
        <v>Cigarettes &amp; Tobacco Products</v>
      </c>
      <c r="C509" s="49" t="str">
        <f t="shared" si="2"/>
        <v>Cigarettes &amp; Tobacco Products; False representation to any person directly or indirectly by non-participating manufacturer: any information about a brand family listed on the directory; that it is a participating manufacturer; that it has made all required escrow payments; or that it has satisfied any other requirements imposed pursuant to the act</v>
      </c>
      <c r="D509" s="49" t="str">
        <f t="shared" si="3"/>
        <v>50-6a16(b)</v>
      </c>
      <c r="E509" s="11" t="s">
        <v>133</v>
      </c>
      <c r="F509" s="11">
        <v>3.0</v>
      </c>
      <c r="G509" s="11">
        <v>3.0</v>
      </c>
      <c r="H509" s="11">
        <v>3.0</v>
      </c>
      <c r="I509" s="11">
        <v>3.0</v>
      </c>
    </row>
    <row r="510">
      <c r="A510" s="10" t="s">
        <v>6907</v>
      </c>
      <c r="B510" s="49" t="str">
        <f t="shared" si="1"/>
        <v>Cigarettes &amp; Tobacco Products</v>
      </c>
      <c r="C510" s="49" t="str">
        <f t="shared" si="2"/>
        <v>Cigarettes &amp; Tobacco Products; Knowingly make, use, or present any falsified invoice or falsely state the nature or quantity of the goods therein invoiced</v>
      </c>
      <c r="D510" s="49" t="str">
        <f t="shared" si="3"/>
        <v>79-3321(f)</v>
      </c>
      <c r="E510" s="11" t="s">
        <v>133</v>
      </c>
      <c r="F510" s="11">
        <v>3.0</v>
      </c>
      <c r="G510" s="11">
        <v>3.0</v>
      </c>
      <c r="H510" s="11">
        <v>3.0</v>
      </c>
      <c r="I510" s="11">
        <v>3.0</v>
      </c>
    </row>
    <row r="511">
      <c r="A511" s="10" t="s">
        <v>6908</v>
      </c>
      <c r="B511" s="49" t="str">
        <f t="shared" si="1"/>
        <v>Cigarettes &amp; Tobacco Products</v>
      </c>
      <c r="C511" s="49" t="str">
        <f t="shared" si="2"/>
        <v>Cigarettes &amp; Tobacco Products; Mutilate or attach a mutilated or previously used stamp to any package of cigarettes; possession of any mutilated stamps</v>
      </c>
      <c r="D511" s="49" t="str">
        <f t="shared" si="3"/>
        <v>79-3321(b)</v>
      </c>
      <c r="E511" s="11" t="s">
        <v>133</v>
      </c>
      <c r="F511" s="11">
        <v>3.0</v>
      </c>
      <c r="G511" s="11">
        <v>3.0</v>
      </c>
      <c r="H511" s="11">
        <v>3.0</v>
      </c>
      <c r="I511" s="11">
        <v>3.0</v>
      </c>
    </row>
    <row r="512">
      <c r="A512" s="10" t="s">
        <v>6909</v>
      </c>
      <c r="B512" s="49" t="str">
        <f t="shared" si="1"/>
        <v>Cigarettes &amp; Tobacco Products</v>
      </c>
      <c r="C512" s="49" t="str">
        <f t="shared" si="2"/>
        <v>Cigarettes &amp; Tobacco Products; Possess evidence of tax indicia not purchased from the director</v>
      </c>
      <c r="D512" s="49" t="str">
        <f t="shared" si="3"/>
        <v>79-3321(i)</v>
      </c>
      <c r="E512" s="11" t="s">
        <v>133</v>
      </c>
      <c r="F512" s="11">
        <v>3.0</v>
      </c>
      <c r="G512" s="11">
        <v>3.0</v>
      </c>
      <c r="H512" s="11">
        <v>3.0</v>
      </c>
      <c r="I512" s="11">
        <v>3.0</v>
      </c>
    </row>
    <row r="513">
      <c r="A513" s="10" t="s">
        <v>6910</v>
      </c>
      <c r="B513" s="49" t="str">
        <f t="shared" si="1"/>
        <v>Cigarettes &amp; Tobacco Products</v>
      </c>
      <c r="C513" s="49" t="str">
        <f t="shared" si="2"/>
        <v>Cigarettes &amp; Tobacco Products; Possession or attempted possession of cigarettes, electronic cigarettes or tobacco by a person under 18 yrs of age</v>
      </c>
      <c r="D513" s="49" t="str">
        <f t="shared" si="3"/>
        <v>79-3321(n)</v>
      </c>
      <c r="E513" s="11" t="s">
        <v>133</v>
      </c>
      <c r="F513" s="11">
        <v>3.0</v>
      </c>
      <c r="G513" s="11">
        <v>3.0</v>
      </c>
      <c r="H513" s="11">
        <v>3.0</v>
      </c>
      <c r="I513" s="11">
        <v>3.0</v>
      </c>
    </row>
    <row r="514">
      <c r="A514" s="10" t="s">
        <v>6911</v>
      </c>
      <c r="B514" s="49" t="str">
        <f t="shared" si="1"/>
        <v>Cigarettes &amp; Tobacco Products</v>
      </c>
      <c r="C514" s="49" t="str">
        <f t="shared" si="2"/>
        <v>Cigarettes &amp; Tobacco Products; Prevent a full inspection as authorized by this act</v>
      </c>
      <c r="D514" s="49" t="str">
        <f t="shared" si="3"/>
        <v>79-3321(c)</v>
      </c>
      <c r="E514" s="11" t="s">
        <v>133</v>
      </c>
      <c r="F514" s="11">
        <v>3.0</v>
      </c>
      <c r="G514" s="11">
        <v>3.0</v>
      </c>
      <c r="H514" s="11">
        <v>3.0</v>
      </c>
      <c r="I514" s="11">
        <v>3.0</v>
      </c>
    </row>
    <row r="515">
      <c r="A515" s="10" t="s">
        <v>6912</v>
      </c>
      <c r="B515" s="49" t="str">
        <f t="shared" si="1"/>
        <v>Cigarettes &amp; Tobacco Products</v>
      </c>
      <c r="C515" s="49" t="str">
        <f t="shared" si="2"/>
        <v>Cigarettes &amp; Tobacco Products; Purchase or attempted purchase of cigarettes, electronic cigarettes or tobacco by a person under 18 yrs of age</v>
      </c>
      <c r="D515" s="49" t="str">
        <f t="shared" si="3"/>
        <v>79-3321(m)</v>
      </c>
      <c r="E515" s="11" t="s">
        <v>133</v>
      </c>
      <c r="F515" s="11">
        <v>3.0</v>
      </c>
      <c r="G515" s="11">
        <v>3.0</v>
      </c>
      <c r="H515" s="11">
        <v>3.0</v>
      </c>
      <c r="I515" s="11">
        <v>3.0</v>
      </c>
    </row>
    <row r="516">
      <c r="A516" s="10" t="s">
        <v>6913</v>
      </c>
      <c r="B516" s="49" t="str">
        <f t="shared" si="1"/>
        <v>Cigarettes &amp; Tobacco Products</v>
      </c>
      <c r="C516" s="49" t="str">
        <f t="shared" si="2"/>
        <v>Cigarettes &amp; Tobacco Products; Retail dealer; fail to post and maintain notice as required</v>
      </c>
      <c r="D516" s="49" t="str">
        <f t="shared" si="3"/>
        <v>79-3321(r)</v>
      </c>
      <c r="E516" s="11" t="s">
        <v>133</v>
      </c>
      <c r="F516" s="11">
        <v>3.0</v>
      </c>
      <c r="G516" s="11">
        <v>3.0</v>
      </c>
      <c r="H516" s="11">
        <v>3.0</v>
      </c>
      <c r="I516" s="11">
        <v>3.0</v>
      </c>
    </row>
    <row r="517">
      <c r="A517" s="10" t="s">
        <v>6914</v>
      </c>
      <c r="B517" s="49" t="str">
        <f t="shared" si="1"/>
        <v>Cigarettes &amp; Tobacco Products</v>
      </c>
      <c r="C517" s="49" t="str">
        <f t="shared" si="2"/>
        <v>Cigarettes &amp; Tobacco Products; Retailer; failure to verify date of birth or age of the purchaser</v>
      </c>
      <c r="D517" s="49" t="str">
        <f t="shared" si="3"/>
        <v>79-3333(e)</v>
      </c>
      <c r="E517" s="11" t="s">
        <v>133</v>
      </c>
      <c r="F517" s="11">
        <v>3.0</v>
      </c>
      <c r="G517" s="11">
        <v>3.0</v>
      </c>
      <c r="H517" s="11">
        <v>3.0</v>
      </c>
      <c r="I517" s="11">
        <v>3.0</v>
      </c>
    </row>
    <row r="518">
      <c r="A518" s="10" t="s">
        <v>6915</v>
      </c>
      <c r="B518" s="49" t="str">
        <f t="shared" si="1"/>
        <v>Cigarettes &amp; Tobacco Products</v>
      </c>
      <c r="C518" s="49" t="str">
        <f t="shared" si="2"/>
        <v>Cigarettes &amp; Tobacco Products; Retailer; sale of cigarettes via internet, telephone or mail without proper certification</v>
      </c>
      <c r="D518" s="49" t="str">
        <f t="shared" si="3"/>
        <v>79-3333(d)</v>
      </c>
      <c r="E518" s="11" t="s">
        <v>133</v>
      </c>
      <c r="F518" s="11">
        <v>3.0</v>
      </c>
      <c r="G518" s="11">
        <v>3.0</v>
      </c>
      <c r="H518" s="11">
        <v>3.0</v>
      </c>
      <c r="I518" s="11">
        <v>3.0</v>
      </c>
    </row>
    <row r="519">
      <c r="A519" s="10" t="s">
        <v>6916</v>
      </c>
      <c r="B519" s="49" t="str">
        <f t="shared" si="1"/>
        <v>Cigarettes &amp; Tobacco Products</v>
      </c>
      <c r="C519" s="49" t="str">
        <f t="shared" si="2"/>
        <v>Cigarettes &amp; Tobacco Products; Retailer; unlicensed sale of cigarette and tobacco products act</v>
      </c>
      <c r="D519" s="49" t="str">
        <f t="shared" si="3"/>
        <v>79-3333(a)</v>
      </c>
      <c r="E519" s="11" t="s">
        <v>133</v>
      </c>
      <c r="F519" s="11">
        <v>3.0</v>
      </c>
      <c r="G519" s="11">
        <v>3.0</v>
      </c>
      <c r="H519" s="11">
        <v>3.0</v>
      </c>
      <c r="I519" s="11">
        <v>3.0</v>
      </c>
    </row>
    <row r="520">
      <c r="A520" s="10" t="s">
        <v>6917</v>
      </c>
      <c r="B520" s="49" t="str">
        <f t="shared" si="1"/>
        <v>Cigarettes &amp; Tobacco Products</v>
      </c>
      <c r="C520" s="49" t="str">
        <f t="shared" si="2"/>
        <v>Cigarettes &amp; Tobacco Products; Sale of cigarettes without Kansas cigarette tax stamp affixed to package</v>
      </c>
      <c r="D520" s="49" t="str">
        <f t="shared" si="3"/>
        <v>79-3333(b)</v>
      </c>
      <c r="E520" s="11" t="s">
        <v>133</v>
      </c>
      <c r="F520" s="11">
        <v>3.0</v>
      </c>
      <c r="G520" s="11">
        <v>3.0</v>
      </c>
      <c r="H520" s="11">
        <v>3.0</v>
      </c>
      <c r="I520" s="11">
        <v>3.0</v>
      </c>
    </row>
    <row r="521">
      <c r="A521" s="10" t="s">
        <v>6918</v>
      </c>
      <c r="B521" s="49" t="str">
        <f t="shared" si="1"/>
        <v>Cigarettes &amp; Tobacco Products</v>
      </c>
      <c r="C521" s="49" t="str">
        <f t="shared" si="2"/>
        <v>Cigarettes &amp; Tobacco Products; Sell a vending machine without a vending machine distributor's license</v>
      </c>
      <c r="D521" s="49" t="str">
        <f t="shared" si="3"/>
        <v>79-3321(q)</v>
      </c>
      <c r="E521" s="11" t="s">
        <v>133</v>
      </c>
      <c r="F521" s="11">
        <v>3.0</v>
      </c>
      <c r="G521" s="11">
        <v>3.0</v>
      </c>
      <c r="H521" s="11">
        <v>3.0</v>
      </c>
      <c r="I521" s="11">
        <v>3.0</v>
      </c>
    </row>
    <row r="522">
      <c r="A522" s="10" t="s">
        <v>6919</v>
      </c>
      <c r="B522" s="49" t="str">
        <f t="shared" si="1"/>
        <v>Cigarettes &amp; Tobacco Products</v>
      </c>
      <c r="C522" s="49" t="str">
        <f t="shared" si="2"/>
        <v>Cigarettes &amp; Tobacco Products; Sell cigarettes without having a license</v>
      </c>
      <c r="D522" s="49" t="str">
        <f t="shared" si="3"/>
        <v>79-3321(p)</v>
      </c>
      <c r="E522" s="11" t="s">
        <v>133</v>
      </c>
      <c r="F522" s="11">
        <v>3.0</v>
      </c>
      <c r="G522" s="11">
        <v>3.0</v>
      </c>
      <c r="H522" s="11">
        <v>3.0</v>
      </c>
      <c r="I522" s="11">
        <v>3.0</v>
      </c>
    </row>
    <row r="523">
      <c r="A523" s="10" t="s">
        <v>6920</v>
      </c>
      <c r="B523" s="49" t="str">
        <f t="shared" si="1"/>
        <v>Cigarettes &amp; Tobacco Products</v>
      </c>
      <c r="C523" s="49" t="str">
        <f t="shared" si="2"/>
        <v>Cigarettes &amp; Tobacco Products; Sell cigarettes without Kansas tax indicia or without paying Kansas cigarette tax, to a retailer or at retail</v>
      </c>
      <c r="D523" s="49" t="str">
        <f t="shared" si="3"/>
        <v>79-3321(o)</v>
      </c>
      <c r="E523" s="11" t="s">
        <v>133</v>
      </c>
      <c r="F523" s="11">
        <v>3.0</v>
      </c>
      <c r="G523" s="11">
        <v>3.0</v>
      </c>
      <c r="H523" s="11">
        <v>3.0</v>
      </c>
      <c r="I523" s="11">
        <v>3.0</v>
      </c>
    </row>
    <row r="524">
      <c r="A524" s="10" t="s">
        <v>6921</v>
      </c>
      <c r="B524" s="49" t="str">
        <f t="shared" si="1"/>
        <v>Cigarettes &amp; Tobacco Products</v>
      </c>
      <c r="C524" s="49" t="str">
        <f t="shared" si="2"/>
        <v>Cigarettes &amp; Tobacco Products; Sell, distribute cigarettes; acquire, hold, own, possess, transport, import or cause to be imported cigarettes that the person knows or should know are intended for distribution or sale in this state in violation of K.S.A. 50-6a04(a) or K.S.A. 50-6a13(a); 1st conviction</v>
      </c>
      <c r="D524" s="49" t="str">
        <f t="shared" si="3"/>
        <v>50-6a16(a)</v>
      </c>
      <c r="E524" s="11" t="s">
        <v>133</v>
      </c>
      <c r="F524" s="11">
        <v>3.0</v>
      </c>
      <c r="G524" s="11">
        <v>3.0</v>
      </c>
      <c r="H524" s="11">
        <v>3.0</v>
      </c>
      <c r="I524" s="11">
        <v>3.0</v>
      </c>
    </row>
    <row r="525">
      <c r="A525" s="10" t="s">
        <v>6922</v>
      </c>
      <c r="B525" s="49" t="str">
        <f t="shared" si="1"/>
        <v>Cigarettes &amp; Tobacco Products</v>
      </c>
      <c r="C525" s="49" t="str">
        <f t="shared" si="2"/>
        <v>Cigarettes &amp; Tobacco Products; Sell, distribute cigarettes; acquire, hold, own, possess, transport, import or cause to be imported cigarettes that the person knows or should know are intended for distribution or sale in this state in violation of K.S.A. 50-6a04(a) or K.S.A. 50-6a13(a); 2nd conviction</v>
      </c>
      <c r="D525" s="49" t="str">
        <f t="shared" si="3"/>
        <v>50-6a16(a)</v>
      </c>
      <c r="E525" s="11" t="s">
        <v>133</v>
      </c>
      <c r="F525" s="11">
        <v>3.0</v>
      </c>
      <c r="G525" s="11">
        <v>3.0</v>
      </c>
      <c r="H525" s="11">
        <v>3.0</v>
      </c>
      <c r="I525" s="11">
        <v>3.0</v>
      </c>
    </row>
    <row r="526">
      <c r="A526" s="10" t="s">
        <v>6923</v>
      </c>
      <c r="B526" s="49" t="str">
        <f t="shared" si="1"/>
        <v>Cigarettes &amp; Tobacco Products</v>
      </c>
      <c r="C526" s="49" t="str">
        <f t="shared" si="2"/>
        <v>Cigarettes &amp; Tobacco Products; Sell, distribute cigarettes; acquire, hold, own, possess, transport, import or cause to be imported cigarettes that the person knows or should know are intended for distribution or sale in this state in violation of K.S.A. 50-6a04(a) or K.S.A. 50-6a13(a); 3rd conviction</v>
      </c>
      <c r="D526" s="49" t="str">
        <f t="shared" si="3"/>
        <v>50-6a16(a)</v>
      </c>
      <c r="E526" s="11" t="s">
        <v>133</v>
      </c>
      <c r="F526" s="11">
        <v>3.0</v>
      </c>
      <c r="G526" s="11">
        <v>3.0</v>
      </c>
      <c r="H526" s="11">
        <v>3.0</v>
      </c>
      <c r="I526" s="11">
        <v>3.0</v>
      </c>
    </row>
    <row r="527">
      <c r="A527" s="10" t="s">
        <v>6924</v>
      </c>
      <c r="B527" s="49" t="str">
        <f t="shared" si="1"/>
        <v>Cigarettes &amp; Tobacco Products</v>
      </c>
      <c r="C527" s="49" t="str">
        <f t="shared" si="2"/>
        <v>Cigarettes &amp; Tobacco Products; Sell, furnish or distribute cigarettes, electronic cigarettes or tobacco to person under 18</v>
      </c>
      <c r="D527" s="49" t="str">
        <f t="shared" si="3"/>
        <v>79-3321(l)</v>
      </c>
      <c r="E527" s="11" t="s">
        <v>133</v>
      </c>
      <c r="F527" s="11">
        <v>3.0</v>
      </c>
      <c r="G527" s="11">
        <v>3.0</v>
      </c>
      <c r="H527" s="11">
        <v>3.0</v>
      </c>
      <c r="I527" s="11">
        <v>3.0</v>
      </c>
    </row>
    <row r="528">
      <c r="A528" s="10" t="s">
        <v>6925</v>
      </c>
      <c r="B528" s="49" t="str">
        <f t="shared" si="1"/>
        <v>Cigarettes &amp; Tobacco Products</v>
      </c>
      <c r="C528" s="49" t="str">
        <f t="shared" si="2"/>
        <v>Cigarettes &amp; Tobacco Products; Sell, give, furnish cigarettes or tobacco to person under 18 yrs of age</v>
      </c>
      <c r="D528" s="49" t="str">
        <f t="shared" si="3"/>
        <v>79-3322(b)(1)(A)</v>
      </c>
      <c r="E528" s="11" t="s">
        <v>133</v>
      </c>
      <c r="F528" s="11">
        <v>3.0</v>
      </c>
      <c r="G528" s="11">
        <v>3.0</v>
      </c>
      <c r="H528" s="11">
        <v>3.0</v>
      </c>
      <c r="I528" s="11">
        <v>3.0</v>
      </c>
    </row>
    <row r="529">
      <c r="A529" s="10" t="s">
        <v>6926</v>
      </c>
      <c r="B529" s="49" t="str">
        <f t="shared" si="1"/>
        <v>Cigarettes &amp; Tobacco Products</v>
      </c>
      <c r="C529" s="49" t="str">
        <f t="shared" si="2"/>
        <v>Cigarettes &amp; Tobacco Products; Unauthorized distribution of samples within 500 feet of any school when such facility is being used primarily by persons under 18 yrs of age</v>
      </c>
      <c r="D529" s="49" t="str">
        <f t="shared" si="3"/>
        <v>79-3321(s)</v>
      </c>
      <c r="E529" s="11" t="s">
        <v>133</v>
      </c>
      <c r="F529" s="11">
        <v>3.0</v>
      </c>
      <c r="G529" s="11">
        <v>3.0</v>
      </c>
      <c r="H529" s="11">
        <v>3.0</v>
      </c>
      <c r="I529" s="11">
        <v>3.0</v>
      </c>
    </row>
    <row r="530">
      <c r="A530" s="10" t="s">
        <v>6927</v>
      </c>
      <c r="B530" s="49" t="str">
        <f t="shared" si="1"/>
        <v>Cigarettes &amp; Tobacco Products</v>
      </c>
      <c r="C530" s="49" t="str">
        <f t="shared" si="2"/>
        <v>Cigarettes &amp; Tobacco Products; Unauthorized possession of more than 200 cigarettes without the required tax indicia</v>
      </c>
      <c r="D530" s="49" t="str">
        <f t="shared" si="3"/>
        <v>79-3321(a)</v>
      </c>
      <c r="E530" s="11" t="s">
        <v>133</v>
      </c>
      <c r="F530" s="11">
        <v>3.0</v>
      </c>
      <c r="G530" s="11">
        <v>3.0</v>
      </c>
      <c r="H530" s="11">
        <v>3.0</v>
      </c>
      <c r="I530" s="11">
        <v>3.0</v>
      </c>
    </row>
    <row r="531">
      <c r="A531" s="10" t="s">
        <v>6928</v>
      </c>
      <c r="B531" s="49" t="str">
        <f t="shared" si="1"/>
        <v>Cigarettes &amp; Tobacco Products</v>
      </c>
      <c r="C531" s="49" t="str">
        <f t="shared" si="2"/>
        <v>Cigarettes &amp; Tobacco Products; Unauthorized sale of cigarettes, electronic cigarettes or tobacco products by means of a self-service display in any establishment, or portion of an establishment</v>
      </c>
      <c r="D531" s="49" t="str">
        <f t="shared" si="3"/>
        <v>79-3321(u)</v>
      </c>
      <c r="E531" s="11" t="s">
        <v>133</v>
      </c>
      <c r="F531" s="11">
        <v>3.0</v>
      </c>
      <c r="G531" s="11">
        <v>3.0</v>
      </c>
      <c r="H531" s="11">
        <v>3.0</v>
      </c>
      <c r="I531" s="11">
        <v>3.0</v>
      </c>
    </row>
    <row r="532">
      <c r="A532" s="10" t="s">
        <v>6929</v>
      </c>
      <c r="B532" s="49" t="str">
        <f t="shared" si="1"/>
        <v>Cigarettes &amp; Tobacco Products</v>
      </c>
      <c r="C532" s="49" t="str">
        <f t="shared" si="2"/>
        <v>Cigarettes &amp; Tobacco Products; Unauthorized sale of cigarettes, electronic cigarettes or tobacco products by means of a vending machine in any establishment, or portion of an establishment, open to minors</v>
      </c>
      <c r="D532" s="49" t="str">
        <f t="shared" si="3"/>
        <v>79-3321(t)</v>
      </c>
      <c r="E532" s="11" t="s">
        <v>133</v>
      </c>
      <c r="F532" s="11">
        <v>3.0</v>
      </c>
      <c r="G532" s="11">
        <v>3.0</v>
      </c>
      <c r="H532" s="11">
        <v>3.0</v>
      </c>
      <c r="I532" s="11">
        <v>3.0</v>
      </c>
    </row>
    <row r="533">
      <c r="A533" s="10" t="s">
        <v>6930</v>
      </c>
      <c r="B533" s="49" t="str">
        <f t="shared" si="1"/>
        <v>Cigarettes &amp; Tobacco Products</v>
      </c>
      <c r="C533" s="49" t="str">
        <f t="shared" si="2"/>
        <v>Cigarettes &amp; Tobacco Products; Unauthorized sale, distribution, acquisition, possession, transportation, or importation of certain cigarettes within this state</v>
      </c>
      <c r="D533" s="49" t="str">
        <f t="shared" si="3"/>
        <v>79-3321(v)</v>
      </c>
      <c r="E533" s="11" t="s">
        <v>133</v>
      </c>
      <c r="F533" s="11">
        <v>3.0</v>
      </c>
      <c r="G533" s="11">
        <v>3.0</v>
      </c>
      <c r="H533" s="11">
        <v>3.0</v>
      </c>
      <c r="I533" s="11">
        <v>3.0</v>
      </c>
    </row>
    <row r="534">
      <c r="A534" s="10" t="s">
        <v>6931</v>
      </c>
      <c r="B534" s="49" t="str">
        <f t="shared" si="1"/>
        <v>Cigarettes &amp; Tobacco Products</v>
      </c>
      <c r="C534" s="49" t="str">
        <f t="shared" si="2"/>
        <v>Cigarettes &amp; Tobacco Products; Use any artful device or deceptive practice to conceal any violation of this act or to mislead one charged with the enforcement of this act</v>
      </c>
      <c r="D534" s="49" t="str">
        <f t="shared" si="3"/>
        <v>79-3321(d)</v>
      </c>
      <c r="E534" s="11" t="s">
        <v>133</v>
      </c>
      <c r="F534" s="11">
        <v>3.0</v>
      </c>
      <c r="G534" s="11">
        <v>3.0</v>
      </c>
      <c r="H534" s="11">
        <v>3.0</v>
      </c>
      <c r="I534" s="11">
        <v>3.0</v>
      </c>
    </row>
    <row r="535">
      <c r="A535" s="10" t="s">
        <v>6932</v>
      </c>
      <c r="B535" s="49" t="str">
        <f t="shared" si="1"/>
        <v>Cigarettes &amp; Tobacco Products</v>
      </c>
      <c r="C535" s="49" t="str">
        <f t="shared" si="2"/>
        <v>Cigarettes &amp; Tobacco Products; Vend small cigars, or a product that can be confused with cigarettes, from a machine vending cigarettes; build a vending machine to vend cigars or products that may be confused with cigarettes, that may be attached to a cigarette vending machine</v>
      </c>
      <c r="D535" s="49" t="str">
        <f t="shared" si="3"/>
        <v>79-3321(k)</v>
      </c>
      <c r="E535" s="11" t="s">
        <v>133</v>
      </c>
      <c r="F535" s="11">
        <v>3.0</v>
      </c>
      <c r="G535" s="11">
        <v>3.0</v>
      </c>
      <c r="H535" s="11">
        <v>3.0</v>
      </c>
      <c r="I535" s="11">
        <v>3.0</v>
      </c>
    </row>
    <row r="536">
      <c r="A536" s="10" t="s">
        <v>6933</v>
      </c>
      <c r="B536" s="49" t="str">
        <f t="shared" si="1"/>
        <v>Cigarettes &amp; Tobacco Products</v>
      </c>
      <c r="C536" s="49" t="str">
        <f t="shared" si="2"/>
        <v>Cigarettes &amp; Tobacco Products; Wholesale cigarettes to any unauthorized person</v>
      </c>
      <c r="D536" s="49" t="str">
        <f t="shared" si="3"/>
        <v>79-3321(h)</v>
      </c>
      <c r="E536" s="11" t="s">
        <v>133</v>
      </c>
      <c r="F536" s="11">
        <v>3.0</v>
      </c>
      <c r="G536" s="11">
        <v>3.0</v>
      </c>
      <c r="H536" s="11">
        <v>3.0</v>
      </c>
      <c r="I536" s="11">
        <v>3.0</v>
      </c>
    </row>
    <row r="537">
      <c r="A537" s="10" t="s">
        <v>6934</v>
      </c>
      <c r="B537" s="49" t="str">
        <f t="shared" si="1"/>
        <v>Cities &amp; Municipalities</v>
      </c>
      <c r="C537" s="49" t="str">
        <f t="shared" si="2"/>
        <v>Cities &amp; Municipalities; Any city treasurer violating any of the provisions of this act</v>
      </c>
      <c r="D537" s="49" t="str">
        <f t="shared" si="3"/>
        <v>-105949</v>
      </c>
      <c r="E537" s="11" t="s">
        <v>133</v>
      </c>
      <c r="F537" s="11">
        <v>3.0</v>
      </c>
      <c r="G537" s="11">
        <v>3.0</v>
      </c>
      <c r="H537" s="11">
        <v>3.0</v>
      </c>
      <c r="I537" s="11">
        <v>3.0</v>
      </c>
    </row>
    <row r="538">
      <c r="A538" s="10" t="s">
        <v>6935</v>
      </c>
      <c r="B538" s="49" t="str">
        <f t="shared" si="1"/>
        <v>Cities &amp; Municipalities</v>
      </c>
      <c r="C538" s="49" t="str">
        <f t="shared" si="2"/>
        <v>Cities &amp; Municipalities; Cities in counties over 90,000; failure, neglect or refusal of any railroad company or companies or street-railway company to erect, construct, reconstruct or repair any viaduct or tunnel as required</v>
      </c>
      <c r="D538" s="49" t="str">
        <f t="shared" si="3"/>
        <v>-96818</v>
      </c>
      <c r="E538" s="11" t="s">
        <v>133</v>
      </c>
      <c r="F538" s="11">
        <v>3.0</v>
      </c>
      <c r="G538" s="11">
        <v>3.0</v>
      </c>
      <c r="H538" s="11">
        <v>3.0</v>
      </c>
      <c r="I538" s="11">
        <v>3.0</v>
      </c>
    </row>
    <row r="539">
      <c r="A539" s="10" t="s">
        <v>6936</v>
      </c>
      <c r="B539" s="49" t="str">
        <f t="shared" si="1"/>
        <v>Cities &amp; Municipalities</v>
      </c>
      <c r="C539" s="49" t="str">
        <f t="shared" si="2"/>
        <v>Cities &amp; Municipalities; Failure, neglect or refusal of any railroad company or companies or street-railway company to erect, construct, reconstruct or repair any viaduct or tunnel as required</v>
      </c>
      <c r="D539" s="49" t="str">
        <f t="shared" si="3"/>
        <v>-97183</v>
      </c>
      <c r="E539" s="11" t="s">
        <v>133</v>
      </c>
      <c r="F539" s="11">
        <v>3.0</v>
      </c>
      <c r="G539" s="11">
        <v>3.0</v>
      </c>
      <c r="H539" s="11">
        <v>3.0</v>
      </c>
      <c r="I539" s="11">
        <v>3.0</v>
      </c>
    </row>
    <row r="540">
      <c r="A540" s="10" t="s">
        <v>6937</v>
      </c>
      <c r="B540" s="49" t="str">
        <f t="shared" si="1"/>
        <v>Cities &amp; Municipalities</v>
      </c>
      <c r="C540" s="49" t="str">
        <f t="shared" si="2"/>
        <v>Cities &amp; Municipalities; Inspection of tax returns; unlawful to exhibit, disclose or publish</v>
      </c>
      <c r="D540" s="49" t="str">
        <f t="shared" si="3"/>
        <v>12-1,108</v>
      </c>
      <c r="E540" s="11" t="s">
        <v>133</v>
      </c>
      <c r="F540" s="11">
        <v>3.0</v>
      </c>
      <c r="G540" s="11">
        <v>3.0</v>
      </c>
      <c r="H540" s="11">
        <v>3.0</v>
      </c>
      <c r="I540" s="11">
        <v>3.0</v>
      </c>
    </row>
    <row r="541">
      <c r="A541" s="10" t="s">
        <v>6938</v>
      </c>
      <c r="B541" s="49" t="str">
        <f t="shared" si="1"/>
        <v>Cities &amp; Municipalities</v>
      </c>
      <c r="C541" s="49" t="str">
        <f t="shared" si="2"/>
        <v>Cities &amp; Municipalities; Materially diminish the augmented flow of water due to the use of said stream or streams by such cities in conveying its water to its water system intake</v>
      </c>
      <c r="D541" s="49" t="str">
        <f t="shared" si="3"/>
        <v>12-853</v>
      </c>
      <c r="E541" s="11" t="s">
        <v>133</v>
      </c>
      <c r="F541" s="11">
        <v>3.0</v>
      </c>
      <c r="G541" s="11">
        <v>3.0</v>
      </c>
      <c r="H541" s="11">
        <v>3.0</v>
      </c>
      <c r="I541" s="11">
        <v>3.0</v>
      </c>
    </row>
    <row r="542">
      <c r="A542" s="10" t="s">
        <v>6939</v>
      </c>
      <c r="B542" s="49" t="str">
        <f t="shared" si="1"/>
        <v>Cities &amp; Municipalities</v>
      </c>
      <c r="C542" s="49" t="str">
        <f t="shared" si="2"/>
        <v>Cities &amp; Municipalities; Officer or employee of a city or county divulging confidential info</v>
      </c>
      <c r="D542" s="49" t="str">
        <f t="shared" si="3"/>
        <v>12-189</v>
      </c>
      <c r="E542" s="11" t="s">
        <v>133</v>
      </c>
      <c r="F542" s="11">
        <v>3.0</v>
      </c>
      <c r="G542" s="11">
        <v>3.0</v>
      </c>
      <c r="H542" s="11">
        <v>3.0</v>
      </c>
      <c r="I542" s="11">
        <v>3.0</v>
      </c>
    </row>
    <row r="543">
      <c r="A543" s="10" t="s">
        <v>6940</v>
      </c>
      <c r="B543" s="49" t="str">
        <f t="shared" si="1"/>
        <v>Cities &amp; Municipalities</v>
      </c>
      <c r="C543" s="49" t="str">
        <f t="shared" si="2"/>
        <v>Cities &amp; Municipalities; Planning and Zoning; penalty for any violation of regulations</v>
      </c>
      <c r="D543" s="49" t="str">
        <f t="shared" si="3"/>
        <v>12-761(a)</v>
      </c>
      <c r="E543" s="11" t="s">
        <v>133</v>
      </c>
      <c r="F543" s="11">
        <v>3.0</v>
      </c>
      <c r="G543" s="11">
        <v>3.0</v>
      </c>
      <c r="H543" s="11">
        <v>3.0</v>
      </c>
      <c r="I543" s="11">
        <v>3.0</v>
      </c>
    </row>
    <row r="544">
      <c r="A544" s="10" t="s">
        <v>6941</v>
      </c>
      <c r="B544" s="49" t="str">
        <f t="shared" si="1"/>
        <v>Cities &amp; Municipalities</v>
      </c>
      <c r="C544" s="49" t="str">
        <f t="shared" si="2"/>
        <v>Cities &amp; Municipalities; Unauthorized interference with the surface of any street, alleys, public park or grounds of such city</v>
      </c>
      <c r="D544" s="49" t="str">
        <f t="shared" si="3"/>
        <v>12-850</v>
      </c>
      <c r="E544" s="11" t="s">
        <v>133</v>
      </c>
      <c r="F544" s="11">
        <v>3.0</v>
      </c>
      <c r="G544" s="11">
        <v>3.0</v>
      </c>
      <c r="H544" s="11">
        <v>3.0</v>
      </c>
      <c r="I544" s="11">
        <v>3.0</v>
      </c>
    </row>
    <row r="545">
      <c r="A545" s="10" t="s">
        <v>6942</v>
      </c>
      <c r="B545" s="49" t="str">
        <f t="shared" si="1"/>
        <v>Cities of the First Class</v>
      </c>
      <c r="C545" s="49" t="str">
        <f t="shared" si="2"/>
        <v>Cities of the First Class; General Powers of Board of Commissioners; failure of railroad company or companies or street-railway company, to comply with the duty to erect, construct, reconstruct or repair any viaduct, within the time and in the manner required by the board of commissioners</v>
      </c>
      <c r="D545" s="49" t="str">
        <f t="shared" si="3"/>
        <v>13-1903</v>
      </c>
      <c r="E545" s="11" t="s">
        <v>133</v>
      </c>
      <c r="F545" s="11">
        <v>3.0</v>
      </c>
      <c r="G545" s="11">
        <v>3.0</v>
      </c>
      <c r="H545" s="11">
        <v>3.0</v>
      </c>
      <c r="I545" s="11">
        <v>3.0</v>
      </c>
    </row>
    <row r="546">
      <c r="A546" s="10" t="s">
        <v>6943</v>
      </c>
      <c r="B546" s="49" t="str">
        <f t="shared" si="1"/>
        <v>Cities of the Third Class</v>
      </c>
      <c r="C546" s="49" t="str">
        <f t="shared" si="2"/>
        <v>Cities of the Third Class; Cemeteries; unlawful establishment or maintenance</v>
      </c>
      <c r="D546" s="49" t="str">
        <f t="shared" si="3"/>
        <v>15-1008</v>
      </c>
      <c r="E546" s="11" t="s">
        <v>133</v>
      </c>
      <c r="F546" s="11">
        <v>3.0</v>
      </c>
      <c r="G546" s="11">
        <v>3.0</v>
      </c>
      <c r="H546" s="11">
        <v>3.0</v>
      </c>
      <c r="I546" s="11">
        <v>3.0</v>
      </c>
    </row>
    <row r="547">
      <c r="A547" s="10" t="s">
        <v>6944</v>
      </c>
      <c r="B547" s="49" t="str">
        <f t="shared" si="1"/>
        <v>Club/Drinking Establishment Act</v>
      </c>
      <c r="C547" s="49" t="str">
        <f t="shared" si="2"/>
        <v>Club/Drinking Establishment Act; Advertise or promote in any way, whether on or off the licensed premises, any of the practices prohibited under subsections (a)(1) through (5)</v>
      </c>
      <c r="D547" s="49" t="str">
        <f t="shared" si="3"/>
        <v>41-2640(a)(6)</v>
      </c>
      <c r="E547" s="11" t="s">
        <v>133</v>
      </c>
      <c r="F547" s="11">
        <v>3.0</v>
      </c>
      <c r="G547" s="11">
        <v>3.0</v>
      </c>
      <c r="H547" s="11">
        <v>3.0</v>
      </c>
      <c r="I547" s="11">
        <v>3.0</v>
      </c>
    </row>
    <row r="548">
      <c r="A548" s="10" t="s">
        <v>6945</v>
      </c>
      <c r="B548" s="49" t="str">
        <f t="shared" si="1"/>
        <v>Club/Drinking Establishment Act</v>
      </c>
      <c r="C548" s="49" t="str">
        <f t="shared" si="2"/>
        <v>Club/Drinking Establishment Act; Allowing consumption of liquor in violation of Act</v>
      </c>
      <c r="D548" s="49" t="str">
        <f t="shared" si="3"/>
        <v>41-2604(a)</v>
      </c>
      <c r="E548" s="11" t="s">
        <v>133</v>
      </c>
      <c r="F548" s="11">
        <v>3.0</v>
      </c>
      <c r="G548" s="11">
        <v>3.0</v>
      </c>
      <c r="H548" s="11">
        <v>3.0</v>
      </c>
      <c r="I548" s="11">
        <v>3.0</v>
      </c>
    </row>
    <row r="549">
      <c r="A549" s="10" t="s">
        <v>6946</v>
      </c>
      <c r="B549" s="49" t="str">
        <f t="shared" si="1"/>
        <v>Club/Drinking Establishment Act</v>
      </c>
      <c r="C549" s="49" t="str">
        <f t="shared" si="2"/>
        <v>Club/Drinking Establishment Act; Encourage or permit, on the licensed premises, any game or contest which involves drinking alcoholic liquor or cereal malt beverage or the awarding of individual drinks as prizes</v>
      </c>
      <c r="D549" s="49" t="str">
        <f t="shared" si="3"/>
        <v>41-2640(a)(4)</v>
      </c>
      <c r="E549" s="11" t="s">
        <v>133</v>
      </c>
      <c r="F549" s="11">
        <v>3.0</v>
      </c>
      <c r="G549" s="11">
        <v>3.0</v>
      </c>
      <c r="H549" s="11">
        <v>3.0</v>
      </c>
      <c r="I549" s="11">
        <v>3.0</v>
      </c>
    </row>
    <row r="550">
      <c r="A550" s="10" t="s">
        <v>6947</v>
      </c>
      <c r="B550" s="49" t="str">
        <f t="shared" si="1"/>
        <v>Club/Drinking Establishment Act</v>
      </c>
      <c r="C550" s="49" t="str">
        <f t="shared" si="2"/>
        <v>Club/Drinking Establishment Act; Influencing purchases from particular retailer by licensees prohibited</v>
      </c>
      <c r="D550" s="49" t="str">
        <f t="shared" si="3"/>
        <v>41-2632(b)(2)</v>
      </c>
      <c r="E550" s="11" t="s">
        <v>133</v>
      </c>
      <c r="F550" s="11">
        <v>3.0</v>
      </c>
      <c r="G550" s="11">
        <v>3.0</v>
      </c>
      <c r="H550" s="11">
        <v>3.0</v>
      </c>
      <c r="I550" s="11">
        <v>3.0</v>
      </c>
    </row>
    <row r="551">
      <c r="A551" s="10" t="s">
        <v>6948</v>
      </c>
      <c r="B551" s="49" t="str">
        <f t="shared" si="1"/>
        <v>Club/Drinking Establishment Act</v>
      </c>
      <c r="C551" s="49" t="str">
        <f t="shared" si="2"/>
        <v>Club/Drinking Establishment Act; Influencing purchases of particular brand by licensees prohibited</v>
      </c>
      <c r="D551" s="49" t="str">
        <f t="shared" si="3"/>
        <v>41-2632(b)(1)</v>
      </c>
      <c r="E551" s="11" t="s">
        <v>133</v>
      </c>
      <c r="F551" s="11">
        <v>3.0</v>
      </c>
      <c r="G551" s="11">
        <v>3.0</v>
      </c>
      <c r="H551" s="11">
        <v>3.0</v>
      </c>
      <c r="I551" s="11">
        <v>3.0</v>
      </c>
    </row>
    <row r="552">
      <c r="A552" s="10" t="s">
        <v>6949</v>
      </c>
      <c r="B552" s="49" t="str">
        <f t="shared" si="1"/>
        <v>Club/Drinking Establishment Act</v>
      </c>
      <c r="C552" s="49" t="str">
        <f t="shared" si="2"/>
        <v>Club/Drinking Establishment Act; Offer or serve any free cereal malt beverage or alcoholic liquor</v>
      </c>
      <c r="D552" s="49" t="str">
        <f t="shared" si="3"/>
        <v>41-2640(a)(1)</v>
      </c>
      <c r="E552" s="11" t="s">
        <v>133</v>
      </c>
      <c r="F552" s="11">
        <v>3.0</v>
      </c>
      <c r="G552" s="11">
        <v>3.0</v>
      </c>
      <c r="H552" s="11">
        <v>3.0</v>
      </c>
      <c r="I552" s="11">
        <v>3.0</v>
      </c>
    </row>
    <row r="553">
      <c r="A553" s="10" t="s">
        <v>6950</v>
      </c>
      <c r="B553" s="49" t="str">
        <f t="shared" si="1"/>
        <v>Club/Drinking Establishment Act</v>
      </c>
      <c r="C553" s="49" t="str">
        <f t="shared" si="2"/>
        <v>Club/Drinking Establishment Act; Offer or serve to any person an individual drink at a price that is less than the acquisition cost of the individual drink to the licensee or permit holder</v>
      </c>
      <c r="D553" s="49" t="str">
        <f t="shared" si="3"/>
        <v>41-2640(a)(2)</v>
      </c>
      <c r="E553" s="11" t="s">
        <v>133</v>
      </c>
      <c r="F553" s="11">
        <v>3.0</v>
      </c>
      <c r="G553" s="11">
        <v>3.0</v>
      </c>
      <c r="H553" s="11">
        <v>3.0</v>
      </c>
      <c r="I553" s="11">
        <v>3.0</v>
      </c>
    </row>
    <row r="554">
      <c r="A554" s="10" t="s">
        <v>6951</v>
      </c>
      <c r="B554" s="49" t="str">
        <f t="shared" si="1"/>
        <v>Club/Drinking Establishment Act</v>
      </c>
      <c r="C554" s="49" t="str">
        <f t="shared" si="2"/>
        <v>Club/Drinking Establishment Act; Possession or consumption by minor prohibited</v>
      </c>
      <c r="D554" s="49" t="str">
        <f t="shared" si="3"/>
        <v>41-2615(a)</v>
      </c>
      <c r="E554" s="11" t="s">
        <v>133</v>
      </c>
      <c r="F554" s="11">
        <v>3.0</v>
      </c>
      <c r="G554" s="11">
        <v>3.0</v>
      </c>
      <c r="H554" s="11">
        <v>3.0</v>
      </c>
      <c r="I554" s="11">
        <v>3.0</v>
      </c>
    </row>
    <row r="555">
      <c r="A555" s="10" t="s">
        <v>6952</v>
      </c>
      <c r="B555" s="49" t="str">
        <f t="shared" si="1"/>
        <v>Club/Drinking Establishment Act</v>
      </c>
      <c r="C555" s="49" t="str">
        <f t="shared" si="2"/>
        <v>Club/Drinking Establishment Act; Public venue; Advertise or promote any prohibited practices in K.S.A. 41-2640(b)(1) through (6)</v>
      </c>
      <c r="D555" s="49" t="str">
        <f t="shared" si="3"/>
        <v>41-2640(b)(7)</v>
      </c>
      <c r="E555" s="11" t="s">
        <v>133</v>
      </c>
      <c r="F555" s="11">
        <v>3.0</v>
      </c>
      <c r="G555" s="11">
        <v>3.0</v>
      </c>
      <c r="H555" s="11">
        <v>3.0</v>
      </c>
      <c r="I555" s="11">
        <v>3.0</v>
      </c>
    </row>
    <row r="556">
      <c r="A556" s="10" t="s">
        <v>6953</v>
      </c>
      <c r="B556" s="49" t="str">
        <f t="shared" si="1"/>
        <v>Club/Drinking Establishment Act</v>
      </c>
      <c r="C556" s="49" t="str">
        <f t="shared" si="2"/>
        <v>Club/Drinking Establishment Act; Public venue; Encourage or permit games or contests involving drinking alcoholic liquor and cereal malt beverage or awarding drinks as prizes</v>
      </c>
      <c r="D556" s="49" t="str">
        <f t="shared" si="3"/>
        <v>41-2640(b)(5)</v>
      </c>
      <c r="E556" s="11" t="s">
        <v>133</v>
      </c>
      <c r="F556" s="11">
        <v>3.0</v>
      </c>
      <c r="G556" s="11">
        <v>3.0</v>
      </c>
      <c r="H556" s="11">
        <v>3.0</v>
      </c>
      <c r="I556" s="11">
        <v>3.0</v>
      </c>
    </row>
    <row r="557">
      <c r="A557" s="10" t="s">
        <v>6954</v>
      </c>
      <c r="B557" s="49" t="str">
        <f t="shared" si="1"/>
        <v>Club/Drinking Establishment Act</v>
      </c>
      <c r="C557" s="49" t="str">
        <f t="shared" si="2"/>
        <v>Club/Drinking Establishment Act; Public venue; Offer or serve a drink or original container of alcoholic liquor or cereal malt beverage at a price less than the licensee's acquisition cost of the drink or original container</v>
      </c>
      <c r="D557" s="49" t="str">
        <f t="shared" si="3"/>
        <v>41-2640(b)(2)</v>
      </c>
      <c r="E557" s="11" t="s">
        <v>133</v>
      </c>
      <c r="F557" s="11">
        <v>3.0</v>
      </c>
      <c r="G557" s="11">
        <v>3.0</v>
      </c>
      <c r="H557" s="11">
        <v>3.0</v>
      </c>
      <c r="I557" s="11">
        <v>3.0</v>
      </c>
    </row>
    <row r="558">
      <c r="A558" s="10" t="s">
        <v>6955</v>
      </c>
      <c r="B558" s="49" t="str">
        <f t="shared" si="1"/>
        <v>Club/Drinking Establishment Act</v>
      </c>
      <c r="C558" s="49" t="str">
        <f t="shared" si="2"/>
        <v>Club/Drinking Establishment Act; Public venue; Offer or serve free cereal malt beverage or alcoholic liquor in any form to any person</v>
      </c>
      <c r="D558" s="49" t="str">
        <f t="shared" si="3"/>
        <v>41-2640(b)(1)</v>
      </c>
      <c r="E558" s="11" t="s">
        <v>133</v>
      </c>
      <c r="F558" s="11">
        <v>3.0</v>
      </c>
      <c r="G558" s="11">
        <v>3.0</v>
      </c>
      <c r="H558" s="11">
        <v>3.0</v>
      </c>
      <c r="I558" s="11">
        <v>3.0</v>
      </c>
    </row>
    <row r="559">
      <c r="A559" s="10" t="s">
        <v>6956</v>
      </c>
      <c r="B559" s="49" t="str">
        <f t="shared" si="1"/>
        <v>Club/Drinking Establishment Act</v>
      </c>
      <c r="C559" s="49" t="str">
        <f t="shared" si="2"/>
        <v>Club/Drinking Establishment Act; Public venue; Sell or serve alcoholic liquor in glass containers to customers in the general admission area</v>
      </c>
      <c r="D559" s="49" t="str">
        <f t="shared" si="3"/>
        <v>41-2640(b)(3)</v>
      </c>
      <c r="E559" s="11" t="s">
        <v>133</v>
      </c>
      <c r="F559" s="11">
        <v>3.0</v>
      </c>
      <c r="G559" s="11">
        <v>3.0</v>
      </c>
      <c r="H559" s="11">
        <v>3.0</v>
      </c>
      <c r="I559" s="11">
        <v>3.0</v>
      </c>
    </row>
    <row r="560">
      <c r="A560" s="10" t="s">
        <v>6957</v>
      </c>
      <c r="B560" s="49" t="str">
        <f t="shared" si="1"/>
        <v>Club/Drinking Establishment Act</v>
      </c>
      <c r="C560" s="49" t="str">
        <f t="shared" si="2"/>
        <v>Club/Drinking Establishment Act; Public venue; Sell or serve more than two drinks per customer an any one time in the general admission area</v>
      </c>
      <c r="D560" s="49" t="str">
        <f t="shared" si="3"/>
        <v>41-2640(b)(4)</v>
      </c>
      <c r="E560" s="11" t="s">
        <v>133</v>
      </c>
      <c r="F560" s="11">
        <v>3.0</v>
      </c>
      <c r="G560" s="11">
        <v>3.0</v>
      </c>
      <c r="H560" s="11">
        <v>3.0</v>
      </c>
      <c r="I560" s="11">
        <v>3.0</v>
      </c>
    </row>
    <row r="561">
      <c r="A561" s="10" t="s">
        <v>6958</v>
      </c>
      <c r="B561" s="49" t="str">
        <f t="shared" si="1"/>
        <v>Club/Drinking Establishment Act</v>
      </c>
      <c r="C561" s="49" t="str">
        <f t="shared" si="2"/>
        <v>Club/Drinking Establishment Act; Public venue; sell, offer to sell or serve free powdered alcohol</v>
      </c>
      <c r="D561" s="49" t="str">
        <f t="shared" si="3"/>
        <v>41-2640(b)(6)</v>
      </c>
      <c r="E561" s="11" t="s">
        <v>133</v>
      </c>
      <c r="F561" s="11">
        <v>3.0</v>
      </c>
      <c r="G561" s="11">
        <v>3.0</v>
      </c>
      <c r="H561" s="11">
        <v>3.0</v>
      </c>
      <c r="I561" s="11">
        <v>3.0</v>
      </c>
    </row>
    <row r="562">
      <c r="A562" s="10" t="s">
        <v>6959</v>
      </c>
      <c r="B562" s="49" t="str">
        <f t="shared" si="1"/>
        <v>Club/Drinking Establishment Act</v>
      </c>
      <c r="C562" s="49" t="str">
        <f t="shared" si="2"/>
        <v>Club/Drinking Establishment Act; Sell, offer to sell or serve free powdered alcohol</v>
      </c>
      <c r="D562" s="49" t="str">
        <f t="shared" si="3"/>
        <v>41-2640(a)(5)</v>
      </c>
      <c r="E562" s="11" t="s">
        <v>133</v>
      </c>
      <c r="F562" s="11">
        <v>3.0</v>
      </c>
      <c r="G562" s="11">
        <v>3.0</v>
      </c>
      <c r="H562" s="11">
        <v>3.0</v>
      </c>
      <c r="I562" s="11">
        <v>3.0</v>
      </c>
    </row>
    <row r="563">
      <c r="A563" s="10" t="s">
        <v>6960</v>
      </c>
      <c r="B563" s="49" t="str">
        <f t="shared" si="1"/>
        <v>Club/Drinking Establishment Act</v>
      </c>
      <c r="C563" s="49" t="str">
        <f t="shared" si="2"/>
        <v>Club/Drinking Establishment Act; Sell, offer to sell or serve to any person an unlimited number of individual drinks during any set period of time for a fixed price, except at private functions or to general membership of a club</v>
      </c>
      <c r="D563" s="49" t="str">
        <f t="shared" si="3"/>
        <v>41-2640(a)(3)</v>
      </c>
      <c r="E563" s="11" t="s">
        <v>133</v>
      </c>
      <c r="F563" s="11">
        <v>3.0</v>
      </c>
      <c r="G563" s="11">
        <v>3.0</v>
      </c>
      <c r="H563" s="11">
        <v>3.0</v>
      </c>
      <c r="I563" s="11">
        <v>3.0</v>
      </c>
    </row>
    <row r="564">
      <c r="A564" s="10" t="s">
        <v>6961</v>
      </c>
      <c r="B564" s="49" t="str">
        <f t="shared" si="1"/>
        <v>Cockfighting</v>
      </c>
      <c r="C564" s="49" t="str">
        <f t="shared" si="2"/>
        <v>Cockfighting; Causing gamecocks to fight each other for amusement or gain</v>
      </c>
      <c r="D564" s="49" t="str">
        <f t="shared" si="3"/>
        <v>21-6417(a)(1)</v>
      </c>
      <c r="E564" s="11" t="s">
        <v>133</v>
      </c>
      <c r="F564" s="11">
        <v>3.0</v>
      </c>
      <c r="G564" s="11">
        <v>3.0</v>
      </c>
      <c r="H564" s="11">
        <v>3.0</v>
      </c>
      <c r="I564" s="11">
        <v>3.0</v>
      </c>
    </row>
    <row r="565">
      <c r="A565" s="10" t="s">
        <v>6962</v>
      </c>
      <c r="B565" s="49" t="str">
        <f t="shared" si="1"/>
        <v>Cockfighting</v>
      </c>
      <c r="C565" s="49" t="str">
        <f t="shared" si="2"/>
        <v>Cockfighting; Knowingly permitting gamecock fighting on premises</v>
      </c>
      <c r="D565" s="49" t="str">
        <f t="shared" si="3"/>
        <v>21-6417(a)(2)</v>
      </c>
      <c r="E565" s="11" t="s">
        <v>133</v>
      </c>
      <c r="F565" s="11">
        <v>3.0</v>
      </c>
      <c r="G565" s="11">
        <v>3.0</v>
      </c>
      <c r="H565" s="11">
        <v>3.0</v>
      </c>
      <c r="I565" s="11">
        <v>3.0</v>
      </c>
    </row>
    <row r="566">
      <c r="A566" s="10" t="s">
        <v>6963</v>
      </c>
      <c r="B566" s="49" t="str">
        <f t="shared" si="1"/>
        <v>Cockfighting</v>
      </c>
      <c r="C566" s="49" t="str">
        <f t="shared" si="2"/>
        <v>Cockfighting; Training or otherwise preparing gamecock for the purpose of gamecock fighting</v>
      </c>
      <c r="D566" s="49" t="str">
        <f t="shared" si="3"/>
        <v>21-6417(a)(3)</v>
      </c>
      <c r="E566" s="11" t="s">
        <v>133</v>
      </c>
      <c r="F566" s="11">
        <v>3.0</v>
      </c>
      <c r="G566" s="11">
        <v>3.0</v>
      </c>
      <c r="H566" s="11">
        <v>3.0</v>
      </c>
      <c r="I566" s="11">
        <v>3.0</v>
      </c>
    </row>
    <row r="567">
      <c r="A567" s="10" t="s">
        <v>6964</v>
      </c>
      <c r="B567" s="49" t="str">
        <f t="shared" si="1"/>
        <v>Cockfighting</v>
      </c>
      <c r="C567" s="49" t="str">
        <f t="shared" si="2"/>
        <v>Cockfighting; Unlawful attendance of gamecock fighting</v>
      </c>
      <c r="D567" s="49" t="str">
        <f t="shared" si="3"/>
        <v>21-6417(c)</v>
      </c>
      <c r="E567" s="11" t="s">
        <v>133</v>
      </c>
      <c r="F567" s="11">
        <v>3.0</v>
      </c>
      <c r="G567" s="11">
        <v>3.0</v>
      </c>
      <c r="H567" s="11">
        <v>3.0</v>
      </c>
      <c r="I567" s="11">
        <v>3.0</v>
      </c>
    </row>
    <row r="568">
      <c r="A568" s="10" t="s">
        <v>6965</v>
      </c>
      <c r="B568" s="49" t="str">
        <f t="shared" si="1"/>
        <v>Cockfighting</v>
      </c>
      <c r="C568" s="49" t="str">
        <f t="shared" si="2"/>
        <v>Cockfighting; Unlawful possession of gamecock fighting paraphernalia</v>
      </c>
      <c r="D568" s="49" t="str">
        <f t="shared" si="3"/>
        <v>21-6417(b)</v>
      </c>
      <c r="E568" s="11" t="s">
        <v>133</v>
      </c>
      <c r="F568" s="11">
        <v>3.0</v>
      </c>
      <c r="G568" s="11">
        <v>3.0</v>
      </c>
      <c r="H568" s="11">
        <v>3.0</v>
      </c>
      <c r="I568" s="11">
        <v>3.0</v>
      </c>
    </row>
    <row r="569">
      <c r="A569" s="10" t="s">
        <v>6966</v>
      </c>
      <c r="B569" s="49" t="str">
        <f t="shared" si="1"/>
        <v>Code for Care of Children</v>
      </c>
      <c r="C569" s="49" t="str">
        <f t="shared" si="2"/>
        <v>Code for Care of Children; Intentionally preventing or interfering with the making of a report of child abuse</v>
      </c>
      <c r="D569" s="49" t="str">
        <f t="shared" si="3"/>
        <v>38-2223(e)(2)</v>
      </c>
      <c r="E569" s="11" t="s">
        <v>133</v>
      </c>
      <c r="F569" s="11">
        <v>3.0</v>
      </c>
      <c r="G569" s="11">
        <v>3.0</v>
      </c>
      <c r="H569" s="11">
        <v>3.0</v>
      </c>
      <c r="I569" s="11">
        <v>3.0</v>
      </c>
    </row>
    <row r="570">
      <c r="A570" s="10" t="s">
        <v>6967</v>
      </c>
      <c r="B570" s="49" t="str">
        <f t="shared" si="1"/>
        <v>Code for care of Children</v>
      </c>
      <c r="C570" s="49" t="str">
        <f t="shared" si="2"/>
        <v>Code for care of Children; Retaliation by employer against one who reports to, or cooperates with an investigation by law enforcement or the secretary relating to suspected abuse of a child</v>
      </c>
      <c r="D570" s="49" t="str">
        <f t="shared" si="3"/>
        <v>38-2224(a)</v>
      </c>
      <c r="E570" s="11" t="s">
        <v>133</v>
      </c>
      <c r="F570" s="11">
        <v>3.0</v>
      </c>
      <c r="G570" s="11">
        <v>3.0</v>
      </c>
      <c r="H570" s="11">
        <v>3.0</v>
      </c>
      <c r="I570" s="11">
        <v>3.0</v>
      </c>
    </row>
    <row r="571">
      <c r="A571" s="10" t="s">
        <v>6968</v>
      </c>
      <c r="B571" s="49" t="str">
        <f t="shared" si="1"/>
        <v>Code for Care of Children</v>
      </c>
      <c r="C571" s="49" t="str">
        <f t="shared" si="2"/>
        <v>Code for Care of Children; Willful and knowing failure to report child abuse as required</v>
      </c>
      <c r="D571" s="49" t="str">
        <f t="shared" si="3"/>
        <v>38-2223(e)(1)</v>
      </c>
      <c r="E571" s="11" t="s">
        <v>133</v>
      </c>
      <c r="F571" s="11">
        <v>3.0</v>
      </c>
      <c r="G571" s="11">
        <v>3.0</v>
      </c>
      <c r="H571" s="11">
        <v>3.0</v>
      </c>
      <c r="I571" s="11">
        <v>3.0</v>
      </c>
    </row>
    <row r="572">
      <c r="A572" s="10" t="s">
        <v>6969</v>
      </c>
      <c r="B572" s="49" t="str">
        <f t="shared" si="1"/>
        <v>Code for Care of Children</v>
      </c>
      <c r="C572" s="49" t="str">
        <f t="shared" si="2"/>
        <v>Code for Care of Children; Willful and knowing false report of child abuse, lacking factual foundation</v>
      </c>
      <c r="D572" s="49" t="str">
        <f t="shared" si="3"/>
        <v>38-2223(e)(3)</v>
      </c>
      <c r="E572" s="11" t="s">
        <v>133</v>
      </c>
      <c r="F572" s="11">
        <v>3.0</v>
      </c>
      <c r="G572" s="11">
        <v>3.0</v>
      </c>
      <c r="H572" s="11">
        <v>3.0</v>
      </c>
      <c r="I572" s="11">
        <v>3.0</v>
      </c>
    </row>
    <row r="573">
      <c r="A573" s="10" t="s">
        <v>6970</v>
      </c>
      <c r="B573" s="49" t="str">
        <f t="shared" si="1"/>
        <v>Code of Military Justice</v>
      </c>
      <c r="C573" s="49" t="str">
        <f t="shared" si="2"/>
        <v>Code of Military Justice; Use of any menacing word, sign, or gesture in the presence of the military court, or who disturbs the military courts proceedings by any riot or disorder</v>
      </c>
      <c r="D573" s="49" t="str">
        <f t="shared" si="3"/>
        <v>48-2713(a)</v>
      </c>
      <c r="E573" s="11" t="s">
        <v>133</v>
      </c>
      <c r="F573" s="11">
        <v>3.0</v>
      </c>
      <c r="G573" s="11">
        <v>3.0</v>
      </c>
      <c r="H573" s="11">
        <v>3.0</v>
      </c>
      <c r="I573" s="11">
        <v>3.0</v>
      </c>
    </row>
    <row r="574">
      <c r="A574" s="10" t="s">
        <v>6971</v>
      </c>
      <c r="B574" s="49" t="str">
        <f t="shared" si="1"/>
        <v>Code of Military Justice</v>
      </c>
      <c r="C574" s="49" t="str">
        <f t="shared" si="2"/>
        <v>Code of Military Justice; Willfully neglect or refuse to appear, or refuse to qualify as a witness or to testify or to produce any evidence which that person may have been legally subpoenaed to produce</v>
      </c>
      <c r="D574" s="49" t="str">
        <f t="shared" si="3"/>
        <v>48-2712(a)(3)</v>
      </c>
      <c r="E574" s="11" t="s">
        <v>133</v>
      </c>
      <c r="F574" s="11">
        <v>3.0</v>
      </c>
      <c r="G574" s="11">
        <v>3.0</v>
      </c>
      <c r="H574" s="11">
        <v>3.0</v>
      </c>
      <c r="I574" s="11">
        <v>3.0</v>
      </c>
    </row>
    <row r="575">
      <c r="A575" s="10" t="s">
        <v>6972</v>
      </c>
      <c r="B575" s="49" t="str">
        <f t="shared" si="1"/>
        <v>Commercial Bribery</v>
      </c>
      <c r="C575" s="49" t="str">
        <f t="shared" si="2"/>
        <v>Commercial Bribery; Knowing violation of duty of fidelity or trust; by a lawyer, physician, accountant, appraiser or other professional adviser</v>
      </c>
      <c r="D575" s="49" t="str">
        <f t="shared" si="3"/>
        <v>21-6506(a)(3)</v>
      </c>
      <c r="E575" s="11" t="s">
        <v>133</v>
      </c>
      <c r="F575" s="11">
        <v>3.0</v>
      </c>
      <c r="G575" s="11">
        <v>3.0</v>
      </c>
      <c r="H575" s="11">
        <v>3.0</v>
      </c>
      <c r="I575" s="11">
        <v>3.0</v>
      </c>
    </row>
    <row r="576">
      <c r="A576" s="10" t="s">
        <v>6973</v>
      </c>
      <c r="B576" s="49" t="str">
        <f t="shared" si="1"/>
        <v>Commercial Bribery</v>
      </c>
      <c r="C576" s="49" t="str">
        <f t="shared" si="2"/>
        <v>Commercial Bribery; Knowing violation of duty of fidelity or trust; by a person acting in a fiduciary capacity</v>
      </c>
      <c r="D576" s="49" t="str">
        <f t="shared" si="3"/>
        <v>21-6506(a)(2)</v>
      </c>
      <c r="E576" s="11" t="s">
        <v>133</v>
      </c>
      <c r="F576" s="11">
        <v>3.0</v>
      </c>
      <c r="G576" s="11">
        <v>3.0</v>
      </c>
      <c r="H576" s="11">
        <v>3.0</v>
      </c>
      <c r="I576" s="11">
        <v>3.0</v>
      </c>
    </row>
    <row r="577">
      <c r="A577" s="10" t="s">
        <v>6974</v>
      </c>
      <c r="B577" s="49" t="str">
        <f t="shared" si="1"/>
        <v>Commercial Bribery</v>
      </c>
      <c r="C577" s="49" t="str">
        <f t="shared" si="2"/>
        <v>Commercial Bribery; Knowing violation of duty of fidelity or trust; by an agent or employee of another</v>
      </c>
      <c r="D577" s="49" t="str">
        <f t="shared" si="3"/>
        <v>21-6506(a)(1)</v>
      </c>
      <c r="E577" s="11" t="s">
        <v>133</v>
      </c>
      <c r="F577" s="11">
        <v>3.0</v>
      </c>
      <c r="G577" s="11">
        <v>3.0</v>
      </c>
      <c r="H577" s="11">
        <v>3.0</v>
      </c>
      <c r="I577" s="11">
        <v>3.0</v>
      </c>
    </row>
    <row r="578">
      <c r="A578" s="10" t="s">
        <v>6975</v>
      </c>
      <c r="B578" s="49" t="str">
        <f t="shared" si="1"/>
        <v>Commercial Bribery</v>
      </c>
      <c r="C578" s="49" t="str">
        <f t="shared" si="2"/>
        <v>Commercial Bribery; Knowing violation of duty of fidelity or trust; by an arbitrator or other purportedly disinterested adjudicator or referee</v>
      </c>
      <c r="D578" s="49" t="str">
        <f t="shared" si="3"/>
        <v>21-6506(a)(5)</v>
      </c>
      <c r="E578" s="11" t="s">
        <v>133</v>
      </c>
      <c r="F578" s="11">
        <v>3.0</v>
      </c>
      <c r="G578" s="11">
        <v>3.0</v>
      </c>
      <c r="H578" s="11">
        <v>3.0</v>
      </c>
      <c r="I578" s="11">
        <v>3.0</v>
      </c>
    </row>
    <row r="579">
      <c r="A579" s="10" t="s">
        <v>6976</v>
      </c>
      <c r="B579" s="49" t="str">
        <f t="shared" si="1"/>
        <v>Commercial Bribery</v>
      </c>
      <c r="C579" s="49" t="str">
        <f t="shared" si="2"/>
        <v>Commercial Bribery; Knowing violation of duty of fidelity or trust; by an officer, director, partner, manager, or other participant in the affairs of a corporation, partnership or unincorporated association</v>
      </c>
      <c r="D579" s="49" t="str">
        <f t="shared" si="3"/>
        <v>21-6506(a)(4)</v>
      </c>
      <c r="E579" s="11" t="s">
        <v>133</v>
      </c>
      <c r="F579" s="11">
        <v>3.0</v>
      </c>
      <c r="G579" s="11">
        <v>3.0</v>
      </c>
      <c r="H579" s="11">
        <v>3.0</v>
      </c>
      <c r="I579" s="11">
        <v>3.0</v>
      </c>
    </row>
    <row r="580">
      <c r="A580" s="10" t="s">
        <v>6977</v>
      </c>
      <c r="B580" s="49" t="str">
        <f t="shared" si="1"/>
        <v>Commercial Drivers' License Act</v>
      </c>
      <c r="C580" s="49" t="str">
        <f t="shared" si="2"/>
        <v>Commercial Drivers' License Act; Driving a commercial vehicle in violation of out-of-service order</v>
      </c>
      <c r="D580" s="49" t="str">
        <f t="shared" si="3"/>
        <v>8-2,132(c)</v>
      </c>
      <c r="E580" s="11" t="s">
        <v>133</v>
      </c>
      <c r="F580" s="11">
        <v>3.0</v>
      </c>
      <c r="G580" s="11">
        <v>3.0</v>
      </c>
      <c r="H580" s="11">
        <v>3.0</v>
      </c>
      <c r="I580" s="11">
        <v>3.0</v>
      </c>
    </row>
    <row r="581">
      <c r="A581" s="10" t="s">
        <v>6978</v>
      </c>
      <c r="B581" s="49" t="str">
        <f t="shared" si="1"/>
        <v>Commercial Drivers' License Act</v>
      </c>
      <c r="C581" s="49" t="str">
        <f t="shared" si="2"/>
        <v>Commercial Drivers' License Act; Driving a commercial vehicle while DL suspended/revoked/cancelled or subject to disqualification</v>
      </c>
      <c r="D581" s="49" t="str">
        <f t="shared" si="3"/>
        <v>8-2,132(b)</v>
      </c>
      <c r="E581" s="11" t="s">
        <v>133</v>
      </c>
      <c r="F581" s="11">
        <v>3.0</v>
      </c>
      <c r="G581" s="11">
        <v>3.0</v>
      </c>
      <c r="H581" s="11">
        <v>3.0</v>
      </c>
      <c r="I581" s="11">
        <v>3.0</v>
      </c>
    </row>
    <row r="582">
      <c r="A582" s="10" t="s">
        <v>6979</v>
      </c>
      <c r="B582" s="49" t="str">
        <f t="shared" si="1"/>
        <v>Commercial Drivers' License Act</v>
      </c>
      <c r="C582" s="49" t="str">
        <f t="shared" si="2"/>
        <v>Commercial Drivers' License Act; Driving a commercial vehicle without valid DL</v>
      </c>
      <c r="D582" s="49" t="str">
        <f t="shared" si="3"/>
        <v>8-2,132(a)</v>
      </c>
      <c r="E582" s="11" t="s">
        <v>133</v>
      </c>
      <c r="F582" s="11">
        <v>3.0</v>
      </c>
      <c r="G582" s="11">
        <v>3.0</v>
      </c>
      <c r="H582" s="11">
        <v>3.0</v>
      </c>
      <c r="I582" s="11">
        <v>3.0</v>
      </c>
    </row>
    <row r="583">
      <c r="A583" s="10" t="s">
        <v>6980</v>
      </c>
      <c r="B583" s="49" t="str">
        <f t="shared" si="1"/>
        <v>Commercial Feed Stuffs</v>
      </c>
      <c r="C583" s="49" t="str">
        <f t="shared" si="2"/>
        <v>Commercial Feed Stuffs; Fail or neglect to file the tonnage report and pay the inspection fee due thereon as required</v>
      </c>
      <c r="D583" s="49" t="str">
        <f t="shared" si="3"/>
        <v>2-1011(2)(B)</v>
      </c>
      <c r="E583" s="11" t="s">
        <v>133</v>
      </c>
      <c r="F583" s="11">
        <v>3.0</v>
      </c>
      <c r="G583" s="11">
        <v>3.0</v>
      </c>
      <c r="H583" s="11">
        <v>3.0</v>
      </c>
      <c r="I583" s="11">
        <v>3.0</v>
      </c>
    </row>
    <row r="584">
      <c r="A584" s="10" t="s">
        <v>6981</v>
      </c>
      <c r="B584" s="49" t="str">
        <f t="shared" si="1"/>
        <v>Commercial Feed Stuffs</v>
      </c>
      <c r="C584" s="49" t="str">
        <f t="shared" si="2"/>
        <v>Commercial Feed Stuffs; File a false report of the tonnage of feeding stuffs sold for any period</v>
      </c>
      <c r="D584" s="49" t="str">
        <f t="shared" si="3"/>
        <v>2-1011(2)(C)</v>
      </c>
      <c r="E584" s="11" t="s">
        <v>133</v>
      </c>
      <c r="F584" s="11">
        <v>3.0</v>
      </c>
      <c r="G584" s="11">
        <v>3.0</v>
      </c>
      <c r="H584" s="11">
        <v>3.0</v>
      </c>
      <c r="I584" s="11">
        <v>3.0</v>
      </c>
    </row>
    <row r="585">
      <c r="A585" s="10" t="s">
        <v>6982</v>
      </c>
      <c r="B585" s="49" t="str">
        <f t="shared" si="1"/>
        <v>Commercial Feed Stuffs</v>
      </c>
      <c r="C585" s="49" t="str">
        <f t="shared" si="2"/>
        <v>Commercial Feed Stuffs; Impede, obstruct, hinder or otherwise prevent or attempt to prevent agents charged with the enforcement of the provisions of article 10 of chapter 2 of K.S.A.</v>
      </c>
      <c r="D585" s="49" t="str">
        <f t="shared" si="3"/>
        <v>2-1011(2)(D)</v>
      </c>
      <c r="E585" s="11" t="s">
        <v>133</v>
      </c>
      <c r="F585" s="11">
        <v>3.0</v>
      </c>
      <c r="G585" s="11">
        <v>3.0</v>
      </c>
      <c r="H585" s="11">
        <v>3.0</v>
      </c>
      <c r="I585" s="11">
        <v>3.0</v>
      </c>
    </row>
    <row r="586">
      <c r="A586" s="10" t="s">
        <v>6983</v>
      </c>
      <c r="B586" s="49" t="str">
        <f t="shared" si="1"/>
        <v>Commercial Feed Stuffs</v>
      </c>
      <c r="C586" s="49" t="str">
        <f t="shared" si="2"/>
        <v>Commercial Feed Stuffs; Mutilate, destroy, obliterate or remove the label or any part thereof, or any act which may result in misbranding or false labeling</v>
      </c>
      <c r="D586" s="49" t="str">
        <f t="shared" si="3"/>
        <v>2-1011(2)(A)</v>
      </c>
      <c r="E586" s="11" t="s">
        <v>133</v>
      </c>
      <c r="F586" s="11">
        <v>3.0</v>
      </c>
      <c r="G586" s="11">
        <v>3.0</v>
      </c>
      <c r="H586" s="11">
        <v>3.0</v>
      </c>
      <c r="I586" s="11">
        <v>3.0</v>
      </c>
    </row>
    <row r="587">
      <c r="A587" s="10" t="s">
        <v>6984</v>
      </c>
      <c r="B587" s="49" t="str">
        <f t="shared" si="1"/>
        <v>Commercial Feed Stuffs</v>
      </c>
      <c r="C587" s="49" t="str">
        <f t="shared" si="2"/>
        <v>Commercial Feed Stuffs; Unlawful sale/distribution; adulterated or containing substance or substances which may render it injurious to public health or the health of livestock, poultry and pets</v>
      </c>
      <c r="D587" s="49" t="str">
        <f t="shared" si="3"/>
        <v>2-1011(1)(D)</v>
      </c>
      <c r="E587" s="11" t="s">
        <v>133</v>
      </c>
      <c r="F587" s="11">
        <v>3.0</v>
      </c>
      <c r="G587" s="11">
        <v>3.0</v>
      </c>
      <c r="H587" s="11">
        <v>3.0</v>
      </c>
      <c r="I587" s="11">
        <v>3.0</v>
      </c>
    </row>
    <row r="588">
      <c r="A588" s="10" t="s">
        <v>6985</v>
      </c>
      <c r="B588" s="49" t="str">
        <f t="shared" si="1"/>
        <v>Commercial Feed Stuffs</v>
      </c>
      <c r="C588" s="49" t="str">
        <f t="shared" si="2"/>
        <v>Commercial Feed Stuffs; Unlawful sale/distribution; bearing false/misleading statement on the label or the advertising</v>
      </c>
      <c r="D588" s="49" t="str">
        <f t="shared" si="3"/>
        <v>2-1011(1)(C)</v>
      </c>
      <c r="E588" s="11" t="s">
        <v>133</v>
      </c>
      <c r="F588" s="11">
        <v>3.0</v>
      </c>
      <c r="G588" s="11">
        <v>3.0</v>
      </c>
      <c r="H588" s="11">
        <v>3.0</v>
      </c>
      <c r="I588" s="11">
        <v>3.0</v>
      </c>
    </row>
    <row r="589">
      <c r="A589" s="10" t="s">
        <v>6986</v>
      </c>
      <c r="B589" s="49" t="str">
        <f t="shared" si="1"/>
        <v>Commercial Feed Stuffs</v>
      </c>
      <c r="C589" s="49" t="str">
        <f t="shared" si="2"/>
        <v>Commercial Feed Stuffs; Unlawful sale/distribution; not labeled as required by law</v>
      </c>
      <c r="D589" s="49" t="str">
        <f t="shared" si="3"/>
        <v>2-1011(1)(B)</v>
      </c>
      <c r="E589" s="11" t="s">
        <v>133</v>
      </c>
      <c r="F589" s="11">
        <v>3.0</v>
      </c>
      <c r="G589" s="11">
        <v>3.0</v>
      </c>
      <c r="H589" s="11">
        <v>3.0</v>
      </c>
      <c r="I589" s="11">
        <v>3.0</v>
      </c>
    </row>
    <row r="590">
      <c r="A590" s="10" t="s">
        <v>6987</v>
      </c>
      <c r="B590" s="49" t="str">
        <f t="shared" si="1"/>
        <v>Commercial Feed Stuffs</v>
      </c>
      <c r="C590" s="49" t="str">
        <f t="shared" si="2"/>
        <v>Commercial Feed Stuffs; Unlawful sale/distribution; not licensed</v>
      </c>
      <c r="D590" s="49" t="str">
        <f t="shared" si="3"/>
        <v>2-1011(1)(A)</v>
      </c>
      <c r="E590" s="11" t="s">
        <v>133</v>
      </c>
      <c r="F590" s="11">
        <v>3.0</v>
      </c>
      <c r="G590" s="11">
        <v>3.0</v>
      </c>
      <c r="H590" s="11">
        <v>3.0</v>
      </c>
      <c r="I590" s="11">
        <v>3.0</v>
      </c>
    </row>
    <row r="591">
      <c r="A591" s="10" t="s">
        <v>6988</v>
      </c>
      <c r="B591" s="49" t="str">
        <f t="shared" si="1"/>
        <v>Commercial Fertilizers</v>
      </c>
      <c r="C591" s="49" t="str">
        <f t="shared" si="2"/>
        <v>Commercial Fertilizers; Sale/distribution of; fertilizer bears a false or misleading statement on the application for registration, the label or the advertising</v>
      </c>
      <c r="D591" s="49" t="str">
        <f t="shared" si="3"/>
        <v>2-1208(1)(c)</v>
      </c>
      <c r="E591" s="11" t="s">
        <v>133</v>
      </c>
      <c r="F591" s="11">
        <v>3.0</v>
      </c>
      <c r="G591" s="11">
        <v>3.0</v>
      </c>
      <c r="H591" s="11">
        <v>3.0</v>
      </c>
      <c r="I591" s="11">
        <v>3.0</v>
      </c>
    </row>
    <row r="592">
      <c r="A592" s="10" t="s">
        <v>6989</v>
      </c>
      <c r="B592" s="49" t="str">
        <f t="shared" si="1"/>
        <v>Commercial Fertilizers</v>
      </c>
      <c r="C592" s="49" t="str">
        <f t="shared" si="2"/>
        <v>Commercial Fertilizers; Sale/distribution of; fertilizer not labeled as required</v>
      </c>
      <c r="D592" s="49" t="str">
        <f t="shared" si="3"/>
        <v>2-1208(1)(b)</v>
      </c>
      <c r="E592" s="11" t="s">
        <v>133</v>
      </c>
      <c r="F592" s="11">
        <v>3.0</v>
      </c>
      <c r="G592" s="11">
        <v>3.0</v>
      </c>
      <c r="H592" s="11">
        <v>3.0</v>
      </c>
      <c r="I592" s="11">
        <v>3.0</v>
      </c>
    </row>
    <row r="593">
      <c r="A593" s="10" t="s">
        <v>6990</v>
      </c>
      <c r="B593" s="49" t="str">
        <f t="shared" si="1"/>
        <v>Commercial Fertilizers</v>
      </c>
      <c r="C593" s="49" t="str">
        <f t="shared" si="2"/>
        <v>Commercial Fertilizers; Sale/distribution of; fertilizer not registered</v>
      </c>
      <c r="D593" s="49" t="str">
        <f t="shared" si="3"/>
        <v>2-1208(1)(a)</v>
      </c>
      <c r="E593" s="11" t="s">
        <v>133</v>
      </c>
      <c r="F593" s="11">
        <v>3.0</v>
      </c>
      <c r="G593" s="11">
        <v>3.0</v>
      </c>
      <c r="H593" s="11">
        <v>3.0</v>
      </c>
      <c r="I593" s="11">
        <v>3.0</v>
      </c>
    </row>
    <row r="594">
      <c r="A594" s="10" t="s">
        <v>6991</v>
      </c>
      <c r="B594" s="49" t="str">
        <f t="shared" si="1"/>
        <v>Commercial Fossil Hunting</v>
      </c>
      <c r="C594" s="49" t="str">
        <f t="shared" si="2"/>
        <v>Commercial Fossil Hunting; Remove fossils from property without landowners consent</v>
      </c>
      <c r="D594" s="49" t="str">
        <f t="shared" si="3"/>
        <v>21-5811(a)(2)</v>
      </c>
      <c r="E594" s="11" t="s">
        <v>133</v>
      </c>
      <c r="F594" s="11">
        <v>3.0</v>
      </c>
      <c r="G594" s="11">
        <v>3.0</v>
      </c>
      <c r="H594" s="11">
        <v>3.0</v>
      </c>
      <c r="I594" s="11">
        <v>3.0</v>
      </c>
    </row>
    <row r="595">
      <c r="A595" s="10" t="s">
        <v>6992</v>
      </c>
      <c r="B595" s="49" t="str">
        <f t="shared" si="1"/>
        <v>Commercial Fossil Hunting</v>
      </c>
      <c r="C595" s="49" t="str">
        <f t="shared" si="2"/>
        <v>Commercial Fossil Hunting; Without written authorization of the landowner</v>
      </c>
      <c r="D595" s="49" t="str">
        <f t="shared" si="3"/>
        <v>21-5811(a)(1)</v>
      </c>
      <c r="E595" s="11" t="s">
        <v>133</v>
      </c>
      <c r="F595" s="11">
        <v>3.0</v>
      </c>
      <c r="G595" s="11">
        <v>3.0</v>
      </c>
      <c r="H595" s="11">
        <v>3.0</v>
      </c>
      <c r="I595" s="11">
        <v>3.0</v>
      </c>
    </row>
    <row r="596">
      <c r="A596" s="10" t="s">
        <v>6993</v>
      </c>
      <c r="B596" s="49" t="str">
        <f t="shared" si="1"/>
        <v>Commercial Gambling</v>
      </c>
      <c r="C596" s="49" t="str">
        <f t="shared" si="2"/>
        <v>Commercial Gambling; Knowingly conduct a lottery, or possess facilities to do so with such intent</v>
      </c>
      <c r="D596" s="49" t="str">
        <f t="shared" si="3"/>
        <v>21-6406(a)(1)(D)</v>
      </c>
      <c r="E596" s="11" t="s">
        <v>133</v>
      </c>
      <c r="F596" s="11">
        <v>3.0</v>
      </c>
      <c r="G596" s="11">
        <v>3.0</v>
      </c>
      <c r="H596" s="11">
        <v>3.0</v>
      </c>
      <c r="I596" s="11">
        <v>3.0</v>
      </c>
    </row>
    <row r="597">
      <c r="A597" s="10" t="s">
        <v>6994</v>
      </c>
      <c r="B597" s="49" t="str">
        <f t="shared" si="1"/>
        <v>Commercial Gambling</v>
      </c>
      <c r="C597" s="49" t="str">
        <f t="shared" si="2"/>
        <v>Commercial Gambling; Knowingly grant the use or allow the continued use of a place as a gambling place</v>
      </c>
      <c r="D597" s="49" t="str">
        <f t="shared" si="3"/>
        <v>21-6406(a)(2)(A)</v>
      </c>
      <c r="E597" s="11" t="s">
        <v>133</v>
      </c>
      <c r="F597" s="11">
        <v>3.0</v>
      </c>
      <c r="G597" s="11">
        <v>3.0</v>
      </c>
      <c r="H597" s="11">
        <v>3.0</v>
      </c>
      <c r="I597" s="11">
        <v>3.0</v>
      </c>
    </row>
    <row r="598">
      <c r="A598" s="10" t="s">
        <v>6995</v>
      </c>
      <c r="B598" s="49" t="str">
        <f t="shared" si="1"/>
        <v>Commercial Gambling</v>
      </c>
      <c r="C598" s="49" t="str">
        <f t="shared" si="2"/>
        <v>Commercial Gambling; Knowingly operate or receive earnings of a gambling place</v>
      </c>
      <c r="D598" s="49" t="str">
        <f t="shared" si="3"/>
        <v>21-6406(a)(1)(A)</v>
      </c>
      <c r="E598" s="11" t="s">
        <v>133</v>
      </c>
      <c r="F598" s="11">
        <v>3.0</v>
      </c>
      <c r="G598" s="11">
        <v>3.0</v>
      </c>
      <c r="H598" s="11">
        <v>3.0</v>
      </c>
      <c r="I598" s="11">
        <v>3.0</v>
      </c>
    </row>
    <row r="599">
      <c r="A599" s="10" t="s">
        <v>6996</v>
      </c>
      <c r="B599" s="49" t="str">
        <f t="shared" si="1"/>
        <v>Commercial Gambling</v>
      </c>
      <c r="C599" s="49" t="str">
        <f t="shared" si="2"/>
        <v>Commercial Gambling; Knowingly permit another to set up a gambling device for use in a place under the offender's control</v>
      </c>
      <c r="D599" s="49" t="str">
        <f t="shared" si="3"/>
        <v>21-6406(a)(2)(B)</v>
      </c>
      <c r="E599" s="11" t="s">
        <v>133</v>
      </c>
      <c r="F599" s="11">
        <v>3.0</v>
      </c>
      <c r="G599" s="11">
        <v>3.0</v>
      </c>
      <c r="H599" s="11">
        <v>3.0</v>
      </c>
      <c r="I599" s="11">
        <v>3.0</v>
      </c>
    </row>
    <row r="600">
      <c r="A600" s="10" t="s">
        <v>6997</v>
      </c>
      <c r="B600" s="49" t="str">
        <f t="shared" si="1"/>
        <v>Commercial Gambling</v>
      </c>
      <c r="C600" s="49" t="str">
        <f t="shared" si="2"/>
        <v>Commercial Gambling; Knowingly receive/record/forward bets or offers to bet or, possess facilities to do so with such intent</v>
      </c>
      <c r="D600" s="49" t="str">
        <f t="shared" si="3"/>
        <v>21-6406(a)(1)(B)</v>
      </c>
      <c r="E600" s="11" t="s">
        <v>133</v>
      </c>
      <c r="F600" s="11">
        <v>3.0</v>
      </c>
      <c r="G600" s="11">
        <v>3.0</v>
      </c>
      <c r="H600" s="11">
        <v>3.0</v>
      </c>
      <c r="I600" s="11">
        <v>3.0</v>
      </c>
    </row>
    <row r="601">
      <c r="A601" s="10" t="s">
        <v>6998</v>
      </c>
      <c r="B601" s="49" t="str">
        <f t="shared" si="1"/>
        <v>Commercial Gambling</v>
      </c>
      <c r="C601" s="49" t="str">
        <f t="shared" si="2"/>
        <v>Commercial Gambling; Knowingly set up for use or collect the proceeds of any gambling device</v>
      </c>
      <c r="D601" s="49" t="str">
        <f t="shared" si="3"/>
        <v>21-6406(a)(1)(E)</v>
      </c>
      <c r="E601" s="11" t="s">
        <v>133</v>
      </c>
      <c r="F601" s="11">
        <v>3.0</v>
      </c>
      <c r="G601" s="11">
        <v>3.0</v>
      </c>
      <c r="H601" s="11">
        <v>3.0</v>
      </c>
      <c r="I601" s="11">
        <v>3.0</v>
      </c>
    </row>
    <row r="602">
      <c r="A602" s="10" t="s">
        <v>6999</v>
      </c>
      <c r="B602" s="49" t="str">
        <f t="shared" si="1"/>
        <v>Commercial Gambling</v>
      </c>
      <c r="C602" s="49" t="str">
        <f t="shared" si="2"/>
        <v>Commercial Gambling; Knowingly/for gain, become a custodian of anything of value bet or offered to be bet</v>
      </c>
      <c r="D602" s="49" t="str">
        <f t="shared" si="3"/>
        <v>21-6406(a)(1)(C)</v>
      </c>
      <c r="E602" s="11" t="s">
        <v>133</v>
      </c>
      <c r="F602" s="11">
        <v>3.0</v>
      </c>
      <c r="G602" s="11">
        <v>3.0</v>
      </c>
      <c r="H602" s="11">
        <v>3.0</v>
      </c>
      <c r="I602" s="11">
        <v>3.0</v>
      </c>
    </row>
    <row r="603">
      <c r="A603" s="10" t="s">
        <v>7000</v>
      </c>
      <c r="B603" s="49" t="str">
        <f t="shared" si="1"/>
        <v>Commercial Sexual Exploitation of a Child</v>
      </c>
      <c r="C603" s="49" t="str">
        <f t="shared" si="2"/>
        <v>Commercial Sexual Exploitation of a Child; Knowingly offering, giving or receiving anything of value to procure a patron, where there is an exchange of value, to procure or solicit a person under 18 to perform sexual acts; offender 18 or older and victim under 14</v>
      </c>
      <c r="D603" s="49" t="str">
        <f t="shared" si="3"/>
        <v>21-6422(a)(1)(B)</v>
      </c>
      <c r="E603" s="11" t="s">
        <v>133</v>
      </c>
      <c r="F603" s="11">
        <v>3.0</v>
      </c>
      <c r="G603" s="11">
        <v>3.0</v>
      </c>
      <c r="H603" s="11">
        <v>3.0</v>
      </c>
      <c r="I603" s="11">
        <v>3.0</v>
      </c>
    </row>
    <row r="604">
      <c r="A604" s="10" t="s">
        <v>7001</v>
      </c>
      <c r="B604" s="49" t="str">
        <f t="shared" si="1"/>
        <v>Commercial Sexual Exploitation of a Child</v>
      </c>
      <c r="C604" s="49" t="str">
        <f t="shared" si="2"/>
        <v>Commercial Sexual Exploitation of a Child; Knowingly offering, giving or receiving anything of value to procure a patron, where there is an exchange of value, to procure or solicit a person under 18 to to perform sexual acts; offender has no prior convictions under this section; victim not under 14 or offender not 18 or older</v>
      </c>
      <c r="D604" s="49" t="str">
        <f t="shared" si="3"/>
        <v>21-6422(a)(1)(B)</v>
      </c>
      <c r="E604" s="11" t="s">
        <v>133</v>
      </c>
      <c r="F604" s="11">
        <v>3.0</v>
      </c>
      <c r="G604" s="11">
        <v>3.0</v>
      </c>
      <c r="H604" s="11">
        <v>3.0</v>
      </c>
      <c r="I604" s="11">
        <v>3.0</v>
      </c>
    </row>
    <row r="605">
      <c r="A605" s="10" t="s">
        <v>7002</v>
      </c>
      <c r="B605" s="49" t="str">
        <f t="shared" si="1"/>
        <v>Commercial Sexual Exploitation of a Child</v>
      </c>
      <c r="C605" s="49" t="str">
        <f t="shared" si="2"/>
        <v>Commercial Sexual Exploitation of a Child; Knowingly offering, giving or receiving anything of value to procure a patron, where there is an exchange of value, to procure or solicit a person under 18 to to perform sexual acts; offender has prior conviction under this section; victim not under 14 or offender not 18 or older</v>
      </c>
      <c r="D605" s="49" t="str">
        <f t="shared" si="3"/>
        <v>21-6422(a)(1)(B)</v>
      </c>
      <c r="E605" s="11" t="s">
        <v>133</v>
      </c>
      <c r="F605" s="11">
        <v>3.0</v>
      </c>
      <c r="G605" s="11">
        <v>3.0</v>
      </c>
      <c r="H605" s="11">
        <v>3.0</v>
      </c>
      <c r="I605" s="11">
        <v>3.0</v>
      </c>
    </row>
    <row r="606">
      <c r="A606" s="10" t="s">
        <v>7003</v>
      </c>
      <c r="B606" s="49" t="str">
        <f t="shared" si="1"/>
        <v>Commercial Sexual Exploitation of a Child</v>
      </c>
      <c r="C606" s="49" t="str">
        <f t="shared" si="2"/>
        <v>Commercial Sexual Exploitation of a Child; Knowingly offering, giving or receiving anything of value to procure or solicit a person under 18 to perform sexual acts; offender 18 or older and victim under 14</v>
      </c>
      <c r="D606" s="49" t="str">
        <f t="shared" si="3"/>
        <v>21-6422(a)(1)(A)</v>
      </c>
      <c r="E606" s="11" t="s">
        <v>133</v>
      </c>
      <c r="F606" s="11">
        <v>3.0</v>
      </c>
      <c r="G606" s="11">
        <v>3.0</v>
      </c>
      <c r="H606" s="11">
        <v>3.0</v>
      </c>
      <c r="I606" s="11">
        <v>3.0</v>
      </c>
    </row>
    <row r="607">
      <c r="A607" s="10" t="s">
        <v>7004</v>
      </c>
      <c r="B607" s="49" t="str">
        <f t="shared" si="1"/>
        <v>Commercial Sexual Exploitation of a Child</v>
      </c>
      <c r="C607" s="49" t="str">
        <f t="shared" si="2"/>
        <v>Commercial Sexual Exploitation of a Child; Knowingly offering, giving or receiving anything of value to procure or solicit a person under 18 to perform sexual acts; offender has no prior convictions under this section; victim not under 14 or offender not 18 or older</v>
      </c>
      <c r="D607" s="49" t="str">
        <f t="shared" si="3"/>
        <v>21-6422(a)(1)(A)</v>
      </c>
      <c r="E607" s="11" t="s">
        <v>133</v>
      </c>
      <c r="F607" s="11">
        <v>3.0</v>
      </c>
      <c r="G607" s="11">
        <v>3.0</v>
      </c>
      <c r="H607" s="11">
        <v>3.0</v>
      </c>
      <c r="I607" s="11">
        <v>3.0</v>
      </c>
    </row>
    <row r="608">
      <c r="A608" s="10" t="s">
        <v>7005</v>
      </c>
      <c r="B608" s="49" t="str">
        <f t="shared" si="1"/>
        <v>Commercial Sexual Exploitation of a Child</v>
      </c>
      <c r="C608" s="49" t="str">
        <f t="shared" si="2"/>
        <v>Commercial Sexual Exploitation of a Child; Knowingly offering, giving or receiving anything of value to procure or solicit a person under 18 to perform sexual acts; offender has prior conviction under this section; victim not under 14 or offender not 18 or older</v>
      </c>
      <c r="D608" s="49" t="str">
        <f t="shared" si="3"/>
        <v>21-6422(a)(1)(A)</v>
      </c>
      <c r="E608" s="11" t="s">
        <v>133</v>
      </c>
      <c r="F608" s="11">
        <v>3.0</v>
      </c>
      <c r="G608" s="11">
        <v>3.0</v>
      </c>
      <c r="H608" s="11">
        <v>3.0</v>
      </c>
      <c r="I608" s="11">
        <v>3.0</v>
      </c>
    </row>
    <row r="609">
      <c r="A609" s="10" t="s">
        <v>7006</v>
      </c>
      <c r="B609" s="49" t="str">
        <f t="shared" si="1"/>
        <v>Commercial Sexual Exploitation of a Child</v>
      </c>
      <c r="C609" s="49" t="str">
        <f t="shared" si="2"/>
        <v>Commercial Sexual Exploitation of a Child; Knowingly own or maintain any property where sexual relations are offered or sold by a person under 18; offender 18 or older and victim under 14</v>
      </c>
      <c r="D609" s="49" t="str">
        <f t="shared" si="3"/>
        <v>21-6422(a)(2)</v>
      </c>
      <c r="E609" s="11" t="s">
        <v>133</v>
      </c>
      <c r="F609" s="11">
        <v>3.0</v>
      </c>
      <c r="G609" s="11">
        <v>3.0</v>
      </c>
      <c r="H609" s="11">
        <v>3.0</v>
      </c>
      <c r="I609" s="11">
        <v>3.0</v>
      </c>
    </row>
    <row r="610">
      <c r="A610" s="10" t="s">
        <v>7007</v>
      </c>
      <c r="B610" s="49" t="str">
        <f t="shared" si="1"/>
        <v>Commercial Sexual Exploitation of a Child</v>
      </c>
      <c r="C610" s="49" t="str">
        <f t="shared" si="2"/>
        <v>Commercial Sexual Exploitation of a Child; Knowingly own or maintain any property where sexual relations are offered or sold by a person under 18; offender has no prior convictions under this section; victim not under 14 and offender not 18 or older</v>
      </c>
      <c r="D610" s="49" t="str">
        <f t="shared" si="3"/>
        <v>21-6422(a)(2)</v>
      </c>
      <c r="E610" s="11" t="s">
        <v>133</v>
      </c>
      <c r="F610" s="11">
        <v>3.0</v>
      </c>
      <c r="G610" s="11">
        <v>3.0</v>
      </c>
      <c r="H610" s="11">
        <v>3.0</v>
      </c>
      <c r="I610" s="11">
        <v>3.0</v>
      </c>
    </row>
    <row r="611">
      <c r="A611" s="10" t="s">
        <v>7008</v>
      </c>
      <c r="B611" s="49" t="str">
        <f t="shared" si="1"/>
        <v>Commercial Sexual Exploitation of a Child</v>
      </c>
      <c r="C611" s="49" t="str">
        <f t="shared" si="2"/>
        <v>Commercial Sexual Exploitation of a Child; Knowingly own or maintain any property where sexual relations are offered or sold by a person under 18; offender has prior conviction under this section; victim not under 14 and offender not 18 or older</v>
      </c>
      <c r="D611" s="49" t="str">
        <f t="shared" si="3"/>
        <v>21-6422(a)(2)</v>
      </c>
      <c r="E611" s="11" t="s">
        <v>133</v>
      </c>
      <c r="F611" s="11">
        <v>3.0</v>
      </c>
      <c r="G611" s="11">
        <v>3.0</v>
      </c>
      <c r="H611" s="11">
        <v>3.0</v>
      </c>
      <c r="I611" s="11">
        <v>3.0</v>
      </c>
    </row>
    <row r="612">
      <c r="A612" s="10" t="s">
        <v>7009</v>
      </c>
      <c r="B612" s="49" t="str">
        <f t="shared" si="1"/>
        <v>Commercial Sexual Exploitation of a Child</v>
      </c>
      <c r="C612" s="49" t="str">
        <f t="shared" si="2"/>
        <v>Commercial Sexual Exploitation of a Child; Knowingly permit property to be used as place where sexual relations are offered or sold by a person under 18; offender 18 or older and victim under 14</v>
      </c>
      <c r="D612" s="49" t="str">
        <f t="shared" si="3"/>
        <v>21-6422(a)(3)</v>
      </c>
      <c r="E612" s="11" t="s">
        <v>133</v>
      </c>
      <c r="F612" s="11">
        <v>3.0</v>
      </c>
      <c r="G612" s="11">
        <v>3.0</v>
      </c>
      <c r="H612" s="11">
        <v>3.0</v>
      </c>
      <c r="I612" s="11">
        <v>3.0</v>
      </c>
    </row>
    <row r="613">
      <c r="A613" s="10" t="s">
        <v>7010</v>
      </c>
      <c r="B613" s="49" t="str">
        <f t="shared" si="1"/>
        <v>Commercial Sexual Exploitation of a Child</v>
      </c>
      <c r="C613" s="49" t="str">
        <f t="shared" si="2"/>
        <v>Commercial Sexual Exploitation of a Child; Knowingly permit property to be used as place where sexual relations are offered or sold by a person under 18; offender has no prior convictions under this section; victim not under 14 or offender not 18 or older</v>
      </c>
      <c r="D613" s="49" t="str">
        <f t="shared" si="3"/>
        <v>21-6422(a)(3)</v>
      </c>
      <c r="E613" s="11" t="s">
        <v>133</v>
      </c>
      <c r="F613" s="11">
        <v>3.0</v>
      </c>
      <c r="G613" s="11">
        <v>3.0</v>
      </c>
      <c r="H613" s="11">
        <v>3.0</v>
      </c>
      <c r="I613" s="11">
        <v>3.0</v>
      </c>
    </row>
    <row r="614">
      <c r="A614" s="10" t="s">
        <v>7011</v>
      </c>
      <c r="B614" s="49" t="str">
        <f t="shared" si="1"/>
        <v>Commercial Sexual Exploitation of a Child</v>
      </c>
      <c r="C614" s="49" t="str">
        <f t="shared" si="2"/>
        <v>Commercial Sexual Exploitation of a Child; Knowingly permit property to be used as place where sexual relations are offered or sold by a person under 18; offender has prior conviction under this section; victim not under 14 or offender not 18 or older</v>
      </c>
      <c r="D614" s="49" t="str">
        <f t="shared" si="3"/>
        <v>21-6422(a)(3)</v>
      </c>
      <c r="E614" s="11" t="s">
        <v>133</v>
      </c>
      <c r="F614" s="11">
        <v>3.0</v>
      </c>
      <c r="G614" s="11">
        <v>3.0</v>
      </c>
      <c r="H614" s="11">
        <v>3.0</v>
      </c>
      <c r="I614" s="11">
        <v>3.0</v>
      </c>
    </row>
    <row r="615">
      <c r="A615" s="10" t="s">
        <v>7012</v>
      </c>
      <c r="B615" s="49" t="str">
        <f t="shared" si="1"/>
        <v>Commercial Sexual Exploitation of a Child</v>
      </c>
      <c r="C615" s="49" t="str">
        <f t="shared" si="2"/>
        <v>Commercial Sexual Exploitation of a Child; Knowingly procure, pay for or provide transportation of a person under 18 with the intent to assist in selling sexual acts; offender 18 or older and victim under 14</v>
      </c>
      <c r="D615" s="49" t="str">
        <f t="shared" si="3"/>
        <v>21-6422(a)(4)</v>
      </c>
      <c r="E615" s="11" t="s">
        <v>133</v>
      </c>
      <c r="F615" s="11">
        <v>3.0</v>
      </c>
      <c r="G615" s="11">
        <v>3.0</v>
      </c>
      <c r="H615" s="11">
        <v>3.0</v>
      </c>
      <c r="I615" s="11">
        <v>3.0</v>
      </c>
    </row>
    <row r="616">
      <c r="A616" s="10" t="s">
        <v>7013</v>
      </c>
      <c r="B616" s="49" t="str">
        <f t="shared" si="1"/>
        <v>Commercial Sexual Exploitation of a Child</v>
      </c>
      <c r="C616" s="49" t="str">
        <f t="shared" si="2"/>
        <v>Commercial Sexual Exploitation of a Child; Knowingly procure, pay for or provide transportation of a person under 18 with the intent to assist in selling sexual relations; offender has no prior convictions under this section; victim not under 14 or offender not 18 or older</v>
      </c>
      <c r="D616" s="49" t="str">
        <f t="shared" si="3"/>
        <v>21-6422(a)(4)</v>
      </c>
      <c r="E616" s="11" t="s">
        <v>133</v>
      </c>
      <c r="F616" s="11">
        <v>3.0</v>
      </c>
      <c r="G616" s="11">
        <v>3.0</v>
      </c>
      <c r="H616" s="11">
        <v>3.0</v>
      </c>
      <c r="I616" s="11">
        <v>3.0</v>
      </c>
    </row>
    <row r="617">
      <c r="A617" s="10" t="s">
        <v>7014</v>
      </c>
      <c r="B617" s="49" t="str">
        <f t="shared" si="1"/>
        <v>Commercial Sexual Exploitation of a Child</v>
      </c>
      <c r="C617" s="49" t="str">
        <f t="shared" si="2"/>
        <v>Commercial Sexual Exploitation of a Child; Knowingly procure, pay for or provide transportation of a person under 18 with the intent to assist in selling sexual relations; offender has prior conviction under this section; victim not under 14 or offender not 18 or older</v>
      </c>
      <c r="D617" s="49" t="str">
        <f t="shared" si="3"/>
        <v>21-6422(a)(4)</v>
      </c>
      <c r="E617" s="11" t="s">
        <v>133</v>
      </c>
      <c r="F617" s="11">
        <v>3.0</v>
      </c>
      <c r="G617" s="11">
        <v>3.0</v>
      </c>
      <c r="H617" s="11">
        <v>3.0</v>
      </c>
      <c r="I617" s="11">
        <v>3.0</v>
      </c>
    </row>
    <row r="618">
      <c r="A618" s="10" t="s">
        <v>7015</v>
      </c>
      <c r="B618" s="49" t="str">
        <f t="shared" si="1"/>
        <v>Commercialization of Wildlife</v>
      </c>
      <c r="C618" s="49" t="str">
        <f t="shared" si="2"/>
        <v>Commercialization of Wildlife; Capture, kill, possess certain animals; value of $1,000 or more</v>
      </c>
      <c r="D618" s="49" t="str">
        <f t="shared" si="3"/>
        <v>32-1005(a)(1)</v>
      </c>
      <c r="E618" s="11" t="s">
        <v>133</v>
      </c>
      <c r="F618" s="11">
        <v>3.0</v>
      </c>
      <c r="G618" s="11">
        <v>3.0</v>
      </c>
      <c r="H618" s="11">
        <v>3.0</v>
      </c>
      <c r="I618" s="11">
        <v>3.0</v>
      </c>
    </row>
    <row r="619">
      <c r="A619" s="10" t="s">
        <v>7016</v>
      </c>
      <c r="B619" s="49" t="str">
        <f t="shared" si="1"/>
        <v>Commercialization of Wildlife</v>
      </c>
      <c r="C619" s="49" t="str">
        <f t="shared" si="2"/>
        <v>Commercialization of Wildlife; Purchase for use or consumption certain animals; value of $1,000 or more</v>
      </c>
      <c r="D619" s="49" t="str">
        <f t="shared" si="3"/>
        <v>32-1005(a)(4)</v>
      </c>
      <c r="E619" s="11" t="s">
        <v>133</v>
      </c>
      <c r="F619" s="11">
        <v>3.0</v>
      </c>
      <c r="G619" s="11">
        <v>3.0</v>
      </c>
      <c r="H619" s="11">
        <v>3.0</v>
      </c>
      <c r="I619" s="11">
        <v>3.0</v>
      </c>
    </row>
    <row r="620">
      <c r="A620" s="10" t="s">
        <v>7017</v>
      </c>
      <c r="B620" s="49" t="str">
        <f t="shared" si="1"/>
        <v>Commercialization of Wildlife</v>
      </c>
      <c r="C620" s="49" t="str">
        <f t="shared" si="2"/>
        <v>Commercialization of Wildlife; Sell, barter, purchase certain animals; value of $1,000 or more</v>
      </c>
      <c r="D620" s="49" t="str">
        <f t="shared" si="3"/>
        <v>32-1005(a)(2)</v>
      </c>
      <c r="E620" s="11" t="s">
        <v>133</v>
      </c>
      <c r="F620" s="11">
        <v>3.0</v>
      </c>
      <c r="G620" s="11">
        <v>3.0</v>
      </c>
      <c r="H620" s="11">
        <v>3.0</v>
      </c>
      <c r="I620" s="11">
        <v>3.0</v>
      </c>
    </row>
    <row r="621">
      <c r="A621" s="10" t="s">
        <v>7018</v>
      </c>
      <c r="B621" s="49" t="str">
        <f t="shared" si="1"/>
        <v>Commercialization of Wildlife</v>
      </c>
      <c r="C621" s="49" t="str">
        <f t="shared" si="2"/>
        <v>Commercialization of Wildlife; Ship, transport, receive certain animals; value of $1,000 or more</v>
      </c>
      <c r="D621" s="49" t="str">
        <f t="shared" si="3"/>
        <v>32-1005(a)(3)</v>
      </c>
      <c r="E621" s="11" t="s">
        <v>133</v>
      </c>
      <c r="F621" s="11">
        <v>3.0</v>
      </c>
      <c r="G621" s="11">
        <v>3.0</v>
      </c>
      <c r="H621" s="11">
        <v>3.0</v>
      </c>
      <c r="I621" s="11">
        <v>3.0</v>
      </c>
    </row>
    <row r="622">
      <c r="A622" s="10" t="s">
        <v>7019</v>
      </c>
      <c r="B622" s="49" t="str">
        <f t="shared" si="1"/>
        <v>Common Nuisance</v>
      </c>
      <c r="C622" s="49" t="str">
        <f t="shared" si="2"/>
        <v>Common Nuisance; Maintenance of a Common Nuisance</v>
      </c>
      <c r="D622" s="49" t="str">
        <f t="shared" si="3"/>
        <v>22-3905(a)</v>
      </c>
      <c r="E622" s="11" t="s">
        <v>133</v>
      </c>
      <c r="F622" s="11">
        <v>3.0</v>
      </c>
      <c r="G622" s="11">
        <v>3.0</v>
      </c>
      <c r="H622" s="11">
        <v>3.0</v>
      </c>
      <c r="I622" s="11">
        <v>3.0</v>
      </c>
    </row>
    <row r="623">
      <c r="A623" s="10" t="s">
        <v>7020</v>
      </c>
      <c r="B623" s="49" t="str">
        <f t="shared" si="1"/>
        <v>Compensation for Past Official Acts</v>
      </c>
      <c r="C623" s="49" t="str">
        <f t="shared" si="2"/>
        <v>Compensation for Past Official Acts</v>
      </c>
      <c r="D623" s="49" t="str">
        <f t="shared" si="3"/>
        <v>21-6003(a)</v>
      </c>
      <c r="E623" s="11" t="s">
        <v>133</v>
      </c>
      <c r="F623" s="11">
        <v>3.0</v>
      </c>
      <c r="G623" s="11">
        <v>3.0</v>
      </c>
      <c r="H623" s="11">
        <v>3.0</v>
      </c>
      <c r="I623" s="11">
        <v>3.0</v>
      </c>
    </row>
    <row r="624">
      <c r="A624" s="10" t="s">
        <v>7021</v>
      </c>
      <c r="B624" s="49" t="str">
        <f t="shared" si="1"/>
        <v>Computer Crime: Knowing and unauthorized disclosure of number, code or password to access computer or computer network, social networking website or personal electronic content</v>
      </c>
      <c r="C624" s="49" t="str">
        <f t="shared" si="2"/>
        <v>Computer Crime: Knowing and unauthorized disclosure of number, code or password to access computer or computer network, social networking website or personal electronic content</v>
      </c>
      <c r="D624" s="49" t="str">
        <f t="shared" si="3"/>
        <v>21-5839(a)(4)</v>
      </c>
      <c r="E624" s="11" t="s">
        <v>133</v>
      </c>
      <c r="F624" s="11">
        <v>3.0</v>
      </c>
      <c r="G624" s="11">
        <v>3.0</v>
      </c>
      <c r="H624" s="11">
        <v>3.0</v>
      </c>
      <c r="I624" s="11">
        <v>3.0</v>
      </c>
    </row>
    <row r="625">
      <c r="A625" s="10" t="s">
        <v>7022</v>
      </c>
      <c r="B625" s="49" t="str">
        <f t="shared" si="1"/>
        <v>Computer Crime: Knowingly and without authorization access or attempt to access computer, computer system, social networking website, computer network or software, program, documentation, data or property contained therein</v>
      </c>
      <c r="C625" s="49" t="str">
        <f t="shared" si="2"/>
        <v>Computer Crime: Knowingly and without authorization access or attempt to access computer, computer system, social networking website, computer network or software, program, documentation, data or property contained therein</v>
      </c>
      <c r="D625" s="49" t="str">
        <f t="shared" si="3"/>
        <v>21-5839(a)(5)</v>
      </c>
      <c r="E625" s="11" t="s">
        <v>133</v>
      </c>
      <c r="F625" s="11">
        <v>3.0</v>
      </c>
      <c r="G625" s="11">
        <v>3.0</v>
      </c>
      <c r="H625" s="11">
        <v>3.0</v>
      </c>
      <c r="I625" s="11">
        <v>3.0</v>
      </c>
    </row>
    <row r="626">
      <c r="A626" s="10" t="s">
        <v>7023</v>
      </c>
      <c r="B626" s="49" t="str">
        <f t="shared" si="1"/>
        <v>Computer Crime</v>
      </c>
      <c r="C626" s="49" t="str">
        <f t="shared" si="2"/>
        <v>Computer Crime; Knowingly and without authorization access, damage, modify, alter, destroy, copy, disclose or take possession of a computer, computer system, computer network or other property</v>
      </c>
      <c r="D626" s="49" t="str">
        <f t="shared" si="3"/>
        <v>21-5839(a)(1)</v>
      </c>
      <c r="E626" s="11" t="s">
        <v>133</v>
      </c>
      <c r="F626" s="11">
        <v>3.0</v>
      </c>
      <c r="G626" s="11">
        <v>3.0</v>
      </c>
      <c r="H626" s="11">
        <v>3.0</v>
      </c>
      <c r="I626" s="11">
        <v>3.0</v>
      </c>
    </row>
    <row r="627">
      <c r="A627" s="10" t="s">
        <v>7024</v>
      </c>
      <c r="B627" s="49" t="str">
        <f t="shared" si="1"/>
        <v>Computer Crime</v>
      </c>
      <c r="C627" s="49" t="str">
        <f t="shared" si="2"/>
        <v>Computer Crime; Knowingly and without authorization access, damage, modify, alter, destroy, copy, disclose or take possession of a computer, computer system, computer network or other property; if monetary loss to victim is more than $100,000</v>
      </c>
      <c r="D627" s="49" t="str">
        <f t="shared" si="3"/>
        <v>21-5839(a)(1)</v>
      </c>
      <c r="E627" s="11" t="s">
        <v>133</v>
      </c>
      <c r="F627" s="11">
        <v>3.0</v>
      </c>
      <c r="G627" s="11">
        <v>3.0</v>
      </c>
      <c r="H627" s="11">
        <v>3.0</v>
      </c>
      <c r="I627" s="11">
        <v>3.0</v>
      </c>
    </row>
    <row r="628">
      <c r="A628" s="10" t="s">
        <v>7025</v>
      </c>
      <c r="B628" s="49" t="str">
        <f t="shared" si="1"/>
        <v>Computer Crime</v>
      </c>
      <c r="C628" s="49" t="str">
        <f t="shared" si="2"/>
        <v>Computer Crime; Knowingly exceed the limits of authorization and damage, modify, alter, destroy, copy, disclose or take possession of a computer, computer system, computer network or any other property</v>
      </c>
      <c r="D628" s="49" t="str">
        <f t="shared" si="3"/>
        <v>21-5839(a)(3)</v>
      </c>
      <c r="E628" s="11" t="s">
        <v>133</v>
      </c>
      <c r="F628" s="11">
        <v>3.0</v>
      </c>
      <c r="G628" s="11">
        <v>3.0</v>
      </c>
      <c r="H628" s="11">
        <v>3.0</v>
      </c>
      <c r="I628" s="11">
        <v>3.0</v>
      </c>
    </row>
    <row r="629">
      <c r="A629" s="10" t="s">
        <v>7026</v>
      </c>
      <c r="B629" s="49" t="str">
        <f t="shared" si="1"/>
        <v>Computer Crime</v>
      </c>
      <c r="C629" s="49" t="str">
        <f t="shared" si="2"/>
        <v>Computer Crime; Knowingly exceed the limits of authorization and damage, modify, alter, destroy, copy, disclose or take possession of a computer, computer system, computer network or any other property; if monetary loss to victim is more than $100,000</v>
      </c>
      <c r="D629" s="49" t="str">
        <f t="shared" si="3"/>
        <v>21-5839(a)(3)</v>
      </c>
      <c r="E629" s="11" t="s">
        <v>133</v>
      </c>
      <c r="F629" s="11">
        <v>3.0</v>
      </c>
      <c r="G629" s="11">
        <v>3.0</v>
      </c>
      <c r="H629" s="11">
        <v>3.0</v>
      </c>
      <c r="I629" s="11">
        <v>3.0</v>
      </c>
    </row>
    <row r="630">
      <c r="A630" s="10" t="s">
        <v>7027</v>
      </c>
      <c r="B630" s="49" t="str">
        <f t="shared" si="1"/>
        <v>Computer Crime</v>
      </c>
      <c r="C630" s="49" t="str">
        <f t="shared" si="2"/>
        <v>Computer Crime; Use computer, computer system, computer network or other property for purpose of devising or executing scheme or artifice with intent to defraud</v>
      </c>
      <c r="D630" s="49" t="str">
        <f t="shared" si="3"/>
        <v>21-5839(a)(2)</v>
      </c>
      <c r="E630" s="11" t="s">
        <v>133</v>
      </c>
      <c r="F630" s="11">
        <v>3.0</v>
      </c>
      <c r="G630" s="11">
        <v>3.0</v>
      </c>
      <c r="H630" s="11">
        <v>3.0</v>
      </c>
      <c r="I630" s="11">
        <v>3.0</v>
      </c>
    </row>
    <row r="631">
      <c r="A631" s="10" t="s">
        <v>7028</v>
      </c>
      <c r="B631" s="49" t="str">
        <f t="shared" si="1"/>
        <v>Computer Crime</v>
      </c>
      <c r="C631" s="49" t="str">
        <f t="shared" si="2"/>
        <v>Computer Crime; Use computer, computer system, computer network or other property for purpose of devising or executing scheme or artifice with intent to defraud; if monetary loss to victim is more than $100,000</v>
      </c>
      <c r="D631" s="49" t="str">
        <f t="shared" si="3"/>
        <v>21-5839(a)(2)</v>
      </c>
      <c r="E631" s="11" t="s">
        <v>133</v>
      </c>
      <c r="F631" s="11">
        <v>3.0</v>
      </c>
      <c r="G631" s="11">
        <v>3.0</v>
      </c>
      <c r="H631" s="11">
        <v>3.0</v>
      </c>
      <c r="I631" s="11">
        <v>3.0</v>
      </c>
    </row>
    <row r="632">
      <c r="A632" s="10" t="s">
        <v>7029</v>
      </c>
      <c r="B632" s="49" t="str">
        <f t="shared" si="1"/>
        <v>Concealed Handgun</v>
      </c>
      <c r="C632" s="49" t="str">
        <f t="shared" si="2"/>
        <v>Concealed Handgun; Carrying concealed handgun into statutorily prohibited locations; 1st or 2nd offense</v>
      </c>
      <c r="D632" s="49" t="str">
        <f t="shared" si="3"/>
        <v>75-7c10(a)</v>
      </c>
      <c r="E632" s="11" t="s">
        <v>133</v>
      </c>
      <c r="F632" s="11">
        <v>3.0</v>
      </c>
      <c r="G632" s="11">
        <v>3.0</v>
      </c>
      <c r="H632" s="11">
        <v>3.0</v>
      </c>
      <c r="I632" s="11">
        <v>3.0</v>
      </c>
    </row>
    <row r="633">
      <c r="A633" s="10" t="s">
        <v>7030</v>
      </c>
      <c r="B633" s="49" t="str">
        <f t="shared" si="1"/>
        <v>Concealed Handgun</v>
      </c>
      <c r="C633" s="49" t="str">
        <f t="shared" si="2"/>
        <v>Concealed Handgun; Carrying concealed handgun into statutorily prohibited locations; 3rd or subs. offense</v>
      </c>
      <c r="D633" s="49" t="str">
        <f t="shared" si="3"/>
        <v>75-7c10(a)</v>
      </c>
      <c r="E633" s="11" t="s">
        <v>133</v>
      </c>
      <c r="F633" s="11">
        <v>3.0</v>
      </c>
      <c r="G633" s="11">
        <v>3.0</v>
      </c>
      <c r="H633" s="11">
        <v>3.0</v>
      </c>
      <c r="I633" s="11">
        <v>3.0</v>
      </c>
    </row>
    <row r="634">
      <c r="A634" s="10" t="s">
        <v>7031</v>
      </c>
      <c r="B634" s="49" t="str">
        <f t="shared" si="1"/>
        <v>Construction Defects</v>
      </c>
      <c r="C634" s="49" t="str">
        <f t="shared" si="2"/>
        <v>Construction Defects; Member or officer of an executive board accepting anything of value in exchange for encouraging or discouraging the filing of a claim for damages arising from a construction defect</v>
      </c>
      <c r="D634" s="49" t="str">
        <f t="shared" si="3"/>
        <v>60-4708(c)</v>
      </c>
      <c r="E634" s="11" t="s">
        <v>133</v>
      </c>
      <c r="F634" s="11">
        <v>3.0</v>
      </c>
      <c r="G634" s="11">
        <v>3.0</v>
      </c>
      <c r="H634" s="11">
        <v>3.0</v>
      </c>
      <c r="I634" s="11">
        <v>3.0</v>
      </c>
    </row>
    <row r="635">
      <c r="A635" s="10" t="s">
        <v>7032</v>
      </c>
      <c r="B635" s="49" t="str">
        <f t="shared" si="1"/>
        <v>Construction Defects</v>
      </c>
      <c r="C635" s="49" t="str">
        <f t="shared" si="2"/>
        <v>Construction Defects; Offer anything of value to a property manager of an association or member or officer of an executive board of an association to induce, encourage or discourage the filing of a claim for damages arising from a construction defect</v>
      </c>
      <c r="D635" s="49" t="str">
        <f t="shared" si="3"/>
        <v>60-4708(a)</v>
      </c>
      <c r="E635" s="11" t="s">
        <v>133</v>
      </c>
      <c r="F635" s="11">
        <v>3.0</v>
      </c>
      <c r="G635" s="11">
        <v>3.0</v>
      </c>
      <c r="H635" s="11">
        <v>3.0</v>
      </c>
      <c r="I635" s="11">
        <v>3.0</v>
      </c>
    </row>
    <row r="636">
      <c r="A636" s="10" t="s">
        <v>7033</v>
      </c>
      <c r="B636" s="49" t="str">
        <f t="shared" si="1"/>
        <v>Construction Defects</v>
      </c>
      <c r="C636" s="49" t="str">
        <f t="shared" si="2"/>
        <v>Construction Defects; Property manager accepting anything of value given in exchange for encouraging or discouraging the filing of a claim for damages arising from a construction defect</v>
      </c>
      <c r="D636" s="49" t="str">
        <f t="shared" si="3"/>
        <v>60-4708(b)</v>
      </c>
      <c r="E636" s="11" t="s">
        <v>133</v>
      </c>
      <c r="F636" s="11">
        <v>3.0</v>
      </c>
      <c r="G636" s="11">
        <v>3.0</v>
      </c>
      <c r="H636" s="11">
        <v>3.0</v>
      </c>
      <c r="I636" s="11">
        <v>3.0</v>
      </c>
    </row>
    <row r="637">
      <c r="A637" s="10" t="s">
        <v>7034</v>
      </c>
      <c r="B637" s="49" t="str">
        <f t="shared" si="1"/>
        <v>Consumer Protection Act</v>
      </c>
      <c r="C637" s="49" t="str">
        <f t="shared" si="2"/>
        <v>Consumer Protection Act; Affixing of cigarette stamps and meter impressions (falsely representing)</v>
      </c>
      <c r="D637" s="49" t="str">
        <f t="shared" si="3"/>
        <v>50-6a04(a)</v>
      </c>
      <c r="E637" s="11" t="s">
        <v>133</v>
      </c>
      <c r="F637" s="11">
        <v>3.0</v>
      </c>
      <c r="G637" s="11">
        <v>3.0</v>
      </c>
      <c r="H637" s="11">
        <v>3.0</v>
      </c>
      <c r="I637" s="11">
        <v>3.0</v>
      </c>
    </row>
    <row r="638">
      <c r="A638" s="10" t="s">
        <v>7035</v>
      </c>
      <c r="B638" s="49" t="str">
        <f t="shared" si="1"/>
        <v>Consumer Protection Act</v>
      </c>
      <c r="C638" s="49" t="str">
        <f t="shared" si="2"/>
        <v>Consumer Protection Act; Certain information as to ownership of junk required; register</v>
      </c>
      <c r="D638" s="49" t="str">
        <f t="shared" si="3"/>
        <v>50-620</v>
      </c>
      <c r="E638" s="11" t="s">
        <v>133</v>
      </c>
      <c r="F638" s="11">
        <v>3.0</v>
      </c>
      <c r="G638" s="11">
        <v>3.0</v>
      </c>
      <c r="H638" s="11">
        <v>3.0</v>
      </c>
      <c r="I638" s="11">
        <v>3.0</v>
      </c>
    </row>
    <row r="639">
      <c r="A639" s="10" t="s">
        <v>7036</v>
      </c>
      <c r="B639" s="49" t="str">
        <f t="shared" si="1"/>
        <v>Consumer Protection Act</v>
      </c>
      <c r="C639" s="49" t="str">
        <f t="shared" si="2"/>
        <v>Consumer Protection Act; Engaging in any deceptive act or practice in connection with a consumer transaction; deceptive acts and practices defined in subsection (b)</v>
      </c>
      <c r="D639" s="49" t="str">
        <f t="shared" si="3"/>
        <v>50-626(a)</v>
      </c>
      <c r="E639" s="11" t="s">
        <v>133</v>
      </c>
      <c r="F639" s="11">
        <v>3.0</v>
      </c>
      <c r="G639" s="11">
        <v>3.0</v>
      </c>
      <c r="H639" s="11">
        <v>3.0</v>
      </c>
      <c r="I639" s="11">
        <v>3.0</v>
      </c>
    </row>
    <row r="640">
      <c r="A640" s="10" t="s">
        <v>7037</v>
      </c>
      <c r="B640" s="49" t="str">
        <f t="shared" si="1"/>
        <v>Consumer Protection Act</v>
      </c>
      <c r="C640" s="49" t="str">
        <f t="shared" si="2"/>
        <v>Consumer Protection Act; engaging in door-to-door sales</v>
      </c>
      <c r="D640" s="49" t="str">
        <f t="shared" si="3"/>
        <v>21-6423</v>
      </c>
      <c r="E640" s="11" t="s">
        <v>133</v>
      </c>
      <c r="F640" s="11">
        <v>3.0</v>
      </c>
      <c r="G640" s="11">
        <v>3.0</v>
      </c>
      <c r="H640" s="11">
        <v>3.0</v>
      </c>
      <c r="I640" s="11">
        <v>3.0</v>
      </c>
    </row>
    <row r="641">
      <c r="A641" s="10" t="s">
        <v>7038</v>
      </c>
      <c r="B641" s="49" t="str">
        <f t="shared" si="1"/>
        <v>Consumer Protection Act</v>
      </c>
      <c r="C641" s="49" t="str">
        <f t="shared" si="2"/>
        <v>Consumer Protection Act; Junk dealer; purchasing items of junk without receiving information on ownership from seller; fail to file and maintain a record of ownership as required</v>
      </c>
      <c r="D641" s="49" t="str">
        <f t="shared" si="3"/>
        <v>50-621</v>
      </c>
      <c r="E641" s="11" t="s">
        <v>133</v>
      </c>
      <c r="F641" s="11">
        <v>3.0</v>
      </c>
      <c r="G641" s="11">
        <v>3.0</v>
      </c>
      <c r="H641" s="11">
        <v>3.0</v>
      </c>
      <c r="I641" s="11">
        <v>3.0</v>
      </c>
    </row>
    <row r="642">
      <c r="A642" s="10" t="s">
        <v>7039</v>
      </c>
      <c r="B642" s="49" t="str">
        <f t="shared" si="1"/>
        <v>Consumer Protection Act</v>
      </c>
      <c r="C642" s="49" t="str">
        <f t="shared" si="2"/>
        <v>Consumer Protection Act; Unconscionable acts and practices</v>
      </c>
      <c r="D642" s="49" t="str">
        <f t="shared" si="3"/>
        <v>50-627(a)</v>
      </c>
      <c r="E642" s="11" t="s">
        <v>133</v>
      </c>
      <c r="F642" s="11">
        <v>3.0</v>
      </c>
      <c r="G642" s="11">
        <v>3.0</v>
      </c>
      <c r="H642" s="11">
        <v>3.0</v>
      </c>
      <c r="I642" s="11">
        <v>3.0</v>
      </c>
    </row>
    <row r="643">
      <c r="A643" s="10" t="s">
        <v>7040</v>
      </c>
      <c r="B643" s="49" t="str">
        <f t="shared" si="1"/>
        <v>Contempt of Legislature</v>
      </c>
      <c r="C643" s="49" t="str">
        <f t="shared" si="2"/>
        <v>Contempt of Legislature; Appear as required by a subpoena but refuse to answer, under oath or affirmation, any question pertinent to the matter under inquiry</v>
      </c>
      <c r="D643" s="49" t="str">
        <f t="shared" si="3"/>
        <v>46-1014(a)(3)</v>
      </c>
      <c r="E643" s="11" t="s">
        <v>133</v>
      </c>
      <c r="F643" s="11">
        <v>3.0</v>
      </c>
      <c r="G643" s="11">
        <v>3.0</v>
      </c>
      <c r="H643" s="11">
        <v>3.0</v>
      </c>
      <c r="I643" s="11">
        <v>3.0</v>
      </c>
    </row>
    <row r="644">
      <c r="A644" s="10" t="s">
        <v>7041</v>
      </c>
      <c r="B644" s="49" t="str">
        <f t="shared" si="1"/>
        <v>Contempt of Legislature</v>
      </c>
      <c r="C644" s="49" t="str">
        <f t="shared" si="2"/>
        <v>Contempt of Legislature; Willfully fail to produce books, papers, documents or other records when required to do so</v>
      </c>
      <c r="D644" s="49" t="str">
        <f t="shared" si="3"/>
        <v>46-1014(a)(2)</v>
      </c>
      <c r="E644" s="11" t="s">
        <v>133</v>
      </c>
      <c r="F644" s="11">
        <v>3.0</v>
      </c>
      <c r="G644" s="11">
        <v>3.0</v>
      </c>
      <c r="H644" s="11">
        <v>3.0</v>
      </c>
      <c r="I644" s="11">
        <v>3.0</v>
      </c>
    </row>
    <row r="645">
      <c r="A645" s="10" t="s">
        <v>7042</v>
      </c>
      <c r="B645" s="49" t="str">
        <f t="shared" si="1"/>
        <v>Contempt of Legislature</v>
      </c>
      <c r="C645" s="49" t="str">
        <f t="shared" si="2"/>
        <v>Contempt of Legislature; Willfully make default when summoned as a witness by subpoena</v>
      </c>
      <c r="D645" s="49" t="str">
        <f t="shared" si="3"/>
        <v>46-1014(a)(1)</v>
      </c>
      <c r="E645" s="11" t="s">
        <v>133</v>
      </c>
      <c r="F645" s="11">
        <v>3.0</v>
      </c>
      <c r="G645" s="11">
        <v>3.0</v>
      </c>
      <c r="H645" s="11">
        <v>3.0</v>
      </c>
      <c r="I645" s="11">
        <v>3.0</v>
      </c>
    </row>
    <row r="646">
      <c r="A646" s="10" t="s">
        <v>7043</v>
      </c>
      <c r="B646" s="49" t="str">
        <f t="shared" si="1"/>
        <v>Contracts &amp; Promises</v>
      </c>
      <c r="C646" s="49" t="str">
        <f t="shared" si="2"/>
        <v>Contracts &amp; Promises; Penalty for any violation of act</v>
      </c>
      <c r="D646" s="49" t="str">
        <f t="shared" si="3"/>
        <v>16-114</v>
      </c>
      <c r="E646" s="11" t="s">
        <v>133</v>
      </c>
      <c r="F646" s="11">
        <v>3.0</v>
      </c>
      <c r="G646" s="11">
        <v>3.0</v>
      </c>
      <c r="H646" s="11">
        <v>3.0</v>
      </c>
      <c r="I646" s="11">
        <v>3.0</v>
      </c>
    </row>
    <row r="647">
      <c r="A647" s="10" t="s">
        <v>7044</v>
      </c>
      <c r="B647" s="49" t="str">
        <f t="shared" si="1"/>
        <v>Contributing to a Child's Misconduct</v>
      </c>
      <c r="C647" s="49" t="str">
        <f t="shared" si="2"/>
        <v>Contributing to a Child's Misconduct; Fail to reveal information concerning runaway child to law enforcement officer with intent to aid in avoid in detection or apprehension of runaway</v>
      </c>
      <c r="D647" s="49" t="str">
        <f t="shared" si="3"/>
        <v>21-5603(a)(3)</v>
      </c>
      <c r="E647" s="11" t="s">
        <v>133</v>
      </c>
      <c r="F647" s="11">
        <v>3.0</v>
      </c>
      <c r="G647" s="11">
        <v>3.0</v>
      </c>
      <c r="H647" s="11">
        <v>3.0</v>
      </c>
      <c r="I647" s="11">
        <v>3.0</v>
      </c>
    </row>
    <row r="648">
      <c r="A648" s="10" t="s">
        <v>7045</v>
      </c>
      <c r="B648" s="49" t="str">
        <f t="shared" si="1"/>
        <v>Contributing to a Child's Misconduct</v>
      </c>
      <c r="C648" s="49" t="str">
        <f t="shared" si="2"/>
        <v>Contributing to a Child's Misconduct; Knowingly cause or encourage child under 18 to commit felony</v>
      </c>
      <c r="D648" s="49" t="str">
        <f t="shared" si="3"/>
        <v>21-5603(a)(5)</v>
      </c>
      <c r="E648" s="11" t="s">
        <v>133</v>
      </c>
      <c r="F648" s="11">
        <v>3.0</v>
      </c>
      <c r="G648" s="11">
        <v>3.0</v>
      </c>
      <c r="H648" s="11">
        <v>3.0</v>
      </c>
      <c r="I648" s="11">
        <v>3.0</v>
      </c>
    </row>
    <row r="649">
      <c r="A649" s="10" t="s">
        <v>7046</v>
      </c>
      <c r="B649" s="49" t="str">
        <f t="shared" si="1"/>
        <v>Contributing to a Child's Misconduct</v>
      </c>
      <c r="C649" s="49" t="str">
        <f t="shared" si="2"/>
        <v>Contributing to a Child's Misconduct; Knowingly cause or encourage probation violation</v>
      </c>
      <c r="D649" s="49" t="str">
        <f t="shared" si="3"/>
        <v>21-5603(a)(6)</v>
      </c>
      <c r="E649" s="11" t="s">
        <v>133</v>
      </c>
      <c r="F649" s="11">
        <v>3.0</v>
      </c>
      <c r="G649" s="11">
        <v>3.0</v>
      </c>
      <c r="H649" s="11">
        <v>3.0</v>
      </c>
      <c r="I649" s="11">
        <v>3.0</v>
      </c>
    </row>
    <row r="650">
      <c r="A650" s="10" t="s">
        <v>7047</v>
      </c>
      <c r="B650" s="49" t="str">
        <f t="shared" si="1"/>
        <v>Contributing to a Child's Misconduct</v>
      </c>
      <c r="C650" s="49" t="str">
        <f t="shared" si="2"/>
        <v>Contributing to a Child's Misconduct; Knowingly cause, encourage child under 18 to commit traffic infraction or misdemeanor or violate K.S.A. 41-727 or K.S.A. 74-8810(j)</v>
      </c>
      <c r="D650" s="49" t="str">
        <f t="shared" si="3"/>
        <v>21-5603(a)(2)</v>
      </c>
      <c r="E650" s="11" t="s">
        <v>133</v>
      </c>
      <c r="F650" s="11">
        <v>3.0</v>
      </c>
      <c r="G650" s="11">
        <v>3.0</v>
      </c>
      <c r="H650" s="11">
        <v>3.0</v>
      </c>
      <c r="I650" s="11">
        <v>3.0</v>
      </c>
    </row>
    <row r="651">
      <c r="A651" s="10" t="s">
        <v>7048</v>
      </c>
      <c r="B651" s="49" t="str">
        <f t="shared" si="1"/>
        <v>Contributing to a Child's Misconduct</v>
      </c>
      <c r="C651" s="49" t="str">
        <f t="shared" si="2"/>
        <v>Contributing to a Child's Misconduct; Knowingly cause, encourage child under 18 to remain or become CINC</v>
      </c>
      <c r="D651" s="49" t="str">
        <f t="shared" si="3"/>
        <v>21-5603(a)(1)</v>
      </c>
      <c r="E651" s="11" t="s">
        <v>133</v>
      </c>
      <c r="F651" s="11">
        <v>3.0</v>
      </c>
      <c r="G651" s="11">
        <v>3.0</v>
      </c>
      <c r="H651" s="11">
        <v>3.0</v>
      </c>
      <c r="I651" s="11">
        <v>3.0</v>
      </c>
    </row>
    <row r="652">
      <c r="A652" s="10" t="s">
        <v>7049</v>
      </c>
      <c r="B652" s="49" t="str">
        <f t="shared" si="1"/>
        <v>Contributing to a Child's Misconduct</v>
      </c>
      <c r="C652" s="49" t="str">
        <f t="shared" si="2"/>
        <v>Contributing to a Child's Misconduct; Sheltering or concealing a runaway child</v>
      </c>
      <c r="D652" s="49" t="str">
        <f t="shared" si="3"/>
        <v>21-5603(a)(4)</v>
      </c>
      <c r="E652" s="11" t="s">
        <v>133</v>
      </c>
      <c r="F652" s="11">
        <v>3.0</v>
      </c>
      <c r="G652" s="11">
        <v>3.0</v>
      </c>
      <c r="H652" s="11">
        <v>3.0</v>
      </c>
      <c r="I652" s="11">
        <v>3.0</v>
      </c>
    </row>
    <row r="653">
      <c r="A653" s="10" t="s">
        <v>7050</v>
      </c>
      <c r="B653" s="49" t="str">
        <f t="shared" si="1"/>
        <v>Corporations</v>
      </c>
      <c r="C653" s="49" t="str">
        <f t="shared" si="2"/>
        <v>Corporations; Fail or neglect to keep station open or deliver messages as required</v>
      </c>
      <c r="D653" s="49" t="str">
        <f t="shared" si="3"/>
        <v>17-1913</v>
      </c>
      <c r="E653" s="11" t="s">
        <v>133</v>
      </c>
      <c r="F653" s="11">
        <v>3.0</v>
      </c>
      <c r="G653" s="11">
        <v>3.0</v>
      </c>
      <c r="H653" s="11">
        <v>3.0</v>
      </c>
      <c r="I653" s="11">
        <v>3.0</v>
      </c>
    </row>
    <row r="654">
      <c r="A654" s="10" t="s">
        <v>7051</v>
      </c>
      <c r="B654" s="49" t="str">
        <f t="shared" si="1"/>
        <v>Corporations</v>
      </c>
      <c r="C654" s="49" t="str">
        <f t="shared" si="2"/>
        <v>Corporations; Intentional / willful injury to telegraph, telephone or power line property</v>
      </c>
      <c r="D654" s="49" t="str">
        <f t="shared" si="3"/>
        <v>17-1907</v>
      </c>
      <c r="E654" s="11" t="s">
        <v>133</v>
      </c>
      <c r="F654" s="11">
        <v>3.0</v>
      </c>
      <c r="G654" s="11">
        <v>3.0</v>
      </c>
      <c r="H654" s="11">
        <v>3.0</v>
      </c>
      <c r="I654" s="11">
        <v>3.0</v>
      </c>
    </row>
    <row r="655">
      <c r="A655" s="10" t="s">
        <v>7052</v>
      </c>
      <c r="B655" s="49" t="str">
        <f t="shared" si="1"/>
        <v>Corporations</v>
      </c>
      <c r="C655" s="49" t="str">
        <f t="shared" si="2"/>
        <v>Corporations; Intentional / willful interference with lines</v>
      </c>
      <c r="D655" s="49" t="str">
        <f t="shared" si="3"/>
        <v>17-1908</v>
      </c>
      <c r="E655" s="11" t="s">
        <v>133</v>
      </c>
      <c r="F655" s="11">
        <v>3.0</v>
      </c>
      <c r="G655" s="11">
        <v>3.0</v>
      </c>
      <c r="H655" s="11">
        <v>3.0</v>
      </c>
      <c r="I655" s="11">
        <v>3.0</v>
      </c>
    </row>
    <row r="656">
      <c r="A656" s="10" t="s">
        <v>7053</v>
      </c>
      <c r="B656" s="49" t="str">
        <f t="shared" si="1"/>
        <v>Corporations</v>
      </c>
      <c r="C656" s="49" t="str">
        <f t="shared" si="2"/>
        <v>Corporations; Unlawful for mover to move or interfere with lines or facilities</v>
      </c>
      <c r="D656" s="49" t="str">
        <f t="shared" si="3"/>
        <v>17-1918</v>
      </c>
      <c r="E656" s="11" t="s">
        <v>133</v>
      </c>
      <c r="F656" s="11">
        <v>3.0</v>
      </c>
      <c r="G656" s="11">
        <v>3.0</v>
      </c>
      <c r="H656" s="11">
        <v>3.0</v>
      </c>
      <c r="I656" s="11">
        <v>3.0</v>
      </c>
    </row>
    <row r="657">
      <c r="A657" s="10" t="s">
        <v>7054</v>
      </c>
      <c r="B657" s="49" t="str">
        <f t="shared" si="1"/>
        <v>Cosmetology</v>
      </c>
      <c r="C657" s="49" t="str">
        <f t="shared" si="2"/>
        <v>Cosmetology; Alter materially a license with fraudulent intent</v>
      </c>
      <c r="D657" s="49" t="str">
        <f t="shared" si="3"/>
        <v>65-1942(a)(3)</v>
      </c>
      <c r="E657" s="11" t="s">
        <v>133</v>
      </c>
      <c r="F657" s="11">
        <v>3.0</v>
      </c>
      <c r="G657" s="11">
        <v>3.0</v>
      </c>
      <c r="H657" s="11">
        <v>3.0</v>
      </c>
      <c r="I657" s="11">
        <v>3.0</v>
      </c>
    </row>
    <row r="658">
      <c r="A658" s="10" t="s">
        <v>7055</v>
      </c>
      <c r="B658" s="49" t="str">
        <f t="shared" si="1"/>
        <v>Cosmetology</v>
      </c>
      <c r="C658" s="49" t="str">
        <f t="shared" si="2"/>
        <v>Cosmetology; Conduct a school for teaching cosmetology without holding a valid license to conduct the school</v>
      </c>
      <c r="D658" s="49" t="str">
        <f t="shared" si="3"/>
        <v>65-1902(a)(2)</v>
      </c>
      <c r="E658" s="11" t="s">
        <v>133</v>
      </c>
      <c r="F658" s="11">
        <v>3.0</v>
      </c>
      <c r="G658" s="11">
        <v>3.0</v>
      </c>
      <c r="H658" s="11">
        <v>3.0</v>
      </c>
      <c r="I658" s="11">
        <v>3.0</v>
      </c>
    </row>
    <row r="659">
      <c r="A659" s="10" t="s">
        <v>7056</v>
      </c>
      <c r="B659" s="49" t="str">
        <f t="shared" si="1"/>
        <v>Cosmetology</v>
      </c>
      <c r="C659" s="49" t="str">
        <f t="shared" si="2"/>
        <v>Cosmetology; Conduct a school for teaching electrology without holding a valid license to conduct the school</v>
      </c>
      <c r="D659" s="49" t="str">
        <f t="shared" si="3"/>
        <v>65-1902(a)(6)</v>
      </c>
      <c r="E659" s="11" t="s">
        <v>133</v>
      </c>
      <c r="F659" s="11">
        <v>3.0</v>
      </c>
      <c r="G659" s="11">
        <v>3.0</v>
      </c>
      <c r="H659" s="11">
        <v>3.0</v>
      </c>
      <c r="I659" s="11">
        <v>3.0</v>
      </c>
    </row>
    <row r="660">
      <c r="A660" s="10" t="s">
        <v>7057</v>
      </c>
      <c r="B660" s="49" t="str">
        <f t="shared" si="1"/>
        <v>Cosmetology</v>
      </c>
      <c r="C660" s="49" t="str">
        <f t="shared" si="2"/>
        <v>Cosmetology; Conduct a school for teaching esthetics without holding a valid license to conduct the school</v>
      </c>
      <c r="D660" s="49" t="str">
        <f t="shared" si="3"/>
        <v>65-1902(a)(8)</v>
      </c>
      <c r="E660" s="11" t="s">
        <v>133</v>
      </c>
      <c r="F660" s="11">
        <v>3.0</v>
      </c>
      <c r="G660" s="11">
        <v>3.0</v>
      </c>
      <c r="H660" s="11">
        <v>3.0</v>
      </c>
      <c r="I660" s="11">
        <v>3.0</v>
      </c>
    </row>
    <row r="661">
      <c r="A661" s="10" t="s">
        <v>7058</v>
      </c>
      <c r="B661" s="49" t="str">
        <f t="shared" si="1"/>
        <v>Cosmetology</v>
      </c>
      <c r="C661" s="49" t="str">
        <f t="shared" si="2"/>
        <v>Cosmetology; Conduct a school for teaching nail technology without holding a valid license to conduct the school</v>
      </c>
      <c r="D661" s="49" t="str">
        <f t="shared" si="3"/>
        <v>65-1902(a)(4)</v>
      </c>
      <c r="E661" s="11" t="s">
        <v>133</v>
      </c>
      <c r="F661" s="11">
        <v>3.0</v>
      </c>
      <c r="G661" s="11">
        <v>3.0</v>
      </c>
      <c r="H661" s="11">
        <v>3.0</v>
      </c>
      <c r="I661" s="11">
        <v>3.0</v>
      </c>
    </row>
    <row r="662">
      <c r="A662" s="10" t="s">
        <v>7059</v>
      </c>
      <c r="B662" s="49" t="str">
        <f t="shared" si="1"/>
        <v>Cosmetology</v>
      </c>
      <c r="C662" s="49" t="str">
        <f t="shared" si="2"/>
        <v>Cosmetology; Employing an individual to engage in any activity requiring a license pursuant to K.S.A. 65-1902, without a such individual holding a currently valid license</v>
      </c>
      <c r="D662" s="49" t="str">
        <f t="shared" si="3"/>
        <v>65-1909(a)(1)</v>
      </c>
      <c r="E662" s="11" t="s">
        <v>133</v>
      </c>
      <c r="F662" s="11">
        <v>3.0</v>
      </c>
      <c r="G662" s="11">
        <v>3.0</v>
      </c>
      <c r="H662" s="11">
        <v>3.0</v>
      </c>
      <c r="I662" s="11">
        <v>3.0</v>
      </c>
    </row>
    <row r="663">
      <c r="A663" s="10" t="s">
        <v>7060</v>
      </c>
      <c r="B663" s="49" t="str">
        <f t="shared" si="1"/>
        <v>Cosmetology</v>
      </c>
      <c r="C663" s="49" t="str">
        <f t="shared" si="2"/>
        <v>Cosmetology; Fail or refuse to comply with rules and regulations prescribed by the board or applicable sanitation standards adopted by the secretary of health and environment pursuant to K.S.A. 65-1,148</v>
      </c>
      <c r="D663" s="49" t="str">
        <f t="shared" si="3"/>
        <v>65-1909(a)(3)</v>
      </c>
      <c r="E663" s="11" t="s">
        <v>133</v>
      </c>
      <c r="F663" s="11">
        <v>3.0</v>
      </c>
      <c r="G663" s="11">
        <v>3.0</v>
      </c>
      <c r="H663" s="11">
        <v>3.0</v>
      </c>
      <c r="I663" s="11">
        <v>3.0</v>
      </c>
    </row>
    <row r="664">
      <c r="A664" s="10" t="s">
        <v>7061</v>
      </c>
      <c r="B664" s="49" t="str">
        <f t="shared" si="1"/>
        <v>Cosmetology</v>
      </c>
      <c r="C664" s="49" t="str">
        <f t="shared" si="2"/>
        <v>Cosmetology; Own or operate a school, salon or clinic where cosmetology, esthetics, nail technology or electrology is taught or practiced without holding a valid license</v>
      </c>
      <c r="D664" s="49" t="str">
        <f t="shared" si="3"/>
        <v>65-1902(a)(10)</v>
      </c>
      <c r="E664" s="11" t="s">
        <v>133</v>
      </c>
      <c r="F664" s="11">
        <v>3.0</v>
      </c>
      <c r="G664" s="11">
        <v>3.0</v>
      </c>
      <c r="H664" s="11">
        <v>3.0</v>
      </c>
      <c r="I664" s="11">
        <v>3.0</v>
      </c>
    </row>
    <row r="665">
      <c r="A665" s="10" t="s">
        <v>7062</v>
      </c>
      <c r="B665" s="49" t="str">
        <f t="shared" si="1"/>
        <v>Cosmetology</v>
      </c>
      <c r="C665" s="49" t="str">
        <f t="shared" si="2"/>
        <v>Cosmetology; Practice cosmetology, esthetics, nail technology or electrology without a valid license for such practice</v>
      </c>
      <c r="D665" s="49" t="str">
        <f t="shared" si="3"/>
        <v>65-1902(a)(1)</v>
      </c>
      <c r="E665" s="11" t="s">
        <v>133</v>
      </c>
      <c r="F665" s="11">
        <v>3.0</v>
      </c>
      <c r="G665" s="11">
        <v>3.0</v>
      </c>
      <c r="H665" s="11">
        <v>3.0</v>
      </c>
      <c r="I665" s="11">
        <v>3.0</v>
      </c>
    </row>
    <row r="666">
      <c r="A666" s="10" t="s">
        <v>7063</v>
      </c>
      <c r="B666" s="49" t="str">
        <f t="shared" si="1"/>
        <v>Cosmetology</v>
      </c>
      <c r="C666" s="49" t="str">
        <f t="shared" si="2"/>
        <v>Cosmetology; Produce indelible mark using scalpel, hot iron, or any instrument other than a needle</v>
      </c>
      <c r="D666" s="49" t="str">
        <f t="shared" si="3"/>
        <v>65-1942(c)</v>
      </c>
      <c r="E666" s="11" t="s">
        <v>133</v>
      </c>
      <c r="F666" s="11">
        <v>3.0</v>
      </c>
      <c r="G666" s="11">
        <v>3.0</v>
      </c>
      <c r="H666" s="11">
        <v>3.0</v>
      </c>
      <c r="I666" s="11">
        <v>3.0</v>
      </c>
    </row>
    <row r="667">
      <c r="A667" s="10" t="s">
        <v>7064</v>
      </c>
      <c r="B667" s="49" t="str">
        <f t="shared" si="1"/>
        <v>Cosmetology</v>
      </c>
      <c r="C667" s="49" t="str">
        <f t="shared" si="2"/>
        <v>Cosmetology; Purchase or procure by barter a license with intent to use it as evidence of the person's qualification to practice tattooing or body piercing</v>
      </c>
      <c r="D667" s="49" t="str">
        <f t="shared" si="3"/>
        <v>65-1942(a)(2)</v>
      </c>
      <c r="E667" s="11" t="s">
        <v>133</v>
      </c>
      <c r="F667" s="11">
        <v>3.0</v>
      </c>
      <c r="G667" s="11">
        <v>3.0</v>
      </c>
      <c r="H667" s="11">
        <v>3.0</v>
      </c>
      <c r="I667" s="11">
        <v>3.0</v>
      </c>
    </row>
    <row r="668">
      <c r="A668" s="10" t="s">
        <v>7065</v>
      </c>
      <c r="B668" s="49" t="str">
        <f t="shared" si="1"/>
        <v>Cosmetology</v>
      </c>
      <c r="C668" s="49" t="str">
        <f t="shared" si="2"/>
        <v>Cosmetology; Sell, barter, offer to sell or barter a license</v>
      </c>
      <c r="D668" s="49" t="str">
        <f t="shared" si="3"/>
        <v>65-1942(a)(1)</v>
      </c>
      <c r="E668" s="11" t="s">
        <v>133</v>
      </c>
      <c r="F668" s="11">
        <v>3.0</v>
      </c>
      <c r="G668" s="11">
        <v>3.0</v>
      </c>
      <c r="H668" s="11">
        <v>3.0</v>
      </c>
      <c r="I668" s="11">
        <v>3.0</v>
      </c>
    </row>
    <row r="669">
      <c r="A669" s="10" t="s">
        <v>7066</v>
      </c>
      <c r="B669" s="49" t="str">
        <f t="shared" si="1"/>
        <v>Cosmetology</v>
      </c>
      <c r="C669" s="49" t="str">
        <f t="shared" si="2"/>
        <v>Cosmetology; Tanning facility license required</v>
      </c>
      <c r="D669" s="49" t="str">
        <f t="shared" si="3"/>
        <v>65-1926(a)</v>
      </c>
      <c r="E669" s="11" t="s">
        <v>133</v>
      </c>
      <c r="F669" s="11">
        <v>3.0</v>
      </c>
      <c r="G669" s="11">
        <v>3.0</v>
      </c>
      <c r="H669" s="11">
        <v>3.0</v>
      </c>
      <c r="I669" s="11">
        <v>3.0</v>
      </c>
    </row>
    <row r="670">
      <c r="A670" s="10" t="s">
        <v>7067</v>
      </c>
      <c r="B670" s="49" t="str">
        <f t="shared" si="1"/>
        <v>Cosmetology</v>
      </c>
      <c r="C670" s="49" t="str">
        <f t="shared" si="2"/>
        <v>Cosmetology; Tattooing or body piercing of persons under 18 without parental consent</v>
      </c>
      <c r="D670" s="49" t="str">
        <f t="shared" si="3"/>
        <v>65-1953</v>
      </c>
      <c r="E670" s="11" t="s">
        <v>133</v>
      </c>
      <c r="F670" s="11">
        <v>3.0</v>
      </c>
      <c r="G670" s="11">
        <v>3.0</v>
      </c>
      <c r="H670" s="11">
        <v>3.0</v>
      </c>
      <c r="I670" s="11">
        <v>3.0</v>
      </c>
    </row>
    <row r="671">
      <c r="A671" s="10" t="s">
        <v>7068</v>
      </c>
      <c r="B671" s="49" t="str">
        <f t="shared" si="1"/>
        <v>Cosmetology</v>
      </c>
      <c r="C671" s="49" t="str">
        <f t="shared" si="2"/>
        <v>Cosmetology; Tattooing or body piercing without license; purporting to be a technician without a license</v>
      </c>
      <c r="D671" s="49" t="str">
        <f t="shared" si="3"/>
        <v>65-1941(a)</v>
      </c>
      <c r="E671" s="11" t="s">
        <v>133</v>
      </c>
      <c r="F671" s="11">
        <v>3.0</v>
      </c>
      <c r="G671" s="11">
        <v>3.0</v>
      </c>
      <c r="H671" s="11">
        <v>3.0</v>
      </c>
      <c r="I671" s="11">
        <v>3.0</v>
      </c>
    </row>
    <row r="672">
      <c r="A672" s="10" t="s">
        <v>7069</v>
      </c>
      <c r="B672" s="49" t="str">
        <f t="shared" si="1"/>
        <v>Cosmetology</v>
      </c>
      <c r="C672" s="49" t="str">
        <f t="shared" si="2"/>
        <v>Cosmetology; Teach cosmetology in a licensed school without holding a valid cosmetology instructor's license</v>
      </c>
      <c r="D672" s="49" t="str">
        <f t="shared" si="3"/>
        <v>65-1902(a)(3)</v>
      </c>
      <c r="E672" s="11" t="s">
        <v>133</v>
      </c>
      <c r="F672" s="11">
        <v>3.0</v>
      </c>
      <c r="G672" s="11">
        <v>3.0</v>
      </c>
      <c r="H672" s="11">
        <v>3.0</v>
      </c>
      <c r="I672" s="11">
        <v>3.0</v>
      </c>
    </row>
    <row r="673">
      <c r="A673" s="10" t="s">
        <v>7070</v>
      </c>
      <c r="B673" s="49" t="str">
        <f t="shared" si="1"/>
        <v>Cosmetology</v>
      </c>
      <c r="C673" s="49" t="str">
        <f t="shared" si="2"/>
        <v>Cosmetology; Teach electrology in a licensed school or clinic without holding a valid electrology instructor's license</v>
      </c>
      <c r="D673" s="49" t="str">
        <f t="shared" si="3"/>
        <v>65-1902(a)(7)</v>
      </c>
      <c r="E673" s="11" t="s">
        <v>133</v>
      </c>
      <c r="F673" s="11">
        <v>3.0</v>
      </c>
      <c r="G673" s="11">
        <v>3.0</v>
      </c>
      <c r="H673" s="11">
        <v>3.0</v>
      </c>
      <c r="I673" s="11">
        <v>3.0</v>
      </c>
    </row>
    <row r="674">
      <c r="A674" s="10" t="s">
        <v>7071</v>
      </c>
      <c r="B674" s="49" t="str">
        <f t="shared" si="1"/>
        <v>Cosmetology</v>
      </c>
      <c r="C674" s="49" t="str">
        <f t="shared" si="2"/>
        <v>Cosmetology; Teach esthetics in a licensed school without holding a valid cosmetology or esthetics instructor's license</v>
      </c>
      <c r="D674" s="49" t="str">
        <f t="shared" si="3"/>
        <v>65-1902(a)(9)</v>
      </c>
      <c r="E674" s="11" t="s">
        <v>133</v>
      </c>
      <c r="F674" s="11">
        <v>3.0</v>
      </c>
      <c r="G674" s="11">
        <v>3.0</v>
      </c>
      <c r="H674" s="11">
        <v>3.0</v>
      </c>
      <c r="I674" s="11">
        <v>3.0</v>
      </c>
    </row>
    <row r="675">
      <c r="A675" s="10" t="s">
        <v>7072</v>
      </c>
      <c r="B675" s="49" t="str">
        <f t="shared" si="1"/>
        <v>Cosmetology</v>
      </c>
      <c r="C675" s="49" t="str">
        <f t="shared" si="2"/>
        <v>Cosmetology; Teach nail technology in a licensed school without holding a valid cosmetology or manicuring instructor's license</v>
      </c>
      <c r="D675" s="49" t="str">
        <f t="shared" si="3"/>
        <v>65-1902(a)(5)</v>
      </c>
      <c r="E675" s="11" t="s">
        <v>133</v>
      </c>
      <c r="F675" s="11">
        <v>3.0</v>
      </c>
      <c r="G675" s="11">
        <v>3.0</v>
      </c>
      <c r="H675" s="11">
        <v>3.0</v>
      </c>
      <c r="I675" s="11">
        <v>3.0</v>
      </c>
    </row>
    <row r="676">
      <c r="A676" s="10" t="s">
        <v>7073</v>
      </c>
      <c r="B676" s="49" t="str">
        <f t="shared" si="1"/>
        <v>Cosmetology</v>
      </c>
      <c r="C676" s="49" t="str">
        <f t="shared" si="2"/>
        <v>Cosmetology; Teaching or practicing cosmetology, esthetics, nail technology or electrology in a school, salon or clinic where the owner or operator of the school, salon or clinic does not hold a valid school, salon or clinic license</v>
      </c>
      <c r="D676" s="49" t="str">
        <f t="shared" si="3"/>
        <v>65-1902(a)(11)</v>
      </c>
      <c r="E676" s="11" t="s">
        <v>133</v>
      </c>
      <c r="F676" s="11">
        <v>3.0</v>
      </c>
      <c r="G676" s="11">
        <v>3.0</v>
      </c>
      <c r="H676" s="11">
        <v>3.0</v>
      </c>
      <c r="I676" s="11">
        <v>3.0</v>
      </c>
    </row>
    <row r="677">
      <c r="A677" s="10" t="s">
        <v>7074</v>
      </c>
      <c r="B677" s="49" t="str">
        <f t="shared" si="1"/>
        <v>Cosmetology</v>
      </c>
      <c r="C677" s="49" t="str">
        <f t="shared" si="2"/>
        <v>Cosmetology; Use or attempt to use as a valid license a license which has been purchased, fraudulently obtained, counterfeited or materially altered</v>
      </c>
      <c r="D677" s="49" t="str">
        <f t="shared" si="3"/>
        <v>65-1942(a)(4)</v>
      </c>
      <c r="E677" s="11" t="s">
        <v>133</v>
      </c>
      <c r="F677" s="11">
        <v>3.0</v>
      </c>
      <c r="G677" s="11">
        <v>3.0</v>
      </c>
      <c r="H677" s="11">
        <v>3.0</v>
      </c>
      <c r="I677" s="11">
        <v>3.0</v>
      </c>
    </row>
    <row r="678">
      <c r="A678" s="10" t="s">
        <v>7075</v>
      </c>
      <c r="B678" s="49" t="str">
        <f t="shared" si="1"/>
        <v>Cosmetology</v>
      </c>
      <c r="C678" s="49" t="str">
        <f t="shared" si="2"/>
        <v>Cosmetology; Violate any of the provisions of article 19 of chapter 65 of Kansas Statutes Annotated</v>
      </c>
      <c r="D678" s="49" t="str">
        <f t="shared" si="3"/>
        <v>65-1909(a)(4)</v>
      </c>
      <c r="E678" s="11" t="s">
        <v>133</v>
      </c>
      <c r="F678" s="11">
        <v>3.0</v>
      </c>
      <c r="G678" s="11">
        <v>3.0</v>
      </c>
      <c r="H678" s="11">
        <v>3.0</v>
      </c>
      <c r="I678" s="11">
        <v>3.0</v>
      </c>
    </row>
    <row r="679">
      <c r="A679" s="10" t="s">
        <v>7076</v>
      </c>
      <c r="B679" s="49" t="str">
        <f t="shared" si="1"/>
        <v>Cosmetology</v>
      </c>
      <c r="C679" s="49" t="str">
        <f t="shared" si="2"/>
        <v>Cosmetology; Violation of any order or ruling of the state board of cosmetology</v>
      </c>
      <c r="D679" s="49" t="str">
        <f t="shared" si="3"/>
        <v>65-1909(a)(2)</v>
      </c>
      <c r="E679" s="11" t="s">
        <v>133</v>
      </c>
      <c r="F679" s="11">
        <v>3.0</v>
      </c>
      <c r="G679" s="11">
        <v>3.0</v>
      </c>
      <c r="H679" s="11">
        <v>3.0</v>
      </c>
      <c r="I679" s="11">
        <v>3.0</v>
      </c>
    </row>
    <row r="680">
      <c r="A680" s="10" t="s">
        <v>7077</v>
      </c>
      <c r="B680" s="49" t="str">
        <f t="shared" si="1"/>
        <v>Cosmetology</v>
      </c>
      <c r="C680" s="49" t="str">
        <f t="shared" si="2"/>
        <v>Cosmetology; Willfully make a false, material statement in an application for licensure or for renewal of a license</v>
      </c>
      <c r="D680" s="49" t="str">
        <f t="shared" si="3"/>
        <v>65-1942(a)(5)</v>
      </c>
      <c r="E680" s="11" t="s">
        <v>133</v>
      </c>
      <c r="F680" s="11">
        <v>3.0</v>
      </c>
      <c r="G680" s="11">
        <v>3.0</v>
      </c>
      <c r="H680" s="11">
        <v>3.0</v>
      </c>
      <c r="I680" s="11">
        <v>3.0</v>
      </c>
    </row>
    <row r="681">
      <c r="A681" s="10" t="s">
        <v>7078</v>
      </c>
      <c r="B681" s="49" t="str">
        <f t="shared" si="1"/>
        <v>Counterfeiting</v>
      </c>
      <c r="C681" s="49" t="str">
        <f t="shared" si="2"/>
        <v>Counterfeiting; Retail value $25,000 or more; 1,000 or more items bearing marks; or 3rd or subs. violation</v>
      </c>
      <c r="D681" s="49" t="str">
        <f t="shared" si="3"/>
        <v>21-5825(a)</v>
      </c>
      <c r="E681" s="11" t="s">
        <v>133</v>
      </c>
      <c r="F681" s="11">
        <v>3.0</v>
      </c>
      <c r="G681" s="11">
        <v>3.0</v>
      </c>
      <c r="H681" s="11">
        <v>3.0</v>
      </c>
      <c r="I681" s="11">
        <v>3.0</v>
      </c>
    </row>
    <row r="682">
      <c r="A682" s="10" t="s">
        <v>7079</v>
      </c>
      <c r="B682" s="49" t="str">
        <f t="shared" si="1"/>
        <v>Counterfeiting</v>
      </c>
      <c r="C682" s="49" t="str">
        <f t="shared" si="2"/>
        <v>Counterfeiting; Retail value at least $1000 but less than $25,000; more than 100 but less than 1,000 items bearing marks; or 2nd violation</v>
      </c>
      <c r="D682" s="49" t="str">
        <f t="shared" si="3"/>
        <v>21-5825(a)</v>
      </c>
      <c r="E682" s="11" t="s">
        <v>133</v>
      </c>
      <c r="F682" s="11">
        <v>3.0</v>
      </c>
      <c r="G682" s="11">
        <v>3.0</v>
      </c>
      <c r="H682" s="11">
        <v>3.0</v>
      </c>
      <c r="I682" s="11">
        <v>3.0</v>
      </c>
    </row>
    <row r="683">
      <c r="A683" s="10" t="s">
        <v>7080</v>
      </c>
      <c r="B683" s="49" t="str">
        <f t="shared" si="1"/>
        <v>Counterfeiting</v>
      </c>
      <c r="C683" s="49" t="str">
        <f t="shared" si="2"/>
        <v>Counterfeiting; Retail value less than $1000</v>
      </c>
      <c r="D683" s="49" t="str">
        <f t="shared" si="3"/>
        <v>21-5825(a)</v>
      </c>
      <c r="E683" s="11" t="s">
        <v>133</v>
      </c>
      <c r="F683" s="11">
        <v>3.0</v>
      </c>
      <c r="G683" s="11">
        <v>3.0</v>
      </c>
      <c r="H683" s="11">
        <v>3.0</v>
      </c>
      <c r="I683" s="11">
        <v>3.0</v>
      </c>
    </row>
    <row r="684">
      <c r="A684" s="10" t="s">
        <v>7081</v>
      </c>
      <c r="B684" s="49" t="str">
        <f t="shared" si="1"/>
        <v>Counties &amp; County Officers</v>
      </c>
      <c r="C684" s="49" t="str">
        <f t="shared" si="2"/>
        <v>Counties &amp; County Officers; Water Supply &amp; Distribution Districts; fraudulent claims $1000 but &lt; $25,000</v>
      </c>
      <c r="D684" s="49" t="str">
        <f t="shared" si="3"/>
        <v>19-3519(b)(2)</v>
      </c>
      <c r="E684" s="11" t="s">
        <v>133</v>
      </c>
      <c r="F684" s="11">
        <v>3.0</v>
      </c>
      <c r="G684" s="11">
        <v>3.0</v>
      </c>
      <c r="H684" s="11">
        <v>3.0</v>
      </c>
      <c r="I684" s="11">
        <v>3.0</v>
      </c>
    </row>
    <row r="685">
      <c r="A685" s="10" t="s">
        <v>7082</v>
      </c>
      <c r="B685" s="49" t="str">
        <f t="shared" si="1"/>
        <v>Counties &amp; County Officers</v>
      </c>
      <c r="C685" s="49" t="str">
        <f t="shared" si="2"/>
        <v>Counties &amp; County Officers; Water Supply &amp; Distribution Districts; fraudulent claims $25,000 or more</v>
      </c>
      <c r="D685" s="49" t="str">
        <f t="shared" si="3"/>
        <v>19-3519(b)(3)</v>
      </c>
      <c r="E685" s="11" t="s">
        <v>133</v>
      </c>
      <c r="F685" s="11">
        <v>3.0</v>
      </c>
      <c r="G685" s="11">
        <v>3.0</v>
      </c>
      <c r="H685" s="11">
        <v>3.0</v>
      </c>
      <c r="I685" s="11">
        <v>3.0</v>
      </c>
    </row>
    <row r="686">
      <c r="A686" s="10" t="s">
        <v>7083</v>
      </c>
      <c r="B686" s="49" t="str">
        <f t="shared" si="1"/>
        <v>Counties/County Clerks</v>
      </c>
      <c r="C686" s="49" t="str">
        <f t="shared" si="2"/>
        <v>Counties/County Clerks; Failure or refusal to file Biennial list of county officers, their signatures and imprint of seals with secretary of state</v>
      </c>
      <c r="D686" s="49" t="str">
        <f t="shared" si="3"/>
        <v>19-323</v>
      </c>
      <c r="E686" s="11" t="s">
        <v>133</v>
      </c>
      <c r="F686" s="11">
        <v>3.0</v>
      </c>
      <c r="G686" s="11">
        <v>3.0</v>
      </c>
      <c r="H686" s="11">
        <v>3.0</v>
      </c>
      <c r="I686" s="11">
        <v>3.0</v>
      </c>
    </row>
    <row r="687">
      <c r="A687" s="10" t="s">
        <v>7084</v>
      </c>
      <c r="B687" s="49" t="str">
        <f t="shared" si="1"/>
        <v>Counties/County Commissioners</v>
      </c>
      <c r="C687" s="49" t="str">
        <f t="shared" si="2"/>
        <v>Counties/County Commissioners; County charges and expenses; tax levy, use of proceeds</v>
      </c>
      <c r="D687" s="49" t="str">
        <f t="shared" si="3"/>
        <v>19-241</v>
      </c>
      <c r="E687" s="11" t="s">
        <v>133</v>
      </c>
      <c r="F687" s="11">
        <v>3.0</v>
      </c>
      <c r="G687" s="11">
        <v>3.0</v>
      </c>
      <c r="H687" s="11">
        <v>3.0</v>
      </c>
      <c r="I687" s="11">
        <v>3.0</v>
      </c>
    </row>
    <row r="688">
      <c r="A688" s="10" t="s">
        <v>7085</v>
      </c>
      <c r="B688" s="49" t="str">
        <f t="shared" si="1"/>
        <v>Counties/County Commissioners</v>
      </c>
      <c r="C688" s="49" t="str">
        <f t="shared" si="2"/>
        <v>Counties/County Commissioners; Issuance of warrants or warrant checks for more than allowed</v>
      </c>
      <c r="D688" s="49" t="str">
        <f t="shared" si="3"/>
        <v>19-242</v>
      </c>
      <c r="E688" s="11" t="s">
        <v>133</v>
      </c>
      <c r="F688" s="11">
        <v>3.0</v>
      </c>
      <c r="G688" s="11">
        <v>3.0</v>
      </c>
      <c r="H688" s="11">
        <v>3.0</v>
      </c>
      <c r="I688" s="11">
        <v>3.0</v>
      </c>
    </row>
    <row r="689">
      <c r="A689" s="10" t="s">
        <v>7086</v>
      </c>
      <c r="B689" s="49" t="str">
        <f t="shared" si="1"/>
        <v>Counties/County Commissioners</v>
      </c>
      <c r="C689" s="49" t="str">
        <f t="shared" si="2"/>
        <v>Counties/County Commissioners; Violation of law by commissioner</v>
      </c>
      <c r="D689" s="49" t="str">
        <f t="shared" si="3"/>
        <v>19-233</v>
      </c>
      <c r="E689" s="11" t="s">
        <v>133</v>
      </c>
      <c r="F689" s="11">
        <v>3.0</v>
      </c>
      <c r="G689" s="11">
        <v>3.0</v>
      </c>
      <c r="H689" s="11">
        <v>3.0</v>
      </c>
      <c r="I689" s="11">
        <v>3.0</v>
      </c>
    </row>
    <row r="690">
      <c r="A690" s="10" t="s">
        <v>7087</v>
      </c>
      <c r="B690" s="49" t="str">
        <f t="shared" si="1"/>
        <v>Counties/County Officers</v>
      </c>
      <c r="C690" s="49" t="str">
        <f t="shared" si="2"/>
        <v>Counties/County Officers; Jails; sheriff, jailer or keeper; intoxicating liquors</v>
      </c>
      <c r="D690" s="49" t="str">
        <f t="shared" si="3"/>
        <v>19-1907</v>
      </c>
      <c r="E690" s="11" t="s">
        <v>133</v>
      </c>
      <c r="F690" s="11">
        <v>3.0</v>
      </c>
      <c r="G690" s="11">
        <v>3.0</v>
      </c>
      <c r="H690" s="11">
        <v>3.0</v>
      </c>
      <c r="I690" s="11">
        <v>3.0</v>
      </c>
    </row>
    <row r="691">
      <c r="A691" s="10" t="s">
        <v>7088</v>
      </c>
      <c r="B691" s="49" t="str">
        <f t="shared" si="1"/>
        <v>Counties/County Officers</v>
      </c>
      <c r="C691" s="49" t="str">
        <f t="shared" si="2"/>
        <v>Counties/County Officers; Licenses; unlicensed itinerant vendors of drugs or appliances; failure to supply license on demand</v>
      </c>
      <c r="D691" s="49" t="str">
        <f t="shared" si="3"/>
        <v>19-2202</v>
      </c>
      <c r="E691" s="11" t="s">
        <v>133</v>
      </c>
      <c r="F691" s="11">
        <v>3.0</v>
      </c>
      <c r="G691" s="11">
        <v>3.0</v>
      </c>
      <c r="H691" s="11">
        <v>3.0</v>
      </c>
      <c r="I691" s="11">
        <v>3.0</v>
      </c>
    </row>
    <row r="692">
      <c r="A692" s="10" t="s">
        <v>7089</v>
      </c>
      <c r="B692" s="49" t="str">
        <f t="shared" si="1"/>
        <v>Counties/County Officers</v>
      </c>
      <c r="C692" s="49" t="str">
        <f t="shared" si="2"/>
        <v>Counties/County Officers; Licenses; unlicensed peddler or failure of peddler to pay required tax</v>
      </c>
      <c r="D692" s="49" t="str">
        <f t="shared" si="3"/>
        <v>19-2207</v>
      </c>
      <c r="E692" s="11" t="s">
        <v>133</v>
      </c>
      <c r="F692" s="11">
        <v>3.0</v>
      </c>
      <c r="G692" s="11">
        <v>3.0</v>
      </c>
      <c r="H692" s="11">
        <v>3.0</v>
      </c>
      <c r="I692" s="11">
        <v>3.0</v>
      </c>
    </row>
    <row r="693">
      <c r="A693" s="10" t="s">
        <v>7090</v>
      </c>
      <c r="B693" s="49" t="str">
        <f t="shared" si="1"/>
        <v>Counties/County Officers</v>
      </c>
      <c r="C693" s="49" t="str">
        <f t="shared" si="2"/>
        <v>Counties/County Officers; Register of Deeds; penalty for any violation of act</v>
      </c>
      <c r="D693" s="49" t="str">
        <f t="shared" si="3"/>
        <v>19-1215</v>
      </c>
      <c r="E693" s="11" t="s">
        <v>133</v>
      </c>
      <c r="F693" s="11">
        <v>3.0</v>
      </c>
      <c r="G693" s="11">
        <v>3.0</v>
      </c>
      <c r="H693" s="11">
        <v>3.0</v>
      </c>
      <c r="I693" s="11">
        <v>3.0</v>
      </c>
    </row>
    <row r="694">
      <c r="A694" s="10" t="s">
        <v>7091</v>
      </c>
      <c r="B694" s="49" t="str">
        <f t="shared" si="1"/>
        <v>Counties/County Officers</v>
      </c>
      <c r="C694" s="49" t="str">
        <f t="shared" si="2"/>
        <v>Counties/County Officers; Transient Merchant licensing act; penalty for any violation of act</v>
      </c>
      <c r="D694" s="49" t="str">
        <f t="shared" si="3"/>
        <v>19-2240</v>
      </c>
      <c r="E694" s="11" t="s">
        <v>133</v>
      </c>
      <c r="F694" s="11">
        <v>3.0</v>
      </c>
      <c r="G694" s="11">
        <v>3.0</v>
      </c>
      <c r="H694" s="11">
        <v>3.0</v>
      </c>
      <c r="I694" s="11">
        <v>3.0</v>
      </c>
    </row>
    <row r="695">
      <c r="A695" s="10" t="s">
        <v>7092</v>
      </c>
      <c r="B695" s="49" t="str">
        <f t="shared" si="1"/>
        <v>Counties/County Officers</v>
      </c>
      <c r="C695" s="49" t="str">
        <f t="shared" si="2"/>
        <v>Counties/County Officers; Unauthorized change or altering of water mains</v>
      </c>
      <c r="D695" s="49" t="str">
        <f t="shared" si="3"/>
        <v>19-2620</v>
      </c>
      <c r="E695" s="11" t="s">
        <v>133</v>
      </c>
      <c r="F695" s="11">
        <v>3.0</v>
      </c>
      <c r="G695" s="11">
        <v>3.0</v>
      </c>
      <c r="H695" s="11">
        <v>3.0</v>
      </c>
      <c r="I695" s="11">
        <v>3.0</v>
      </c>
    </row>
    <row r="696">
      <c r="A696" s="10" t="s">
        <v>7093</v>
      </c>
      <c r="B696" s="49" t="str">
        <f t="shared" si="1"/>
        <v>Counties/County Officers</v>
      </c>
      <c r="C696" s="49" t="str">
        <f t="shared" si="2"/>
        <v>Counties/County Officers; Unauthorized interference with water mains</v>
      </c>
      <c r="D696" s="49" t="str">
        <f t="shared" si="3"/>
        <v>19-2621</v>
      </c>
      <c r="E696" s="11" t="s">
        <v>133</v>
      </c>
      <c r="F696" s="11">
        <v>3.0</v>
      </c>
      <c r="G696" s="11">
        <v>3.0</v>
      </c>
      <c r="H696" s="11">
        <v>3.0</v>
      </c>
      <c r="I696" s="11">
        <v>3.0</v>
      </c>
    </row>
    <row r="697">
      <c r="A697" s="10" t="s">
        <v>7094</v>
      </c>
      <c r="B697" s="49" t="str">
        <f t="shared" si="1"/>
        <v>Counties/County Treasurers</v>
      </c>
      <c r="C697" s="49" t="str">
        <f t="shared" si="2"/>
        <v>Counties/County Treasurers; Penalty for willful violation of K.S.A. 19-531 to 19-537</v>
      </c>
      <c r="D697" s="49" t="str">
        <f t="shared" si="3"/>
        <v>19-537</v>
      </c>
      <c r="E697" s="11" t="s">
        <v>133</v>
      </c>
      <c r="F697" s="11">
        <v>3.0</v>
      </c>
      <c r="G697" s="11">
        <v>3.0</v>
      </c>
      <c r="H697" s="11">
        <v>3.0</v>
      </c>
      <c r="I697" s="11">
        <v>3.0</v>
      </c>
    </row>
    <row r="698">
      <c r="A698" s="10" t="s">
        <v>7095</v>
      </c>
      <c r="B698" s="49" t="str">
        <f t="shared" si="1"/>
        <v>Court Reporters</v>
      </c>
      <c r="C698" s="49" t="str">
        <f t="shared" si="2"/>
        <v>Court Reporters; District Courts; false certificate or omission of portion of notes</v>
      </c>
      <c r="D698" s="49" t="str">
        <f t="shared" si="3"/>
        <v>20-911</v>
      </c>
      <c r="E698" s="11" t="s">
        <v>133</v>
      </c>
      <c r="F698" s="11">
        <v>3.0</v>
      </c>
      <c r="G698" s="11">
        <v>3.0</v>
      </c>
      <c r="H698" s="11">
        <v>3.0</v>
      </c>
      <c r="I698" s="11">
        <v>3.0</v>
      </c>
    </row>
    <row r="699">
      <c r="A699" s="10" t="s">
        <v>7096</v>
      </c>
      <c r="B699" s="49" t="str">
        <f t="shared" si="1"/>
        <v>Creating a Hazard</v>
      </c>
      <c r="C699" s="49" t="str">
        <f t="shared" si="2"/>
        <v>Creating a Hazard; Recklessly exposing, abandoning or otherwise leaving any explosive or dangerous substance in a place accessible to children</v>
      </c>
      <c r="D699" s="49" t="str">
        <f t="shared" si="3"/>
        <v>21-6318(a)(3)</v>
      </c>
      <c r="E699" s="11" t="s">
        <v>133</v>
      </c>
      <c r="F699" s="11">
        <v>3.0</v>
      </c>
      <c r="G699" s="11">
        <v>3.0</v>
      </c>
      <c r="H699" s="11">
        <v>3.0</v>
      </c>
      <c r="I699" s="11">
        <v>3.0</v>
      </c>
    </row>
    <row r="700">
      <c r="A700" s="10" t="s">
        <v>7097</v>
      </c>
      <c r="B700" s="49" t="str">
        <f t="shared" si="1"/>
        <v>Creating a Hazard</v>
      </c>
      <c r="C700" s="49" t="str">
        <f t="shared" si="2"/>
        <v>Creating a Hazard; Recklessly owning or possessing property upon which a cistern, well or cesspool is located and failing to cover the same with protective covering of sufficient strength and quality to exclude human beings and domestic animals therefrom</v>
      </c>
      <c r="D700" s="49" t="str">
        <f t="shared" si="3"/>
        <v>21-6318(a)(2)</v>
      </c>
      <c r="E700" s="11" t="s">
        <v>133</v>
      </c>
      <c r="F700" s="11">
        <v>3.0</v>
      </c>
      <c r="G700" s="11">
        <v>3.0</v>
      </c>
      <c r="H700" s="11">
        <v>3.0</v>
      </c>
      <c r="I700" s="11">
        <v>3.0</v>
      </c>
    </row>
    <row r="701">
      <c r="A701" s="10" t="s">
        <v>7098</v>
      </c>
      <c r="B701" s="49" t="str">
        <f t="shared" si="1"/>
        <v>Creating a Hazard</v>
      </c>
      <c r="C701" s="49" t="str">
        <f t="shared" si="2"/>
        <v>Creating a Hazard; Recklessly storing or abandoning, in a place accessible to children, a container with a compartment of more than 1.5 cubic feet capacity and a door/lid which locks or fastens automatically when closed and cannot be easily opened from the inside, and failing to remove the door, lock, lid or fastening device on such container</v>
      </c>
      <c r="D701" s="49" t="str">
        <f t="shared" si="3"/>
        <v>21-6318(a)(1)</v>
      </c>
      <c r="E701" s="11" t="s">
        <v>133</v>
      </c>
      <c r="F701" s="11">
        <v>3.0</v>
      </c>
      <c r="G701" s="11">
        <v>3.0</v>
      </c>
      <c r="H701" s="11">
        <v>3.0</v>
      </c>
      <c r="I701" s="11">
        <v>3.0</v>
      </c>
    </row>
    <row r="702">
      <c r="A702" s="10" t="s">
        <v>7099</v>
      </c>
      <c r="B702" s="49" t="str">
        <f t="shared" si="1"/>
        <v>Credit Cards</v>
      </c>
      <c r="C702" s="49" t="str">
        <f t="shared" si="2"/>
        <v>Credit Cards; Using a forged, lost, stolen,or fraudulently obtained credit card in a transaction affecting intrastate commerce to obtain goods or services over $5,000</v>
      </c>
      <c r="D702" s="49" t="str">
        <f t="shared" si="3"/>
        <v>16-843</v>
      </c>
      <c r="E702" s="11" t="s">
        <v>133</v>
      </c>
      <c r="F702" s="11">
        <v>3.0</v>
      </c>
      <c r="G702" s="11">
        <v>3.0</v>
      </c>
      <c r="H702" s="11">
        <v>3.0</v>
      </c>
      <c r="I702" s="11">
        <v>3.0</v>
      </c>
    </row>
    <row r="703">
      <c r="A703" s="10" t="s">
        <v>7100</v>
      </c>
      <c r="B703" s="49" t="str">
        <f t="shared" si="1"/>
        <v>Credit Services Organization Act</v>
      </c>
      <c r="C703" s="49" t="str">
        <f t="shared" si="2"/>
        <v>Credit Services Organization Act; Violation act or any rule and regulation promulgated thereunder</v>
      </c>
      <c r="D703" s="49" t="str">
        <f t="shared" si="3"/>
        <v>50-1131</v>
      </c>
      <c r="E703" s="11" t="s">
        <v>133</v>
      </c>
      <c r="F703" s="11">
        <v>3.0</v>
      </c>
      <c r="G703" s="11">
        <v>3.0</v>
      </c>
      <c r="H703" s="11">
        <v>3.0</v>
      </c>
      <c r="I703" s="11">
        <v>3.0</v>
      </c>
    </row>
    <row r="704">
      <c r="A704" s="10" t="s">
        <v>7101</v>
      </c>
      <c r="B704" s="49" t="str">
        <f t="shared" si="1"/>
        <v>Credit Unions</v>
      </c>
      <c r="C704" s="49" t="str">
        <f t="shared" si="2"/>
        <v>Credit Unions; Penalty for any violation of K.S.A. 17-2252 through 17-2257</v>
      </c>
      <c r="D704" s="49" t="str">
        <f t="shared" si="3"/>
        <v>17-2261</v>
      </c>
      <c r="E704" s="11" t="s">
        <v>133</v>
      </c>
      <c r="F704" s="11">
        <v>3.0</v>
      </c>
      <c r="G704" s="11">
        <v>3.0</v>
      </c>
      <c r="H704" s="11">
        <v>3.0</v>
      </c>
      <c r="I704" s="11">
        <v>3.0</v>
      </c>
    </row>
    <row r="705">
      <c r="A705" s="10" t="s">
        <v>7102</v>
      </c>
      <c r="B705" s="49" t="str">
        <f t="shared" si="1"/>
        <v>Credit Unions</v>
      </c>
      <c r="C705" s="49" t="str">
        <f t="shared" si="2"/>
        <v>Credit Unions; Unauthorized use of the words "credit union" in any name or title</v>
      </c>
      <c r="D705" s="49" t="str">
        <f t="shared" si="3"/>
        <v>17-2203(a)</v>
      </c>
      <c r="E705" s="11" t="s">
        <v>133</v>
      </c>
      <c r="F705" s="11">
        <v>3.0</v>
      </c>
      <c r="G705" s="11">
        <v>3.0</v>
      </c>
      <c r="H705" s="11">
        <v>3.0</v>
      </c>
      <c r="I705" s="11">
        <v>3.0</v>
      </c>
    </row>
    <row r="706">
      <c r="A706" s="10" t="s">
        <v>7103</v>
      </c>
      <c r="B706" s="49" t="str">
        <f t="shared" si="1"/>
        <v>Criminal Carrying of a Weapon</v>
      </c>
      <c r="C706" s="49" t="str">
        <f t="shared" si="2"/>
        <v>Criminal Carrying of a Weapon; Knowingly carrying a shotgun with a barrel less than 18 inches in length or any automatic weapons</v>
      </c>
      <c r="D706" s="49" t="str">
        <f t="shared" si="3"/>
        <v>21-6302(a)(5)</v>
      </c>
      <c r="E706" s="11" t="s">
        <v>133</v>
      </c>
      <c r="F706" s="11">
        <v>3.0</v>
      </c>
      <c r="G706" s="11">
        <v>3.0</v>
      </c>
      <c r="H706" s="11">
        <v>3.0</v>
      </c>
      <c r="I706" s="11">
        <v>3.0</v>
      </c>
    </row>
    <row r="707">
      <c r="A707" s="10" t="s">
        <v>7104</v>
      </c>
      <c r="B707" s="49" t="str">
        <f t="shared" si="1"/>
        <v>Criminal Carrying of a Weapon</v>
      </c>
      <c r="C707" s="49" t="str">
        <f t="shared" si="2"/>
        <v>Criminal Carrying of a Weapon; Knowingly carrying bludgeon, sand club, switch-blade, throwing stars, metal knuckles</v>
      </c>
      <c r="D707" s="49" t="str">
        <f t="shared" si="3"/>
        <v>21-6302(a)(1)</v>
      </c>
      <c r="E707" s="11" t="s">
        <v>133</v>
      </c>
      <c r="F707" s="11">
        <v>3.0</v>
      </c>
      <c r="G707" s="11">
        <v>3.0</v>
      </c>
      <c r="H707" s="11">
        <v>3.0</v>
      </c>
      <c r="I707" s="11">
        <v>3.0</v>
      </c>
    </row>
    <row r="708">
      <c r="A708" s="10" t="s">
        <v>7105</v>
      </c>
      <c r="B708" s="49" t="str">
        <f t="shared" si="1"/>
        <v>Criminal Carrying of a Weapon</v>
      </c>
      <c r="C708" s="49" t="str">
        <f t="shared" si="2"/>
        <v>Criminal Carrying of a Weapon; Knowingly carrying concealed on one's person, a dagger, dirk, billy, blackjack, slingshot, dangerous knife, straight-edge razor, stiletto, or other dangerous or deadly weapon; except ordinary pocket knife</v>
      </c>
      <c r="D708" s="49" t="str">
        <f t="shared" si="3"/>
        <v>21-6302(a)(2)</v>
      </c>
      <c r="E708" s="11" t="s">
        <v>133</v>
      </c>
      <c r="F708" s="11">
        <v>3.0</v>
      </c>
      <c r="G708" s="11">
        <v>3.0</v>
      </c>
      <c r="H708" s="11">
        <v>3.0</v>
      </c>
      <c r="I708" s="11">
        <v>3.0</v>
      </c>
    </row>
    <row r="709">
      <c r="A709" s="10" t="s">
        <v>7106</v>
      </c>
      <c r="B709" s="49" t="str">
        <f t="shared" si="1"/>
        <v>Criminal Carrying of a Weapon</v>
      </c>
      <c r="C709" s="49" t="str">
        <f t="shared" si="2"/>
        <v>Criminal Carrying of a Weapon; Knowingly carrying firearm concealed on one's person if under 21, except when on one's land or in one's abode or fixed place of business</v>
      </c>
      <c r="D709" s="49" t="str">
        <f t="shared" si="3"/>
        <v>21-6302(a)(4)</v>
      </c>
      <c r="E709" s="11" t="s">
        <v>133</v>
      </c>
      <c r="F709" s="11">
        <v>3.0</v>
      </c>
      <c r="G709" s="11">
        <v>3.0</v>
      </c>
      <c r="H709" s="11">
        <v>3.0</v>
      </c>
      <c r="I709" s="11">
        <v>3.0</v>
      </c>
    </row>
    <row r="710">
      <c r="A710" s="10" t="s">
        <v>7107</v>
      </c>
      <c r="B710" s="49" t="str">
        <f t="shared" si="1"/>
        <v>Criminal Carrying of a Weapon</v>
      </c>
      <c r="C710" s="49" t="str">
        <f t="shared" si="2"/>
        <v>Criminal Carrying of a Weapon; Knowingly carrying on one's person or in any land, water or air vehicle, with intent to unlawfully use, tear gas or smoke bomb or projector or any object containing a noxious liquid, gas or substance</v>
      </c>
      <c r="D710" s="49" t="str">
        <f t="shared" si="3"/>
        <v>21-6302(a)(3)</v>
      </c>
      <c r="E710" s="11" t="s">
        <v>133</v>
      </c>
      <c r="F710" s="11">
        <v>3.0</v>
      </c>
      <c r="G710" s="11">
        <v>3.0</v>
      </c>
      <c r="H710" s="11">
        <v>3.0</v>
      </c>
      <c r="I710" s="11">
        <v>3.0</v>
      </c>
    </row>
    <row r="711">
      <c r="A711" s="10" t="s">
        <v>7108</v>
      </c>
      <c r="B711" s="49" t="str">
        <f t="shared" si="1"/>
        <v>Criminal Damage to Property</v>
      </c>
      <c r="C711" s="49" t="str">
        <f t="shared" si="2"/>
        <v>Criminal Damage to Property; By means other than fire or explosive; Damage, deface, destroy, or substantially impair the use of any property with intent to injure or defraud an insurer or lien holder; damage $25,000 or more</v>
      </c>
      <c r="D711" s="49" t="str">
        <f t="shared" si="3"/>
        <v>21-5813(a)(2)</v>
      </c>
      <c r="E711" s="11" t="s">
        <v>133</v>
      </c>
      <c r="F711" s="11">
        <v>3.0</v>
      </c>
      <c r="G711" s="11">
        <v>3.0</v>
      </c>
      <c r="H711" s="11">
        <v>3.0</v>
      </c>
      <c r="I711" s="11">
        <v>3.0</v>
      </c>
    </row>
    <row r="712">
      <c r="A712" s="10" t="s">
        <v>7109</v>
      </c>
      <c r="B712" s="49" t="str">
        <f t="shared" si="1"/>
        <v>Criminal Damage to Property</v>
      </c>
      <c r="C712" s="49" t="str">
        <f t="shared" si="2"/>
        <v>Criminal Damage to Property; By means other than fire or explosive; Damage, deface, destroy, or substantially impair the use of any property with intent to injure or defraud an insurer or lien holder; damage at least $1,000 but less than $25,000</v>
      </c>
      <c r="D712" s="49" t="str">
        <f t="shared" si="3"/>
        <v>21-5813(a)(2)</v>
      </c>
      <c r="E712" s="11" t="s">
        <v>133</v>
      </c>
      <c r="F712" s="11">
        <v>3.0</v>
      </c>
      <c r="G712" s="11">
        <v>3.0</v>
      </c>
      <c r="H712" s="11">
        <v>3.0</v>
      </c>
      <c r="I712" s="11">
        <v>3.0</v>
      </c>
    </row>
    <row r="713">
      <c r="A713" s="10" t="s">
        <v>7110</v>
      </c>
      <c r="B713" s="49" t="str">
        <f t="shared" si="1"/>
        <v>Criminal Damage to Property</v>
      </c>
      <c r="C713" s="49" t="str">
        <f t="shared" si="2"/>
        <v>Criminal Damage to Property; By means other than fire or explosive; Damage, deface, destroy, or substantially impair the use of any property with intent to injure or defraud; value less than $1,000 or damaged less than $1,000</v>
      </c>
      <c r="D713" s="49" t="str">
        <f t="shared" si="3"/>
        <v>21-5813(a)(2)</v>
      </c>
      <c r="E713" s="11" t="s">
        <v>133</v>
      </c>
      <c r="F713" s="11">
        <v>3.0</v>
      </c>
      <c r="G713" s="11">
        <v>3.0</v>
      </c>
      <c r="H713" s="11">
        <v>3.0</v>
      </c>
      <c r="I713" s="11">
        <v>3.0</v>
      </c>
    </row>
    <row r="714">
      <c r="A714" s="10" t="s">
        <v>7111</v>
      </c>
      <c r="B714" s="49" t="str">
        <f t="shared" si="1"/>
        <v>Criminal Damage to Property</v>
      </c>
      <c r="C714" s="49" t="str">
        <f t="shared" si="2"/>
        <v>Criminal Damage to Property; By means other than fire or explosive; Knowingly damage, deface, destroy, or substantially impair the use of any property without consent; value less than $1,000 or damaged less than $1,000</v>
      </c>
      <c r="D714" s="49" t="str">
        <f t="shared" si="3"/>
        <v>21-5813(a)(1)</v>
      </c>
      <c r="E714" s="11" t="s">
        <v>133</v>
      </c>
      <c r="F714" s="11">
        <v>3.0</v>
      </c>
      <c r="G714" s="11">
        <v>3.0</v>
      </c>
      <c r="H714" s="11">
        <v>3.0</v>
      </c>
      <c r="I714" s="11">
        <v>3.0</v>
      </c>
    </row>
    <row r="715">
      <c r="A715" s="10" t="s">
        <v>7112</v>
      </c>
      <c r="B715" s="49" t="str">
        <f t="shared" si="1"/>
        <v>Criminal Damage to Property</v>
      </c>
      <c r="C715" s="49" t="str">
        <f t="shared" si="2"/>
        <v>Criminal Damage to Property; By means other than fire or explosive; Knowingly injure, damage, deface, destroy, or substantially impair the use of property without consent; damage $25,000 or more</v>
      </c>
      <c r="D715" s="49" t="str">
        <f t="shared" si="3"/>
        <v>21-5813(a)(1)</v>
      </c>
      <c r="E715" s="11" t="s">
        <v>133</v>
      </c>
      <c r="F715" s="11">
        <v>3.0</v>
      </c>
      <c r="G715" s="11">
        <v>3.0</v>
      </c>
      <c r="H715" s="11">
        <v>3.0</v>
      </c>
      <c r="I715" s="11">
        <v>3.0</v>
      </c>
    </row>
    <row r="716">
      <c r="A716" s="10" t="s">
        <v>7113</v>
      </c>
      <c r="B716" s="49" t="str">
        <f t="shared" si="1"/>
        <v>Criminal Damage to Property</v>
      </c>
      <c r="C716" s="49" t="str">
        <f t="shared" si="2"/>
        <v>Criminal Damage to Property; By means other than fire or explosive; Knowingly injure, damage, deface, destroy, or substantially impair the use of property without consent; damage at least $1,000 but less than $25,000</v>
      </c>
      <c r="D716" s="49" t="str">
        <f t="shared" si="3"/>
        <v>21-5813(a)(1)</v>
      </c>
      <c r="E716" s="11" t="s">
        <v>133</v>
      </c>
      <c r="F716" s="11">
        <v>3.0</v>
      </c>
      <c r="G716" s="11">
        <v>3.0</v>
      </c>
      <c r="H716" s="11">
        <v>3.0</v>
      </c>
      <c r="I716" s="11">
        <v>3.0</v>
      </c>
    </row>
    <row r="717">
      <c r="A717" s="10" t="s">
        <v>7114</v>
      </c>
      <c r="B717" s="49" t="str">
        <f t="shared" si="1"/>
        <v>Criminal Deprivation of Property</v>
      </c>
      <c r="C717" s="49" t="str">
        <f t="shared" si="2"/>
        <v>Criminal Deprivation of Property; Motor vehicle; 1st or 2nd conviction</v>
      </c>
      <c r="D717" s="49" t="str">
        <f t="shared" si="3"/>
        <v>21-5803(a)</v>
      </c>
      <c r="E717" s="11" t="s">
        <v>133</v>
      </c>
      <c r="F717" s="11">
        <v>3.0</v>
      </c>
      <c r="G717" s="11">
        <v>3.0</v>
      </c>
      <c r="H717" s="11">
        <v>3.0</v>
      </c>
      <c r="I717" s="11">
        <v>3.0</v>
      </c>
    </row>
    <row r="718">
      <c r="A718" s="10" t="s">
        <v>7115</v>
      </c>
      <c r="B718" s="49" t="str">
        <f t="shared" si="1"/>
        <v>Criminal Deprivation of Property</v>
      </c>
      <c r="C718" s="49" t="str">
        <f t="shared" si="2"/>
        <v>Criminal Deprivation of Property; Motor vehicle; 3rd or subs. conviction</v>
      </c>
      <c r="D718" s="49" t="str">
        <f t="shared" si="3"/>
        <v>21-5803(a)</v>
      </c>
      <c r="E718" s="11" t="s">
        <v>133</v>
      </c>
      <c r="F718" s="11">
        <v>3.0</v>
      </c>
      <c r="G718" s="11">
        <v>3.0</v>
      </c>
      <c r="H718" s="11">
        <v>3.0</v>
      </c>
      <c r="I718" s="11">
        <v>3.0</v>
      </c>
    </row>
    <row r="719">
      <c r="A719" s="10" t="s">
        <v>7116</v>
      </c>
      <c r="B719" s="49" t="str">
        <f t="shared" si="1"/>
        <v>Criminal Deprivation of Property</v>
      </c>
      <c r="C719" s="49" t="str">
        <f t="shared" si="2"/>
        <v>Criminal Deprivation of Property; Property other than a motor vehicle</v>
      </c>
      <c r="D719" s="49" t="str">
        <f t="shared" si="3"/>
        <v>21-5803(a)</v>
      </c>
      <c r="E719" s="11" t="s">
        <v>133</v>
      </c>
      <c r="F719" s="11">
        <v>3.0</v>
      </c>
      <c r="G719" s="11">
        <v>3.0</v>
      </c>
      <c r="H719" s="11">
        <v>3.0</v>
      </c>
      <c r="I719" s="11">
        <v>3.0</v>
      </c>
    </row>
    <row r="720">
      <c r="A720" s="10" t="s">
        <v>7117</v>
      </c>
      <c r="B720" s="49" t="str">
        <f t="shared" si="1"/>
        <v>Criminal Desecration</v>
      </c>
      <c r="C720" s="49" t="str">
        <f t="shared" si="2"/>
        <v>Criminal Desecration; Knowingly obtain or attempt to obtain remains of dead body, urn, etc. without authorization</v>
      </c>
      <c r="D720" s="49" t="str">
        <f t="shared" si="3"/>
        <v>21-6205(a)(1)</v>
      </c>
      <c r="E720" s="11" t="s">
        <v>133</v>
      </c>
      <c r="F720" s="11">
        <v>3.0</v>
      </c>
      <c r="G720" s="11">
        <v>3.0</v>
      </c>
      <c r="H720" s="11">
        <v>3.0</v>
      </c>
      <c r="I720" s="11">
        <v>3.0</v>
      </c>
    </row>
    <row r="721">
      <c r="A721" s="10" t="s">
        <v>7118</v>
      </c>
      <c r="B721" s="49" t="str">
        <f t="shared" si="1"/>
        <v>Criminal Desecration</v>
      </c>
      <c r="C721" s="49" t="str">
        <f t="shared" si="2"/>
        <v>Criminal Desecration; Recklessly, by means other than by fire or explosive; damage, deface or destroy any place of worship; damage $25,000 or more</v>
      </c>
      <c r="D721" s="49" t="str">
        <f t="shared" si="3"/>
        <v>21-6205(a)(2)(D)</v>
      </c>
      <c r="E721" s="11" t="s">
        <v>133</v>
      </c>
      <c r="F721" s="11">
        <v>3.0</v>
      </c>
      <c r="G721" s="11">
        <v>3.0</v>
      </c>
      <c r="H721" s="11">
        <v>3.0</v>
      </c>
      <c r="I721" s="11">
        <v>3.0</v>
      </c>
    </row>
    <row r="722">
      <c r="A722" s="10" t="s">
        <v>7119</v>
      </c>
      <c r="B722" s="49" t="str">
        <f t="shared" si="1"/>
        <v>Criminal Desecration</v>
      </c>
      <c r="C722" s="49" t="str">
        <f t="shared" si="2"/>
        <v>Criminal Desecration; Recklessly, by means other than by fire or explosive; damage, deface or destroy any place of worship; damage at least $1,000 but less than $25,000</v>
      </c>
      <c r="D722" s="49" t="str">
        <f t="shared" si="3"/>
        <v>21-6205(a)(2)(D)</v>
      </c>
      <c r="E722" s="11" t="s">
        <v>133</v>
      </c>
      <c r="F722" s="11">
        <v>3.0</v>
      </c>
      <c r="G722" s="11">
        <v>3.0</v>
      </c>
      <c r="H722" s="11">
        <v>3.0</v>
      </c>
      <c r="I722" s="11">
        <v>3.0</v>
      </c>
    </row>
    <row r="723">
      <c r="A723" s="10" t="s">
        <v>7120</v>
      </c>
      <c r="B723" s="49" t="str">
        <f t="shared" si="1"/>
        <v>Criminal Desecration</v>
      </c>
      <c r="C723" s="49" t="str">
        <f t="shared" si="2"/>
        <v>Criminal Desecration; Recklessly, by means other than by fire or explosive; damage, deface or destroy any place of worship; property damaged less than $1,000</v>
      </c>
      <c r="D723" s="49" t="str">
        <f t="shared" si="3"/>
        <v>21-6205(a)(2)(D)</v>
      </c>
      <c r="E723" s="11" t="s">
        <v>133</v>
      </c>
      <c r="F723" s="11">
        <v>3.0</v>
      </c>
      <c r="G723" s="11">
        <v>3.0</v>
      </c>
      <c r="H723" s="11">
        <v>3.0</v>
      </c>
      <c r="I723" s="11">
        <v>3.0</v>
      </c>
    </row>
    <row r="724">
      <c r="A724" s="10" t="s">
        <v>7121</v>
      </c>
      <c r="B724" s="49" t="str">
        <f t="shared" si="1"/>
        <v>Criminal Desecration</v>
      </c>
      <c r="C724" s="49" t="str">
        <f t="shared" si="2"/>
        <v>Criminal Desecration; Recklessly, by means other than by fire or explosive; damage, deface or destroy any public monument or structure; damage $25,000 or more</v>
      </c>
      <c r="D724" s="49" t="str">
        <f t="shared" si="3"/>
        <v>21-6205(a)(2)(B)</v>
      </c>
      <c r="E724" s="11" t="s">
        <v>133</v>
      </c>
      <c r="F724" s="11">
        <v>3.0</v>
      </c>
      <c r="G724" s="11">
        <v>3.0</v>
      </c>
      <c r="H724" s="11">
        <v>3.0</v>
      </c>
      <c r="I724" s="11">
        <v>3.0</v>
      </c>
    </row>
    <row r="725">
      <c r="A725" s="10" t="s">
        <v>7122</v>
      </c>
      <c r="B725" s="49" t="str">
        <f t="shared" si="1"/>
        <v>Criminal Desecration</v>
      </c>
      <c r="C725" s="49" t="str">
        <f t="shared" si="2"/>
        <v>Criminal Desecration; Recklessly, by means other than by fire or explosive; damage, deface or destroy any public monument or structure; damage at least $1,000 but less than $25,000</v>
      </c>
      <c r="D725" s="49" t="str">
        <f t="shared" si="3"/>
        <v>21-6205(a)(2)(B)</v>
      </c>
      <c r="E725" s="11" t="s">
        <v>133</v>
      </c>
      <c r="F725" s="11">
        <v>3.0</v>
      </c>
      <c r="G725" s="11">
        <v>3.0</v>
      </c>
      <c r="H725" s="11">
        <v>3.0</v>
      </c>
      <c r="I725" s="11">
        <v>3.0</v>
      </c>
    </row>
    <row r="726">
      <c r="A726" s="10" t="s">
        <v>7123</v>
      </c>
      <c r="B726" s="49" t="str">
        <f t="shared" si="1"/>
        <v>Criminal Desecration</v>
      </c>
      <c r="C726" s="49" t="str">
        <f t="shared" si="2"/>
        <v>Criminal Desecration; Recklessly, by means other than by fire or explosive; damage, deface or destroy any public monument or structure; property damaged less than $1,000</v>
      </c>
      <c r="D726" s="49" t="str">
        <f t="shared" si="3"/>
        <v>21-6205(a)(2)(B)</v>
      </c>
      <c r="E726" s="11" t="s">
        <v>133</v>
      </c>
      <c r="F726" s="11">
        <v>3.0</v>
      </c>
      <c r="G726" s="11">
        <v>3.0</v>
      </c>
      <c r="H726" s="11">
        <v>3.0</v>
      </c>
      <c r="I726" s="11">
        <v>3.0</v>
      </c>
    </row>
    <row r="727">
      <c r="A727" s="10" t="s">
        <v>7124</v>
      </c>
      <c r="B727" s="49" t="str">
        <f t="shared" si="1"/>
        <v>Criminal Desecration</v>
      </c>
      <c r="C727" s="49" t="str">
        <f t="shared" si="2"/>
        <v>Criminal Desecration; Recklessly, by means other than by fire or explosive; damage, deface or destroy any tomb, monument, memorial, marker, grave, vault, crypt gate, tree, shrub, plant or any other property in a cemetery; damage $25,000 or more</v>
      </c>
      <c r="D727" s="49" t="str">
        <f t="shared" si="3"/>
        <v>21-6205(a)(2)(C)</v>
      </c>
      <c r="E727" s="11" t="s">
        <v>133</v>
      </c>
      <c r="F727" s="11">
        <v>3.0</v>
      </c>
      <c r="G727" s="11">
        <v>3.0</v>
      </c>
      <c r="H727" s="11">
        <v>3.0</v>
      </c>
      <c r="I727" s="11">
        <v>3.0</v>
      </c>
    </row>
    <row r="728">
      <c r="A728" s="10" t="s">
        <v>7125</v>
      </c>
      <c r="B728" s="49" t="str">
        <f t="shared" si="1"/>
        <v>Criminal Desecration</v>
      </c>
      <c r="C728" s="49" t="str">
        <f t="shared" si="2"/>
        <v>Criminal Desecration; Recklessly, by means other than by fire or explosive; damage, deface or destroy any tomb, monument, memorial, marker, grave, vault, crypt gate, tree, shrub, plant or any other property in a cemetery; damage at least $1,000 but less than $25,000</v>
      </c>
      <c r="D728" s="49" t="str">
        <f t="shared" si="3"/>
        <v>21-6205(a)(2)(C)</v>
      </c>
      <c r="E728" s="11" t="s">
        <v>133</v>
      </c>
      <c r="F728" s="11">
        <v>3.0</v>
      </c>
      <c r="G728" s="11">
        <v>3.0</v>
      </c>
      <c r="H728" s="11">
        <v>3.0</v>
      </c>
      <c r="I728" s="11">
        <v>3.0</v>
      </c>
    </row>
    <row r="729">
      <c r="A729" s="10" t="s">
        <v>7126</v>
      </c>
      <c r="B729" s="49" t="str">
        <f t="shared" si="1"/>
        <v>Criminal Desecration</v>
      </c>
      <c r="C729" s="49" t="str">
        <f t="shared" si="2"/>
        <v>Criminal Desecration; Recklessly, by means other than by fire or explosive; damage, deface or destroy any tomb, monument, memorial, marker, grave, vault, crypt gate, tree, shrub, plant or any other property in a cemetery; property damaged less than $1,000</v>
      </c>
      <c r="D729" s="49" t="str">
        <f t="shared" si="3"/>
        <v>21-6205(a)(2)(C)</v>
      </c>
      <c r="E729" s="11" t="s">
        <v>133</v>
      </c>
      <c r="F729" s="11">
        <v>3.0</v>
      </c>
      <c r="G729" s="11">
        <v>3.0</v>
      </c>
      <c r="H729" s="11">
        <v>3.0</v>
      </c>
      <c r="I729" s="11">
        <v>3.0</v>
      </c>
    </row>
    <row r="730">
      <c r="A730" s="10" t="s">
        <v>7127</v>
      </c>
      <c r="B730" s="49" t="str">
        <f t="shared" si="1"/>
        <v>Criminal Desecration</v>
      </c>
      <c r="C730" s="49" t="str">
        <f t="shared" si="2"/>
        <v>Criminal Desecration; Recklessly, by means other than by fire or explosive; damage, destroy or deface US or state flag or insignia</v>
      </c>
      <c r="D730" s="49" t="str">
        <f t="shared" si="3"/>
        <v>21-6205(a)(2)(A)</v>
      </c>
      <c r="E730" s="11" t="s">
        <v>133</v>
      </c>
      <c r="F730" s="11">
        <v>3.0</v>
      </c>
      <c r="G730" s="11">
        <v>3.0</v>
      </c>
      <c r="H730" s="11">
        <v>3.0</v>
      </c>
      <c r="I730" s="11">
        <v>3.0</v>
      </c>
    </row>
    <row r="731">
      <c r="A731" s="10" t="s">
        <v>7128</v>
      </c>
      <c r="B731" s="49" t="str">
        <f t="shared" si="1"/>
        <v>Criminal Discharge of Firearm</v>
      </c>
      <c r="C731" s="49" t="str">
        <f t="shared" si="2"/>
        <v>Criminal Discharge of Firearm; Reckless and unauthorized discharge at an occupied building resulting in bodily harm</v>
      </c>
      <c r="D731" s="49" t="str">
        <f t="shared" si="3"/>
        <v>21-6308(a)(1)(A)</v>
      </c>
      <c r="E731" s="11" t="s">
        <v>133</v>
      </c>
      <c r="F731" s="11">
        <v>3.0</v>
      </c>
      <c r="G731" s="11">
        <v>3.0</v>
      </c>
      <c r="H731" s="11">
        <v>3.0</v>
      </c>
      <c r="I731" s="11">
        <v>3.0</v>
      </c>
    </row>
    <row r="732">
      <c r="A732" s="10" t="s">
        <v>7129</v>
      </c>
      <c r="B732" s="49" t="str">
        <f t="shared" si="1"/>
        <v>Criminal Discharge of Firearm</v>
      </c>
      <c r="C732" s="49" t="str">
        <f t="shared" si="2"/>
        <v>Criminal Discharge of Firearm; Reckless and unauthorized discharge at an occupied building resulting in great bodily harm</v>
      </c>
      <c r="D732" s="49" t="str">
        <f t="shared" si="3"/>
        <v>21-6308(a)(1)(A)</v>
      </c>
      <c r="E732" s="11" t="s">
        <v>133</v>
      </c>
      <c r="F732" s="11">
        <v>3.0</v>
      </c>
      <c r="G732" s="11">
        <v>3.0</v>
      </c>
      <c r="H732" s="11">
        <v>3.0</v>
      </c>
      <c r="I732" s="11">
        <v>3.0</v>
      </c>
    </row>
    <row r="733">
      <c r="A733" s="10" t="s">
        <v>7130</v>
      </c>
      <c r="B733" s="49" t="str">
        <f t="shared" si="1"/>
        <v>Criminal Discharge of Firearm</v>
      </c>
      <c r="C733" s="49" t="str">
        <f t="shared" si="2"/>
        <v>Criminal Discharge of Firearm; Reckless and unauthorized discharge at an occupied building, dwelling, or structure</v>
      </c>
      <c r="D733" s="49" t="str">
        <f t="shared" si="3"/>
        <v>21-6308(a)(1)(A)</v>
      </c>
      <c r="E733" s="11" t="s">
        <v>133</v>
      </c>
      <c r="F733" s="11">
        <v>3.0</v>
      </c>
      <c r="G733" s="11">
        <v>3.0</v>
      </c>
      <c r="H733" s="11">
        <v>3.0</v>
      </c>
      <c r="I733" s="11">
        <v>3.0</v>
      </c>
    </row>
    <row r="734">
      <c r="A734" s="10" t="s">
        <v>7131</v>
      </c>
      <c r="B734" s="49" t="str">
        <f t="shared" si="1"/>
        <v>Criminal Discharge of Firearm</v>
      </c>
      <c r="C734" s="49" t="str">
        <f t="shared" si="2"/>
        <v>Criminal Discharge of Firearm; Reckless and unauthorized discharge at an occupied motor vehicle or other conveyance</v>
      </c>
      <c r="D734" s="49" t="str">
        <f t="shared" si="3"/>
        <v>21-6308(a)(1)(B)</v>
      </c>
      <c r="E734" s="11" t="s">
        <v>133</v>
      </c>
      <c r="F734" s="11">
        <v>3.0</v>
      </c>
      <c r="G734" s="11">
        <v>3.0</v>
      </c>
      <c r="H734" s="11">
        <v>3.0</v>
      </c>
      <c r="I734" s="11">
        <v>3.0</v>
      </c>
    </row>
    <row r="735">
      <c r="A735" s="10" t="s">
        <v>7132</v>
      </c>
      <c r="B735" s="49" t="str">
        <f t="shared" si="1"/>
        <v>Criminal Discharge of Firearm</v>
      </c>
      <c r="C735" s="49" t="str">
        <f t="shared" si="2"/>
        <v>Criminal Discharge of Firearm; Reckless and unauthorized discharge at an occupied motor vehicle resulting in bodily harm</v>
      </c>
      <c r="D735" s="49" t="str">
        <f t="shared" si="3"/>
        <v>21-6308(a)(1)(B)</v>
      </c>
      <c r="E735" s="11" t="s">
        <v>133</v>
      </c>
      <c r="F735" s="11">
        <v>3.0</v>
      </c>
      <c r="G735" s="11">
        <v>3.0</v>
      </c>
      <c r="H735" s="11">
        <v>3.0</v>
      </c>
      <c r="I735" s="11">
        <v>3.0</v>
      </c>
    </row>
    <row r="736">
      <c r="A736" s="10" t="s">
        <v>7133</v>
      </c>
      <c r="B736" s="49" t="str">
        <f t="shared" si="1"/>
        <v>Criminal Discharge of Firearm</v>
      </c>
      <c r="C736" s="49" t="str">
        <f t="shared" si="2"/>
        <v>Criminal Discharge of Firearm; Reckless and unauthorized discharge at an occupied motor vehicle resulting in great bodily harm</v>
      </c>
      <c r="D736" s="49" t="str">
        <f t="shared" si="3"/>
        <v>21-6308(a)(1)(B)</v>
      </c>
      <c r="E736" s="11" t="s">
        <v>133</v>
      </c>
      <c r="F736" s="11">
        <v>3.0</v>
      </c>
      <c r="G736" s="11">
        <v>3.0</v>
      </c>
      <c r="H736" s="11">
        <v>3.0</v>
      </c>
      <c r="I736" s="11">
        <v>3.0</v>
      </c>
    </row>
    <row r="737">
      <c r="A737" s="10" t="s">
        <v>7134</v>
      </c>
      <c r="B737" s="49" t="str">
        <f t="shared" si="1"/>
        <v>Criminal Discharge of Firearm</v>
      </c>
      <c r="C737" s="49" t="str">
        <f t="shared" si="2"/>
        <v>Criminal Discharge of Firearm; Reckless and unauthorized discharge at unoccupied dwelling</v>
      </c>
      <c r="D737" s="49" t="str">
        <f t="shared" si="3"/>
        <v>21-6308(a)(2)</v>
      </c>
      <c r="E737" s="11" t="s">
        <v>133</v>
      </c>
      <c r="F737" s="11">
        <v>3.0</v>
      </c>
      <c r="G737" s="11">
        <v>3.0</v>
      </c>
      <c r="H737" s="11">
        <v>3.0</v>
      </c>
      <c r="I737" s="11">
        <v>3.0</v>
      </c>
    </row>
    <row r="738">
      <c r="A738" s="10" t="s">
        <v>7135</v>
      </c>
      <c r="B738" s="49" t="str">
        <f t="shared" si="1"/>
        <v>Criminal Discharge of Firearm</v>
      </c>
      <c r="C738" s="49" t="str">
        <f t="shared" si="2"/>
        <v>Criminal Discharge of Firearm; Upon land or non-navigable body of water without permission of the owner or possessor</v>
      </c>
      <c r="D738" s="49" t="str">
        <f t="shared" si="3"/>
        <v>21-6308(a)(3)(A)</v>
      </c>
      <c r="E738" s="11" t="s">
        <v>133</v>
      </c>
      <c r="F738" s="11">
        <v>3.0</v>
      </c>
      <c r="G738" s="11">
        <v>3.0</v>
      </c>
      <c r="H738" s="11">
        <v>3.0</v>
      </c>
      <c r="I738" s="11">
        <v>3.0</v>
      </c>
    </row>
    <row r="739">
      <c r="A739" s="10" t="s">
        <v>7136</v>
      </c>
      <c r="B739" s="49" t="str">
        <f t="shared" si="1"/>
        <v>Criminal Discharge of Firearm</v>
      </c>
      <c r="C739" s="49" t="str">
        <f t="shared" si="2"/>
        <v>Criminal Discharge of Firearm; Upon or from any public road, public road right-of-way or railroad right-of-way</v>
      </c>
      <c r="D739" s="49" t="str">
        <f t="shared" si="3"/>
        <v>21-6308(a)(3)(B)</v>
      </c>
      <c r="E739" s="11" t="s">
        <v>133</v>
      </c>
      <c r="F739" s="11">
        <v>3.0</v>
      </c>
      <c r="G739" s="11">
        <v>3.0</v>
      </c>
      <c r="H739" s="11">
        <v>3.0</v>
      </c>
      <c r="I739" s="11">
        <v>3.0</v>
      </c>
    </row>
    <row r="740">
      <c r="A740" s="10" t="s">
        <v>7137</v>
      </c>
      <c r="B740" s="49" t="str">
        <f t="shared" si="1"/>
        <v>Criminal Disclosure of a Warrant</v>
      </c>
      <c r="C740" s="49" t="str">
        <f t="shared" si="2"/>
        <v>Criminal Disclosure of a Warrant; Recklessly make public the application or issuance of a warrant</v>
      </c>
      <c r="D740" s="49" t="str">
        <f t="shared" si="3"/>
        <v>21-5906(a)(1)</v>
      </c>
      <c r="E740" s="11" t="s">
        <v>133</v>
      </c>
      <c r="F740" s="11">
        <v>3.0</v>
      </c>
      <c r="G740" s="11">
        <v>3.0</v>
      </c>
      <c r="H740" s="11">
        <v>3.0</v>
      </c>
      <c r="I740" s="11">
        <v>3.0</v>
      </c>
    </row>
    <row r="741">
      <c r="A741" s="10" t="s">
        <v>7138</v>
      </c>
      <c r="B741" s="49" t="str">
        <f t="shared" si="1"/>
        <v>Criminal Disclosure of a Warrant</v>
      </c>
      <c r="C741" s="49" t="str">
        <f t="shared" si="2"/>
        <v>Criminal Disclosure of a Warrant; Recklessly make public the contents of affidavit or testimony supporting a warrant</v>
      </c>
      <c r="D741" s="49" t="str">
        <f t="shared" si="3"/>
        <v>21-5906(a)(2)</v>
      </c>
      <c r="E741" s="11" t="s">
        <v>133</v>
      </c>
      <c r="F741" s="11">
        <v>3.0</v>
      </c>
      <c r="G741" s="11">
        <v>3.0</v>
      </c>
      <c r="H741" s="11">
        <v>3.0</v>
      </c>
      <c r="I741" s="11">
        <v>3.0</v>
      </c>
    </row>
    <row r="742">
      <c r="A742" s="10" t="s">
        <v>7139</v>
      </c>
      <c r="B742" s="49" t="str">
        <f t="shared" si="1"/>
        <v>Criminal Disposal of Explosives</v>
      </c>
      <c r="C742" s="49" t="str">
        <f t="shared" si="2"/>
        <v>Criminal Disposal of Explosives; Knowingly and without lawful authority distribute to a person under 21 regardless of knowledge of the buyer, donee, or transferee's age</v>
      </c>
      <c r="D742" s="49" t="str">
        <f t="shared" si="3"/>
        <v>21-6312(b)(1)</v>
      </c>
      <c r="E742" s="11" t="s">
        <v>133</v>
      </c>
      <c r="F742" s="11">
        <v>3.0</v>
      </c>
      <c r="G742" s="11">
        <v>3.0</v>
      </c>
      <c r="H742" s="11">
        <v>3.0</v>
      </c>
      <c r="I742" s="11">
        <v>3.0</v>
      </c>
    </row>
    <row r="743">
      <c r="A743" s="10" t="s">
        <v>7140</v>
      </c>
      <c r="B743" s="49" t="str">
        <f t="shared" si="1"/>
        <v>Criminal Disposal of Explosives</v>
      </c>
      <c r="C743" s="49" t="str">
        <f t="shared" si="2"/>
        <v>Criminal Disposal of Explosives; Knowingly and without lawful authority distribute to a person who is both addicted to and an unlawful user of a controlled substance</v>
      </c>
      <c r="D743" s="49" t="str">
        <f t="shared" si="3"/>
        <v>21-6312(b)(2)</v>
      </c>
      <c r="E743" s="11" t="s">
        <v>133</v>
      </c>
      <c r="F743" s="11">
        <v>3.0</v>
      </c>
      <c r="G743" s="11">
        <v>3.0</v>
      </c>
      <c r="H743" s="11">
        <v>3.0</v>
      </c>
      <c r="I743" s="11">
        <v>3.0</v>
      </c>
    </row>
    <row r="744">
      <c r="A744" s="10" t="s">
        <v>7141</v>
      </c>
      <c r="B744" s="49" t="str">
        <f t="shared" si="1"/>
        <v>Criminal Disposal of Explosives</v>
      </c>
      <c r="C744" s="49" t="str">
        <f t="shared" si="2"/>
        <v>Criminal Disposal of Explosives; Knowingly and without lawful authority distribute to a person who, within preceding 5 yrs, has been convicted of a felony or has been released from imprisonment for a felony</v>
      </c>
      <c r="D744" s="49" t="str">
        <f t="shared" si="3"/>
        <v>21-6312(b)(3)</v>
      </c>
      <c r="E744" s="11" t="s">
        <v>133</v>
      </c>
      <c r="F744" s="11">
        <v>3.0</v>
      </c>
      <c r="G744" s="11">
        <v>3.0</v>
      </c>
      <c r="H744" s="11">
        <v>3.0</v>
      </c>
      <c r="I744" s="11">
        <v>3.0</v>
      </c>
    </row>
    <row r="745">
      <c r="A745" s="10" t="s">
        <v>7142</v>
      </c>
      <c r="B745" s="49" t="str">
        <f t="shared" si="1"/>
        <v>Criminal Distribution of Firearms to a Felon</v>
      </c>
      <c r="C745" s="49" t="str">
        <f t="shared" si="2"/>
        <v>Criminal Distribution of Firearms to a Felon; Knowingly transferring any firearm to any person who has been convicted of a felony and who was found to have been in possession of a firearm at the time of the commission of the felony</v>
      </c>
      <c r="D745" s="49" t="str">
        <f t="shared" si="3"/>
        <v>21-6303(a)(3)</v>
      </c>
      <c r="E745" s="11" t="s">
        <v>133</v>
      </c>
      <c r="F745" s="11">
        <v>3.0</v>
      </c>
      <c r="G745" s="11">
        <v>3.0</v>
      </c>
      <c r="H745" s="11">
        <v>3.0</v>
      </c>
      <c r="I745" s="11">
        <v>3.0</v>
      </c>
    </row>
    <row r="746">
      <c r="A746" s="10" t="s">
        <v>7143</v>
      </c>
      <c r="B746" s="49" t="str">
        <f t="shared" si="1"/>
        <v>Criminal Distribution of Firearms to a Felon</v>
      </c>
      <c r="C746" s="49" t="str">
        <f t="shared" si="2"/>
        <v>Criminal Distribution of Firearms to a Felon; Knowingly transferring any firearm to any person who, within the preceding 10 yrs, has been convicted of a felony to which this subsection applies but was NOT found to have been in possession of a firearm at the commission of the felony or has been released from imprisonment for such a crime, and has not had the conviction of such crime expunged or been pardoned</v>
      </c>
      <c r="D746" s="49" t="str">
        <f t="shared" si="3"/>
        <v>21-6303(a)(2)</v>
      </c>
      <c r="E746" s="11" t="s">
        <v>133</v>
      </c>
      <c r="F746" s="11">
        <v>3.0</v>
      </c>
      <c r="G746" s="11">
        <v>3.0</v>
      </c>
      <c r="H746" s="11">
        <v>3.0</v>
      </c>
      <c r="I746" s="11">
        <v>3.0</v>
      </c>
    </row>
    <row r="747">
      <c r="A747" s="10" t="s">
        <v>7144</v>
      </c>
      <c r="B747" s="49" t="str">
        <f t="shared" si="1"/>
        <v>Criminal Distribution of Firearms to a Felon</v>
      </c>
      <c r="C747" s="49" t="str">
        <f t="shared" si="2"/>
        <v>Criminal Distribution of Firearms to a Felon; Knowingly transferring any firearm to any person who, within the preceding 5 yrs, has been convicted of a felony other than those in subsection (c) or has been released from imprisonment for a felony and was NOT found to have been in possession of a firearm at the commission of the felony</v>
      </c>
      <c r="D747" s="49" t="str">
        <f t="shared" si="3"/>
        <v>21-6303(a)(1)</v>
      </c>
      <c r="E747" s="11" t="s">
        <v>133</v>
      </c>
      <c r="F747" s="11">
        <v>3.0</v>
      </c>
      <c r="G747" s="11">
        <v>3.0</v>
      </c>
      <c r="H747" s="11">
        <v>3.0</v>
      </c>
      <c r="I747" s="11">
        <v>3.0</v>
      </c>
    </row>
    <row r="748">
      <c r="A748" s="10" t="s">
        <v>7145</v>
      </c>
      <c r="B748" s="49" t="str">
        <f t="shared" si="1"/>
        <v>Criminal False Communication</v>
      </c>
      <c r="C748" s="49" t="str">
        <f t="shared" si="2"/>
        <v>Criminal False Communication; Knowingly communicating to another, false information that will tend to degrade and vilify the memory of one who is dead and to scandalize or provoke surviving relatives and friends</v>
      </c>
      <c r="D748" s="49" t="str">
        <f t="shared" si="3"/>
        <v>21-6103(a)(1)(C)</v>
      </c>
      <c r="E748" s="11" t="s">
        <v>133</v>
      </c>
      <c r="F748" s="11">
        <v>3.0</v>
      </c>
      <c r="G748" s="11">
        <v>3.0</v>
      </c>
      <c r="H748" s="11">
        <v>3.0</v>
      </c>
      <c r="I748" s="11">
        <v>3.0</v>
      </c>
    </row>
    <row r="749">
      <c r="A749" s="10" t="s">
        <v>7146</v>
      </c>
      <c r="B749" s="49" t="str">
        <f t="shared" si="1"/>
        <v>Criminal False Communication</v>
      </c>
      <c r="C749" s="49" t="str">
        <f t="shared" si="2"/>
        <v>Criminal False Communication; Knowingly communicating to another, false information that will tend to deprive such person of the benefits of public confidence and social acceptance</v>
      </c>
      <c r="D749" s="49" t="str">
        <f t="shared" si="3"/>
        <v>21-6103(a)(1)(B)</v>
      </c>
      <c r="E749" s="11" t="s">
        <v>133</v>
      </c>
      <c r="F749" s="11">
        <v>3.0</v>
      </c>
      <c r="G749" s="11">
        <v>3.0</v>
      </c>
      <c r="H749" s="11">
        <v>3.0</v>
      </c>
      <c r="I749" s="11">
        <v>3.0</v>
      </c>
    </row>
    <row r="750">
      <c r="A750" s="10" t="s">
        <v>7147</v>
      </c>
      <c r="B750" s="49" t="str">
        <f t="shared" si="1"/>
        <v>Criminal False Communication</v>
      </c>
      <c r="C750" s="49" t="str">
        <f t="shared" si="2"/>
        <v>Criminal False Communication; Knowingly communicating to another, false information that will tend to expose another living person to public hatred, contempt or ridicule</v>
      </c>
      <c r="D750" s="49" t="str">
        <f t="shared" si="3"/>
        <v>21-6103(a)(1)(A)</v>
      </c>
      <c r="E750" s="11" t="s">
        <v>133</v>
      </c>
      <c r="F750" s="11">
        <v>3.0</v>
      </c>
      <c r="G750" s="11">
        <v>3.0</v>
      </c>
      <c r="H750" s="11">
        <v>3.0</v>
      </c>
      <c r="I750" s="11">
        <v>3.0</v>
      </c>
    </row>
    <row r="751">
      <c r="A751" s="10" t="s">
        <v>7148</v>
      </c>
      <c r="B751" s="49" t="str">
        <f t="shared" si="1"/>
        <v>Criminal False Communication</v>
      </c>
      <c r="C751" s="49" t="str">
        <f t="shared" si="2"/>
        <v>Criminal False Communication; Recklessly circulating false information or rumors with intent to injure financial standing or reputation of business or individual</v>
      </c>
      <c r="D751" s="49" t="str">
        <f t="shared" si="3"/>
        <v>21-6103(a)(2)</v>
      </c>
      <c r="E751" s="11" t="s">
        <v>133</v>
      </c>
      <c r="F751" s="11">
        <v>3.0</v>
      </c>
      <c r="G751" s="11">
        <v>3.0</v>
      </c>
      <c r="H751" s="11">
        <v>3.0</v>
      </c>
      <c r="I751" s="11">
        <v>3.0</v>
      </c>
    </row>
    <row r="752">
      <c r="A752" s="10" t="s">
        <v>7149</v>
      </c>
      <c r="B752" s="49" t="str">
        <f t="shared" si="1"/>
        <v>Criminal Hunting</v>
      </c>
      <c r="C752" s="49" t="str">
        <f t="shared" si="2"/>
        <v>Criminal Hunting; Knowing and unauthorized hunting, shooting, fur harvesting, pursuing any bird or animal, or fishing upon any land or non-navigable body of water of another and in defiance of an order not to enter or to leave</v>
      </c>
      <c r="D752" s="49" t="str">
        <f t="shared" si="3"/>
        <v>21-5810(a)(3)(A)</v>
      </c>
      <c r="E752" s="11" t="s">
        <v>133</v>
      </c>
      <c r="F752" s="11">
        <v>3.0</v>
      </c>
      <c r="G752" s="11">
        <v>3.0</v>
      </c>
      <c r="H752" s="11">
        <v>3.0</v>
      </c>
      <c r="I752" s="11">
        <v>3.0</v>
      </c>
    </row>
    <row r="753">
      <c r="A753" s="10" t="s">
        <v>7150</v>
      </c>
      <c r="B753" s="49" t="str">
        <f t="shared" si="1"/>
        <v>Criminal Hunting</v>
      </c>
      <c r="C753" s="49" t="str">
        <f t="shared" si="2"/>
        <v>Criminal Hunting; Knowing and unauthorized hunting, shooting, fur harvesting, pursuing any bird or animal, or fishing upon any land or non-navigable body of water of another where such premises or property are posted in a manner consistent with K.S.A. 32-1013</v>
      </c>
      <c r="D753" s="49" t="str">
        <f t="shared" si="3"/>
        <v>21-5810(a)(3)(B)</v>
      </c>
      <c r="E753" s="11" t="s">
        <v>133</v>
      </c>
      <c r="F753" s="11">
        <v>3.0</v>
      </c>
      <c r="G753" s="11">
        <v>3.0</v>
      </c>
      <c r="H753" s="11">
        <v>3.0</v>
      </c>
      <c r="I753" s="11">
        <v>3.0</v>
      </c>
    </row>
    <row r="754">
      <c r="A754" s="10" t="s">
        <v>7151</v>
      </c>
      <c r="B754" s="49" t="str">
        <f t="shared" si="1"/>
        <v>Criminal Hunting</v>
      </c>
      <c r="C754" s="49" t="str">
        <f t="shared" si="2"/>
        <v>Criminal Hunting; Knowingly hunting, shooting, fur harvesting, pursuing any bird or animal, or fishing upon any land or non-navigable body of water of another without consent</v>
      </c>
      <c r="D754" s="49" t="str">
        <f t="shared" si="3"/>
        <v>21-5810(a)(1)</v>
      </c>
      <c r="E754" s="11" t="s">
        <v>133</v>
      </c>
      <c r="F754" s="11">
        <v>3.0</v>
      </c>
      <c r="G754" s="11">
        <v>3.0</v>
      </c>
      <c r="H754" s="11">
        <v>3.0</v>
      </c>
      <c r="I754" s="11">
        <v>3.0</v>
      </c>
    </row>
    <row r="755">
      <c r="A755" s="10" t="s">
        <v>7152</v>
      </c>
      <c r="B755" s="49" t="str">
        <f t="shared" si="1"/>
        <v>Criminal Hunting</v>
      </c>
      <c r="C755" s="49" t="str">
        <f t="shared" si="2"/>
        <v>Criminal Hunting; Knowingly hunting, shooting, fur harvesting, pursuing any bird or animal, or fishing upon or from any public road, public road right-of-way or railroad right-of-way that adjoins occupied or improved premises without consent</v>
      </c>
      <c r="D755" s="49" t="str">
        <f t="shared" si="3"/>
        <v>21-5810(a)(2)</v>
      </c>
      <c r="E755" s="11" t="s">
        <v>133</v>
      </c>
      <c r="F755" s="11">
        <v>3.0</v>
      </c>
      <c r="G755" s="11">
        <v>3.0</v>
      </c>
      <c r="H755" s="11">
        <v>3.0</v>
      </c>
      <c r="I755" s="11">
        <v>3.0</v>
      </c>
    </row>
    <row r="756">
      <c r="A756" s="10" t="s">
        <v>7153</v>
      </c>
      <c r="B756" s="49" t="str">
        <f t="shared" si="1"/>
        <v>Criminal Littering</v>
      </c>
      <c r="C756" s="49" t="str">
        <f t="shared" si="2"/>
        <v>Criminal Littering; Recklessly deposit or cause to be deposited any object or substance into, upon or about: Any private property without consent</v>
      </c>
      <c r="D756" s="49" t="str">
        <f t="shared" si="3"/>
        <v>21-5815(a)(2)</v>
      </c>
      <c r="E756" s="11" t="s">
        <v>133</v>
      </c>
      <c r="F756" s="11">
        <v>3.0</v>
      </c>
      <c r="G756" s="11">
        <v>3.0</v>
      </c>
      <c r="H756" s="11">
        <v>3.0</v>
      </c>
      <c r="I756" s="11">
        <v>3.0</v>
      </c>
    </row>
    <row r="757">
      <c r="A757" s="10" t="s">
        <v>7154</v>
      </c>
      <c r="B757" s="49" t="str">
        <f t="shared" si="1"/>
        <v>Criminal Littering</v>
      </c>
      <c r="C757" s="49" t="str">
        <f t="shared" si="2"/>
        <v>Criminal Littering; Recklessly deposit or cause to be deposited any object or substance into, upon or about: Any public street, highway, alley, road, right-of-way, park or other public place, or any lake, stream, watercourse, or other body of water</v>
      </c>
      <c r="D757" s="49" t="str">
        <f t="shared" si="3"/>
        <v>21-5815(a)(1)</v>
      </c>
      <c r="E757" s="11" t="s">
        <v>133</v>
      </c>
      <c r="F757" s="11">
        <v>3.0</v>
      </c>
      <c r="G757" s="11">
        <v>3.0</v>
      </c>
      <c r="H757" s="11">
        <v>3.0</v>
      </c>
      <c r="I757" s="11">
        <v>3.0</v>
      </c>
    </row>
    <row r="758">
      <c r="A758" s="10" t="s">
        <v>7155</v>
      </c>
      <c r="B758" s="49" t="str">
        <f t="shared" si="1"/>
        <v>Criminal Possession of Explosives</v>
      </c>
      <c r="C758" s="49" t="str">
        <f t="shared" si="2"/>
        <v>Criminal Possession of Explosives; Possession of explosive or detonating substance by one who, within 5 yrs preceding such possession, has been convicted of a felony or has been released from imprisonment for a felony</v>
      </c>
      <c r="D758" s="49" t="str">
        <f t="shared" si="3"/>
        <v>21-6312(a)</v>
      </c>
      <c r="E758" s="11" t="s">
        <v>133</v>
      </c>
      <c r="F758" s="11">
        <v>3.0</v>
      </c>
      <c r="G758" s="11">
        <v>3.0</v>
      </c>
      <c r="H758" s="11">
        <v>3.0</v>
      </c>
      <c r="I758" s="11">
        <v>3.0</v>
      </c>
    </row>
    <row r="759">
      <c r="A759" s="10" t="s">
        <v>7156</v>
      </c>
      <c r="B759" s="49" t="str">
        <f t="shared" si="1"/>
        <v>Criminal Possession of Firearm</v>
      </c>
      <c r="C759" s="49" t="str">
        <f t="shared" si="2"/>
        <v>Criminal Possession of Firearm; Possession on the grounds of or in any building on the grounds of the governor's residence</v>
      </c>
      <c r="D759" s="49" t="str">
        <f t="shared" si="3"/>
        <v>21-6309(a)(3)</v>
      </c>
      <c r="E759" s="11" t="s">
        <v>133</v>
      </c>
      <c r="F759" s="11">
        <v>3.0</v>
      </c>
      <c r="G759" s="11">
        <v>3.0</v>
      </c>
      <c r="H759" s="11">
        <v>3.0</v>
      </c>
      <c r="I759" s="11">
        <v>3.0</v>
      </c>
    </row>
    <row r="760">
      <c r="A760" s="10" t="s">
        <v>7157</v>
      </c>
      <c r="B760" s="49" t="str">
        <f t="shared" si="1"/>
        <v>Criminal Possession of Firearm</v>
      </c>
      <c r="C760" s="49" t="str">
        <f t="shared" si="2"/>
        <v>Criminal Possession of Firearm; Possession within any county courthouse, unless authorized by county resolution</v>
      </c>
      <c r="D760" s="49" t="str">
        <f t="shared" si="3"/>
        <v>21-6309(a)(5)</v>
      </c>
      <c r="E760" s="11" t="s">
        <v>133</v>
      </c>
      <c r="F760" s="11">
        <v>3.0</v>
      </c>
      <c r="G760" s="11">
        <v>3.0</v>
      </c>
      <c r="H760" s="11">
        <v>3.0</v>
      </c>
      <c r="I760" s="11">
        <v>3.0</v>
      </c>
    </row>
    <row r="761">
      <c r="A761" s="10" t="s">
        <v>7158</v>
      </c>
      <c r="B761" s="49" t="str">
        <f t="shared" si="1"/>
        <v>Criminal Possession of Firearm</v>
      </c>
      <c r="C761" s="49" t="str">
        <f t="shared" si="2"/>
        <v>Criminal Possession of Firearm; Possession within any other state-owned or leased building if so designated and signs conspicuously posted</v>
      </c>
      <c r="D761" s="49" t="str">
        <f t="shared" si="3"/>
        <v>21-6309(a)(4)</v>
      </c>
      <c r="E761" s="11" t="s">
        <v>133</v>
      </c>
      <c r="F761" s="11">
        <v>3.0</v>
      </c>
      <c r="G761" s="11">
        <v>3.0</v>
      </c>
      <c r="H761" s="11">
        <v>3.0</v>
      </c>
      <c r="I761" s="11">
        <v>3.0</v>
      </c>
    </row>
    <row r="762">
      <c r="A762" s="10" t="s">
        <v>7159</v>
      </c>
      <c r="B762" s="49" t="str">
        <f t="shared" si="1"/>
        <v>Criminal Possession of Firearm</v>
      </c>
      <c r="C762" s="49" t="str">
        <f t="shared" si="2"/>
        <v>Criminal Possession of Firearm; Possession within the governor's residence</v>
      </c>
      <c r="D762" s="49" t="str">
        <f t="shared" si="3"/>
        <v>21-6309(a)(2)</v>
      </c>
      <c r="E762" s="11" t="s">
        <v>133</v>
      </c>
      <c r="F762" s="11">
        <v>3.0</v>
      </c>
      <c r="G762" s="11">
        <v>3.0</v>
      </c>
      <c r="H762" s="11">
        <v>3.0</v>
      </c>
      <c r="I762" s="11">
        <v>3.0</v>
      </c>
    </row>
    <row r="763">
      <c r="A763" s="10" t="s">
        <v>7160</v>
      </c>
      <c r="B763" s="49" t="str">
        <f t="shared" si="1"/>
        <v>Criminal Possession of Weapon by a Convicted Felon</v>
      </c>
      <c r="C763" s="49" t="str">
        <f t="shared" si="2"/>
        <v>Criminal Possession of Weapon by a Convicted Felon; By a person who has been convicted of a person felony or violation of the uniform controlled substances act or adjudicated as a juvenile offender and found to have possession of firearm at the time of the commission of the offense</v>
      </c>
      <c r="D763" s="49" t="str">
        <f t="shared" si="3"/>
        <v>21-6304(a)(1)</v>
      </c>
      <c r="E763" s="11" t="s">
        <v>133</v>
      </c>
      <c r="F763" s="11">
        <v>3.0</v>
      </c>
      <c r="G763" s="11">
        <v>3.0</v>
      </c>
      <c r="H763" s="11">
        <v>3.0</v>
      </c>
      <c r="I763" s="11">
        <v>3.0</v>
      </c>
    </row>
    <row r="764">
      <c r="A764" s="10" t="s">
        <v>7161</v>
      </c>
      <c r="B764" s="49" t="str">
        <f t="shared" si="1"/>
        <v>Criminal Possession of Weapon by a Convicted Felon</v>
      </c>
      <c r="C764" s="49" t="str">
        <f t="shared" si="2"/>
        <v>Criminal Possession of Weapon by a Convicted Felon; By a person who has been convicted, within the preceding 10 yrs, of a felony listed in this statute or an attempt, conspiracy or solicitation of such, or has been released from imprisonment for such, or was adjudicated as a juvenile offender, and was found not to have been in possession of a firearm at the time of the commission of the offense</v>
      </c>
      <c r="D764" s="49" t="str">
        <f t="shared" si="3"/>
        <v>21-6304(a)(3)(A)</v>
      </c>
      <c r="E764" s="11" t="s">
        <v>133</v>
      </c>
      <c r="F764" s="11">
        <v>3.0</v>
      </c>
      <c r="G764" s="11">
        <v>3.0</v>
      </c>
      <c r="H764" s="11">
        <v>3.0</v>
      </c>
      <c r="I764" s="11">
        <v>3.0</v>
      </c>
    </row>
    <row r="765">
      <c r="A765" s="10" t="s">
        <v>7162</v>
      </c>
      <c r="B765" s="49" t="str">
        <f t="shared" si="1"/>
        <v>Criminal Possession of Weapon by a Convicted Felon</v>
      </c>
      <c r="C765" s="49" t="str">
        <f t="shared" si="2"/>
        <v>Criminal Possession of Weapon by a Convicted Felon; By a person who has been convicted, within the preceding 10 yrs, of a nonperson felony, has been released from imprisonment for such or was adjudicated as a juvenile offender, and was found to have been in possession of a firearm at the time of the commission of the offense</v>
      </c>
      <c r="D765" s="49" t="str">
        <f t="shared" si="3"/>
        <v>21-6304(a)(3)(B)</v>
      </c>
      <c r="E765" s="11" t="s">
        <v>133</v>
      </c>
      <c r="F765" s="11">
        <v>3.0</v>
      </c>
      <c r="G765" s="11">
        <v>3.0</v>
      </c>
      <c r="H765" s="11">
        <v>3.0</v>
      </c>
      <c r="I765" s="11">
        <v>3.0</v>
      </c>
    </row>
    <row r="766">
      <c r="A766" s="10" t="s">
        <v>7163</v>
      </c>
      <c r="B766" s="49" t="str">
        <f t="shared" si="1"/>
        <v>Criminal Possession of Weapon by a Convicted Felon</v>
      </c>
      <c r="C766" s="49" t="str">
        <f t="shared" si="2"/>
        <v>Criminal Possession of Weapon by a Convicted Felon; By a person who has been convicted, within the preceding 5 yrs, of a felony other than (a)(3)(A) or violation of the uniform controlled substances act or adjudicated as a juvenile offender and found not to have been in possession of a firearm at the time of commission of offense</v>
      </c>
      <c r="D766" s="49" t="str">
        <f t="shared" si="3"/>
        <v>21-6304(a)(2)</v>
      </c>
      <c r="E766" s="11" t="s">
        <v>133</v>
      </c>
      <c r="F766" s="11">
        <v>3.0</v>
      </c>
      <c r="G766" s="11">
        <v>3.0</v>
      </c>
      <c r="H766" s="11">
        <v>3.0</v>
      </c>
      <c r="I766" s="11">
        <v>3.0</v>
      </c>
    </row>
    <row r="767">
      <c r="A767" s="10" t="s">
        <v>7164</v>
      </c>
      <c r="B767" s="49" t="str">
        <f t="shared" si="1"/>
        <v>Criminal Procedure</v>
      </c>
      <c r="C767" s="49" t="str">
        <f t="shared" si="2"/>
        <v>Criminal Procedure; Agreement on Detainers; escape from custody while in state on detainer</v>
      </c>
      <c r="D767" s="49" t="str">
        <f t="shared" si="3"/>
        <v>22-4405</v>
      </c>
      <c r="E767" s="11" t="s">
        <v>133</v>
      </c>
      <c r="F767" s="11">
        <v>3.0</v>
      </c>
      <c r="G767" s="11">
        <v>3.0</v>
      </c>
      <c r="H767" s="11">
        <v>3.0</v>
      </c>
      <c r="I767" s="11">
        <v>3.0</v>
      </c>
    </row>
    <row r="768">
      <c r="A768" s="10" t="s">
        <v>7165</v>
      </c>
      <c r="B768" s="49" t="str">
        <f t="shared" si="1"/>
        <v>Criminal Procedure</v>
      </c>
      <c r="C768" s="49" t="str">
        <f t="shared" si="2"/>
        <v>Criminal Procedure; Conditions of Release; surety or agent thereof; 1st conviction</v>
      </c>
      <c r="D768" s="49" t="str">
        <f t="shared" si="3"/>
        <v>22-2809a(b)</v>
      </c>
      <c r="E768" s="11" t="s">
        <v>133</v>
      </c>
      <c r="F768" s="11">
        <v>3.0</v>
      </c>
      <c r="G768" s="11">
        <v>3.0</v>
      </c>
      <c r="H768" s="11">
        <v>3.0</v>
      </c>
      <c r="I768" s="11">
        <v>3.0</v>
      </c>
    </row>
    <row r="769">
      <c r="A769" s="10" t="s">
        <v>7166</v>
      </c>
      <c r="B769" s="49" t="str">
        <f t="shared" si="1"/>
        <v>Criminal Procedure</v>
      </c>
      <c r="C769" s="49" t="str">
        <f t="shared" si="2"/>
        <v>Criminal Procedure; Conditions of Release; surety or agent thereof; 2nd or subs. offense</v>
      </c>
      <c r="D769" s="49" t="str">
        <f t="shared" si="3"/>
        <v>22-2809a(b),(c)</v>
      </c>
      <c r="E769" s="11" t="s">
        <v>133</v>
      </c>
      <c r="F769" s="11">
        <v>3.0</v>
      </c>
      <c r="G769" s="11">
        <v>3.0</v>
      </c>
      <c r="H769" s="11">
        <v>3.0</v>
      </c>
      <c r="I769" s="11">
        <v>3.0</v>
      </c>
    </row>
    <row r="770">
      <c r="A770" s="10" t="s">
        <v>7167</v>
      </c>
      <c r="B770" s="49" t="str">
        <f t="shared" si="1"/>
        <v>Criminal Procedure</v>
      </c>
      <c r="C770" s="49" t="str">
        <f t="shared" si="2"/>
        <v>Criminal Procedure; Unauthorized installation or use of pen register or a trap and trace device</v>
      </c>
      <c r="D770" s="49" t="str">
        <f t="shared" si="3"/>
        <v>22-2525(1)</v>
      </c>
      <c r="E770" s="11" t="s">
        <v>133</v>
      </c>
      <c r="F770" s="11">
        <v>3.0</v>
      </c>
      <c r="G770" s="11">
        <v>3.0</v>
      </c>
      <c r="H770" s="11">
        <v>3.0</v>
      </c>
      <c r="I770" s="11">
        <v>3.0</v>
      </c>
    </row>
    <row r="771">
      <c r="A771" s="10" t="s">
        <v>7168</v>
      </c>
      <c r="B771" s="49" t="str">
        <f t="shared" si="1"/>
        <v>Criminal Procedure</v>
      </c>
      <c r="C771" s="49" t="str">
        <f t="shared" si="2"/>
        <v>Criminal Procedure; Uniform Criminal Extradition Act; rights of accused person; application for writ of habeas corpus; notice; failure of officer to comply</v>
      </c>
      <c r="D771" s="49" t="str">
        <f t="shared" si="3"/>
        <v>22-2710</v>
      </c>
      <c r="E771" s="11" t="s">
        <v>133</v>
      </c>
      <c r="F771" s="11">
        <v>3.0</v>
      </c>
      <c r="G771" s="11">
        <v>3.0</v>
      </c>
      <c r="H771" s="11">
        <v>3.0</v>
      </c>
      <c r="I771" s="11">
        <v>3.0</v>
      </c>
    </row>
    <row r="772">
      <c r="A772" s="10" t="s">
        <v>7169</v>
      </c>
      <c r="B772" s="49" t="str">
        <f t="shared" si="1"/>
        <v>Criminal Procedure</v>
      </c>
      <c r="C772" s="49" t="str">
        <f t="shared" si="2"/>
        <v>Criminal Procedure; Unlawful for employers to require inspection of or challenge to any criminal history record information for the purpose of obtaining criminal history record to qualify for employment</v>
      </c>
      <c r="D772" s="49" t="str">
        <f t="shared" si="3"/>
        <v>22-4710(a)</v>
      </c>
      <c r="E772" s="11" t="s">
        <v>133</v>
      </c>
      <c r="F772" s="11">
        <v>3.0</v>
      </c>
      <c r="G772" s="11">
        <v>3.0</v>
      </c>
      <c r="H772" s="11">
        <v>3.0</v>
      </c>
      <c r="I772" s="11">
        <v>3.0</v>
      </c>
    </row>
    <row r="773">
      <c r="A773" s="10" t="s">
        <v>7170</v>
      </c>
      <c r="B773" s="49" t="str">
        <f t="shared" si="1"/>
        <v>Criminal Procedure</v>
      </c>
      <c r="C773" s="49" t="str">
        <f t="shared" si="2"/>
        <v>Criminal Procedure; Violation of restrictions on dissemination of criminal history record information</v>
      </c>
      <c r="D773" s="49" t="str">
        <f t="shared" si="3"/>
        <v>22-4707(a)</v>
      </c>
      <c r="E773" s="11" t="s">
        <v>133</v>
      </c>
      <c r="F773" s="11">
        <v>3.0</v>
      </c>
      <c r="G773" s="11">
        <v>3.0</v>
      </c>
      <c r="H773" s="11">
        <v>3.0</v>
      </c>
      <c r="I773" s="11">
        <v>3.0</v>
      </c>
    </row>
    <row r="774">
      <c r="A774" s="10" t="s">
        <v>7171</v>
      </c>
      <c r="B774" s="49" t="str">
        <f t="shared" si="1"/>
        <v>Criminal Restraint</v>
      </c>
      <c r="C774" s="49" t="str">
        <f t="shared" si="2"/>
        <v>Criminal Restraint; Except by parent and only when victim is less than 18</v>
      </c>
      <c r="D774" s="49" t="str">
        <f t="shared" si="3"/>
        <v>21-5411(a)</v>
      </c>
      <c r="E774" s="11" t="s">
        <v>133</v>
      </c>
      <c r="F774" s="11">
        <v>3.0</v>
      </c>
      <c r="G774" s="11">
        <v>3.0</v>
      </c>
      <c r="H774" s="11">
        <v>3.0</v>
      </c>
      <c r="I774" s="11">
        <v>3.0</v>
      </c>
    </row>
    <row r="775">
      <c r="A775" s="10" t="s">
        <v>7172</v>
      </c>
      <c r="B775" s="49" t="str">
        <f t="shared" si="1"/>
        <v>Criminal Street Gangs</v>
      </c>
      <c r="C775" s="49" t="str">
        <f t="shared" si="2"/>
        <v>Criminal Street Gangs; Intentionally recruiting criminal street gang membership</v>
      </c>
      <c r="D775" s="49" t="str">
        <f t="shared" si="3"/>
        <v>21-6314(a)</v>
      </c>
      <c r="E775" s="11" t="s">
        <v>133</v>
      </c>
      <c r="F775" s="11">
        <v>3.0</v>
      </c>
      <c r="G775" s="11">
        <v>3.0</v>
      </c>
      <c r="H775" s="11">
        <v>3.0</v>
      </c>
      <c r="I775" s="11">
        <v>3.0</v>
      </c>
    </row>
    <row r="776">
      <c r="A776" s="10" t="s">
        <v>7173</v>
      </c>
      <c r="B776" s="49" t="str">
        <f t="shared" si="1"/>
        <v>Criminal Street Gangs</v>
      </c>
      <c r="C776" s="49" t="str">
        <f t="shared" si="2"/>
        <v>Criminal Street Gangs; Intimidation; threaten injury to or actual injury of, or threaten damage or actual damage to property of, another to deter them from assisting a gang member in withdrawing from the gang</v>
      </c>
      <c r="D776" s="49" t="str">
        <f t="shared" si="3"/>
        <v>21-6315(a)(1)</v>
      </c>
      <c r="E776" s="11" t="s">
        <v>133</v>
      </c>
      <c r="F776" s="11">
        <v>3.0</v>
      </c>
      <c r="G776" s="11">
        <v>3.0</v>
      </c>
      <c r="H776" s="11">
        <v>3.0</v>
      </c>
      <c r="I776" s="11">
        <v>3.0</v>
      </c>
    </row>
    <row r="777">
      <c r="A777" s="10" t="s">
        <v>7174</v>
      </c>
      <c r="B777" s="49" t="str">
        <f t="shared" si="1"/>
        <v>Criminal Street Gangs</v>
      </c>
      <c r="C777" s="49" t="str">
        <f t="shared" si="2"/>
        <v>Criminal Street Gangs; Intimidation; threaten injury to or actual injury of, or threaten damage or actual damage to property of, another to punish or retaliate against such person having withdrawn from a gang</v>
      </c>
      <c r="D777" s="49" t="str">
        <f t="shared" si="3"/>
        <v>21-6315(a)(2)</v>
      </c>
      <c r="E777" s="11" t="s">
        <v>133</v>
      </c>
      <c r="F777" s="11">
        <v>3.0</v>
      </c>
      <c r="G777" s="11">
        <v>3.0</v>
      </c>
      <c r="H777" s="11">
        <v>3.0</v>
      </c>
      <c r="I777" s="11">
        <v>3.0</v>
      </c>
    </row>
    <row r="778">
      <c r="A778" s="10" t="s">
        <v>7175</v>
      </c>
      <c r="B778" s="49" t="str">
        <f t="shared" si="1"/>
        <v>Criminal Threat</v>
      </c>
      <c r="C778" s="49" t="str">
        <f t="shared" si="2"/>
        <v>Criminal Threat; Threaten to adulterate or contaminate any food, raw agricultural commodity, beverage, drug, animal feed, plant or public water supply</v>
      </c>
      <c r="D778" s="49" t="str">
        <f t="shared" si="3"/>
        <v>21-5415(a)(2)</v>
      </c>
      <c r="E778" s="11" t="s">
        <v>133</v>
      </c>
      <c r="F778" s="11">
        <v>3.0</v>
      </c>
      <c r="G778" s="11">
        <v>3.0</v>
      </c>
      <c r="H778" s="11">
        <v>3.0</v>
      </c>
      <c r="I778" s="11">
        <v>3.0</v>
      </c>
    </row>
    <row r="779">
      <c r="A779" s="10" t="s">
        <v>7176</v>
      </c>
      <c r="B779" s="49" t="str">
        <f t="shared" si="1"/>
        <v>Criminal Threat</v>
      </c>
      <c r="C779" s="49" t="str">
        <f t="shared" si="2"/>
        <v>Criminal Threat; Threaten to commit violence with intent to place another in fear, to cause the evacuation, lock down or disruption in regular, ongoing activities of any building, place of assembly or facility of transportation, or in reckless disregard of the risk of causing such  fear or evacuation, lock down or disruption in regular, ongoing activities</v>
      </c>
      <c r="D779" s="49" t="str">
        <f t="shared" si="3"/>
        <v>21-5415(a)(1)</v>
      </c>
      <c r="E779" s="11" t="s">
        <v>133</v>
      </c>
      <c r="F779" s="11">
        <v>3.0</v>
      </c>
      <c r="G779" s="11">
        <v>3.0</v>
      </c>
      <c r="H779" s="11">
        <v>3.0</v>
      </c>
      <c r="I779" s="11">
        <v>3.0</v>
      </c>
    </row>
    <row r="780">
      <c r="A780" s="10" t="s">
        <v>7177</v>
      </c>
      <c r="B780" s="49" t="str">
        <f t="shared" si="1"/>
        <v>Criminal Threat</v>
      </c>
      <c r="C780" s="49" t="str">
        <f t="shared" si="2"/>
        <v>Criminal Threat; Threaten to expose any animal in this state to any contagious or infectious disease</v>
      </c>
      <c r="D780" s="49" t="str">
        <f t="shared" si="3"/>
        <v>21-5415(a)(3)</v>
      </c>
      <c r="E780" s="11" t="s">
        <v>133</v>
      </c>
      <c r="F780" s="11">
        <v>3.0</v>
      </c>
      <c r="G780" s="11">
        <v>3.0</v>
      </c>
      <c r="H780" s="11">
        <v>3.0</v>
      </c>
      <c r="I780" s="11">
        <v>3.0</v>
      </c>
    </row>
    <row r="781">
      <c r="A781" s="10" t="s">
        <v>7178</v>
      </c>
      <c r="B781" s="49" t="str">
        <f t="shared" si="1"/>
        <v>Criminal Trespass on a Nuclear Generating Facility</v>
      </c>
      <c r="C781" s="49" t="str">
        <f t="shared" si="2"/>
        <v>Criminal Trespass on a Nuclear Generating Facility; Entering/remaining unlawfully in or on facility</v>
      </c>
      <c r="D781" s="49" t="str">
        <f t="shared" si="3"/>
        <v>66-2303(a)(1)</v>
      </c>
      <c r="E781" s="11" t="s">
        <v>133</v>
      </c>
      <c r="F781" s="11">
        <v>3.0</v>
      </c>
      <c r="G781" s="11">
        <v>3.0</v>
      </c>
      <c r="H781" s="11">
        <v>3.0</v>
      </c>
      <c r="I781" s="11">
        <v>3.0</v>
      </c>
    </row>
    <row r="782">
      <c r="A782" s="10" t="s">
        <v>7179</v>
      </c>
      <c r="B782" s="49" t="str">
        <f t="shared" si="1"/>
        <v>Criminal Trespass on a Nuclear Generating Facility</v>
      </c>
      <c r="C782" s="49" t="str">
        <f t="shared" si="2"/>
        <v>Criminal Trespass on a Nuclear Generating Facility; Entering/remaining unlawfully within a structure or fenced yard of a facility</v>
      </c>
      <c r="D782" s="49" t="str">
        <f t="shared" si="3"/>
        <v>66-2303(a)(2)</v>
      </c>
      <c r="E782" s="11" t="s">
        <v>133</v>
      </c>
      <c r="F782" s="11">
        <v>3.0</v>
      </c>
      <c r="G782" s="11">
        <v>3.0</v>
      </c>
      <c r="H782" s="11">
        <v>3.0</v>
      </c>
      <c r="I782" s="11">
        <v>3.0</v>
      </c>
    </row>
    <row r="783">
      <c r="A783" s="10" t="s">
        <v>7180</v>
      </c>
      <c r="B783" s="49" t="str">
        <f t="shared" si="1"/>
        <v>Criminal Trespass</v>
      </c>
      <c r="C783" s="49" t="str">
        <f t="shared" si="2"/>
        <v>Criminal Trespass; Enter or remain upon or in any land, non-navigable body of water, structure, vehicle, aircraft or watercraft; In defiance of a restraining order</v>
      </c>
      <c r="D783" s="49" t="str">
        <f t="shared" si="3"/>
        <v>21-5808a(a)(1)(C)</v>
      </c>
      <c r="E783" s="11" t="s">
        <v>133</v>
      </c>
      <c r="F783" s="11">
        <v>3.0</v>
      </c>
      <c r="G783" s="11">
        <v>3.0</v>
      </c>
      <c r="H783" s="11">
        <v>3.0</v>
      </c>
      <c r="I783" s="11">
        <v>3.0</v>
      </c>
    </row>
    <row r="784">
      <c r="A784" s="10" t="s">
        <v>7181</v>
      </c>
      <c r="B784" s="49" t="str">
        <f t="shared" si="1"/>
        <v>Criminal Trespass</v>
      </c>
      <c r="C784" s="49" t="str">
        <f t="shared" si="2"/>
        <v>Criminal Trespass; Enter or remain upon or in any land, non-navigable body of water, structure, vehicle, aircraft or watercraft; In defiance of an order not to enter or to leave</v>
      </c>
      <c r="D784" s="49" t="str">
        <f t="shared" si="3"/>
        <v>21-5808a(a)(1)(A)</v>
      </c>
      <c r="E784" s="11" t="s">
        <v>133</v>
      </c>
      <c r="F784" s="11">
        <v>3.0</v>
      </c>
      <c r="G784" s="11">
        <v>3.0</v>
      </c>
      <c r="H784" s="11">
        <v>3.0</v>
      </c>
      <c r="I784" s="11">
        <v>3.0</v>
      </c>
    </row>
    <row r="785">
      <c r="A785" s="10" t="s">
        <v>7182</v>
      </c>
      <c r="B785" s="49" t="str">
        <f t="shared" si="1"/>
        <v>Criminal Trespass</v>
      </c>
      <c r="C785" s="49" t="str">
        <f t="shared" si="2"/>
        <v>Criminal Trespass; Enter or remain upon or in any land, non-navigable body of water, structure, vehicle, aircraft or watercraft; Premises or property posted as provided in K.S.A. 32-1013 or any other manner reasonably likely to come to the attention of intruders, locked, fenced or otherwise secured against passage or entry</v>
      </c>
      <c r="D785" s="49" t="str">
        <f t="shared" si="3"/>
        <v>21-5808a(a)(1)(B)</v>
      </c>
      <c r="E785" s="11" t="s">
        <v>133</v>
      </c>
      <c r="F785" s="11">
        <v>3.0</v>
      </c>
      <c r="G785" s="11">
        <v>3.0</v>
      </c>
      <c r="H785" s="11">
        <v>3.0</v>
      </c>
      <c r="I785" s="11">
        <v>3.0</v>
      </c>
    </row>
    <row r="786">
      <c r="A786" s="10" t="s">
        <v>7183</v>
      </c>
      <c r="B786" s="49" t="str">
        <f t="shared" si="1"/>
        <v>Criminal Trespass</v>
      </c>
      <c r="C786" s="49" t="str">
        <f t="shared" si="2"/>
        <v>Criminal Trespass; Enter or remain upon or in public or private land or structure so as to interfere with access to or from any health care facility in defiance of an order not to enter or to leave</v>
      </c>
      <c r="D786" s="49" t="str">
        <f t="shared" si="3"/>
        <v>21-5808(a)(2)</v>
      </c>
      <c r="E786" s="11" t="s">
        <v>133</v>
      </c>
      <c r="F786" s="11">
        <v>3.0</v>
      </c>
      <c r="G786" s="11">
        <v>3.0</v>
      </c>
      <c r="H786" s="11">
        <v>3.0</v>
      </c>
      <c r="I786" s="11">
        <v>3.0</v>
      </c>
    </row>
    <row r="787">
      <c r="A787" s="10" t="s">
        <v>7184</v>
      </c>
      <c r="B787" s="49" t="str">
        <f t="shared" si="1"/>
        <v>Criminal Use of  Financial Card</v>
      </c>
      <c r="C787" s="49" t="str">
        <f t="shared" si="2"/>
        <v>Criminal Use of  Financial Card; Use a revoked or canceled financial card, or the number or description thereof; $25,000 or more within 7 days</v>
      </c>
      <c r="D787" s="49" t="str">
        <f t="shared" si="3"/>
        <v>21-5828(a)(2)</v>
      </c>
      <c r="E787" s="11" t="s">
        <v>133</v>
      </c>
      <c r="F787" s="11">
        <v>3.0</v>
      </c>
      <c r="G787" s="11">
        <v>3.0</v>
      </c>
      <c r="H787" s="11">
        <v>3.0</v>
      </c>
      <c r="I787" s="11">
        <v>3.0</v>
      </c>
    </row>
    <row r="788">
      <c r="A788" s="10" t="s">
        <v>7185</v>
      </c>
      <c r="B788" s="49" t="str">
        <f t="shared" si="1"/>
        <v>Criminal Use of a Financial Card</v>
      </c>
      <c r="C788" s="49" t="str">
        <f t="shared" si="2"/>
        <v>Criminal Use of a Financial Card; Using a falsified, mutilated, altered or nonexistent financial card or a number or description; value at less than $1,000 within 7 days</v>
      </c>
      <c r="D788" s="49" t="str">
        <f t="shared" si="3"/>
        <v>21-5828(a)(3)</v>
      </c>
      <c r="E788" s="11" t="s">
        <v>133</v>
      </c>
      <c r="F788" s="11">
        <v>3.0</v>
      </c>
      <c r="G788" s="11">
        <v>3.0</v>
      </c>
      <c r="H788" s="11">
        <v>3.0</v>
      </c>
      <c r="I788" s="11">
        <v>3.0</v>
      </c>
    </row>
    <row r="789">
      <c r="A789" s="10" t="s">
        <v>7186</v>
      </c>
      <c r="B789" s="49" t="str">
        <f t="shared" si="1"/>
        <v>Criminal Use of a Financial Card</v>
      </c>
      <c r="C789" s="49" t="str">
        <f t="shared" si="2"/>
        <v>Criminal Use of a Financial Card; Using a financial card without the consent of the cardholder; value at less than $1,000 within 7 days</v>
      </c>
      <c r="D789" s="49" t="str">
        <f t="shared" si="3"/>
        <v>21-5828(a)(1)</v>
      </c>
      <c r="E789" s="11" t="s">
        <v>133</v>
      </c>
      <c r="F789" s="11">
        <v>3.0</v>
      </c>
      <c r="G789" s="11">
        <v>3.0</v>
      </c>
      <c r="H789" s="11">
        <v>3.0</v>
      </c>
      <c r="I789" s="11">
        <v>3.0</v>
      </c>
    </row>
    <row r="790">
      <c r="A790" s="10" t="s">
        <v>7187</v>
      </c>
      <c r="B790" s="49" t="str">
        <f t="shared" si="1"/>
        <v>Criminal Use of a Financial Card</v>
      </c>
      <c r="C790" s="49" t="str">
        <f t="shared" si="2"/>
        <v>Criminal Use of a Financial Card; Using a financial card, or the number or description, which has been revoked or canceled; value at less than $1,000 within 7 days</v>
      </c>
      <c r="D790" s="49" t="str">
        <f t="shared" si="3"/>
        <v>21-5828(a)(2)</v>
      </c>
      <c r="E790" s="11" t="s">
        <v>133</v>
      </c>
      <c r="F790" s="11">
        <v>3.0</v>
      </c>
      <c r="G790" s="11">
        <v>3.0</v>
      </c>
      <c r="H790" s="11">
        <v>3.0</v>
      </c>
      <c r="I790" s="11">
        <v>3.0</v>
      </c>
    </row>
    <row r="791">
      <c r="A791" s="10" t="s">
        <v>7188</v>
      </c>
      <c r="B791" s="49" t="str">
        <f t="shared" si="1"/>
        <v>Criminal Use of Explosives</v>
      </c>
      <c r="C791" s="49" t="str">
        <f t="shared" si="2"/>
        <v>Criminal Use of Explosives; Unauthorized possession, creation or construction of a simulated explosive device with the intent to intimidate or cause alarm to another person</v>
      </c>
      <c r="D791" s="49" t="str">
        <f t="shared" si="3"/>
        <v>21-5814(a)(2)</v>
      </c>
      <c r="E791" s="11" t="s">
        <v>133</v>
      </c>
      <c r="F791" s="11">
        <v>3.0</v>
      </c>
      <c r="G791" s="11">
        <v>3.0</v>
      </c>
      <c r="H791" s="11">
        <v>3.0</v>
      </c>
      <c r="I791" s="11">
        <v>3.0</v>
      </c>
    </row>
    <row r="792">
      <c r="A792" s="10" t="s">
        <v>7189</v>
      </c>
      <c r="B792" s="49" t="str">
        <f t="shared" si="1"/>
        <v>Criminal Use of Explosives</v>
      </c>
      <c r="C792" s="49" t="str">
        <f t="shared" si="2"/>
        <v>Criminal Use of Explosives; Unauthorized possession, manufacture or transportation of commercial explosives</v>
      </c>
      <c r="D792" s="49" t="str">
        <f t="shared" si="3"/>
        <v>21-5814(a)(1)</v>
      </c>
      <c r="E792" s="11" t="s">
        <v>133</v>
      </c>
      <c r="F792" s="11">
        <v>3.0</v>
      </c>
      <c r="G792" s="11">
        <v>3.0</v>
      </c>
      <c r="H792" s="11">
        <v>3.0</v>
      </c>
      <c r="I792" s="11">
        <v>3.0</v>
      </c>
    </row>
    <row r="793">
      <c r="A793" s="10" t="s">
        <v>7190</v>
      </c>
      <c r="B793" s="49" t="str">
        <f t="shared" si="1"/>
        <v>Criminal Use of Explosives</v>
      </c>
      <c r="C793" s="49" t="str">
        <f t="shared" si="2"/>
        <v>Criminal Use of Explosives; Unauthorized possession, manufacture or transportation of commercial explosives intended to be used to commit a crime or delivered to another knowing such other intends to use such substance to commit a crime</v>
      </c>
      <c r="D793" s="49" t="str">
        <f t="shared" si="3"/>
        <v>21-5814(a)(1)</v>
      </c>
      <c r="E793" s="11" t="s">
        <v>133</v>
      </c>
      <c r="F793" s="11">
        <v>3.0</v>
      </c>
      <c r="G793" s="11">
        <v>3.0</v>
      </c>
      <c r="H793" s="11">
        <v>3.0</v>
      </c>
      <c r="I793" s="11">
        <v>3.0</v>
      </c>
    </row>
    <row r="794">
      <c r="A794" s="10" t="s">
        <v>7191</v>
      </c>
      <c r="B794" s="49" t="str">
        <f t="shared" si="1"/>
        <v>Criminal Use of Explosives</v>
      </c>
      <c r="C794" s="49" t="str">
        <f t="shared" si="2"/>
        <v>Criminal Use of Explosives; Unauthorized possession, manufacture or transportation of commercial explosives when a public safety officer is placed at risk to defuse such explosive</v>
      </c>
      <c r="D794" s="49" t="str">
        <f t="shared" si="3"/>
        <v>21-5814(a)(1)</v>
      </c>
      <c r="E794" s="11" t="s">
        <v>133</v>
      </c>
      <c r="F794" s="11">
        <v>3.0</v>
      </c>
      <c r="G794" s="11">
        <v>3.0</v>
      </c>
      <c r="H794" s="11">
        <v>3.0</v>
      </c>
      <c r="I794" s="11">
        <v>3.0</v>
      </c>
    </row>
    <row r="795">
      <c r="A795" s="10" t="s">
        <v>7192</v>
      </c>
      <c r="B795" s="49" t="str">
        <f t="shared" si="1"/>
        <v>Criminal Use of Explosives</v>
      </c>
      <c r="C795" s="49" t="str">
        <f t="shared" si="2"/>
        <v>Criminal Use of Explosives; Unauthorized possession, manufacture or transportation of commercial explosives when introduced into a building in which there is another human being</v>
      </c>
      <c r="D795" s="49" t="str">
        <f t="shared" si="3"/>
        <v>21-5814(a)(1)</v>
      </c>
      <c r="E795" s="11" t="s">
        <v>133</v>
      </c>
      <c r="F795" s="11">
        <v>3.0</v>
      </c>
      <c r="G795" s="11">
        <v>3.0</v>
      </c>
      <c r="H795" s="11">
        <v>3.0</v>
      </c>
      <c r="I795" s="11">
        <v>3.0</v>
      </c>
    </row>
    <row r="796">
      <c r="A796" s="10" t="s">
        <v>7193</v>
      </c>
      <c r="B796" s="49" t="str">
        <f t="shared" si="1"/>
        <v>Criminal Use of Financial Card</v>
      </c>
      <c r="C796" s="49" t="str">
        <f t="shared" si="2"/>
        <v>Criminal Use of Financial Card; Use a falsified, mutilated, altered or nonexistent financial card or a number or description thereof; $25,000 or more within 7 days</v>
      </c>
      <c r="D796" s="49" t="str">
        <f t="shared" si="3"/>
        <v>21-5828(a)(3)</v>
      </c>
      <c r="E796" s="11" t="s">
        <v>133</v>
      </c>
      <c r="F796" s="11">
        <v>3.0</v>
      </c>
      <c r="G796" s="11">
        <v>3.0</v>
      </c>
      <c r="H796" s="11">
        <v>3.0</v>
      </c>
      <c r="I796" s="11">
        <v>3.0</v>
      </c>
    </row>
    <row r="797">
      <c r="A797" s="10" t="s">
        <v>7194</v>
      </c>
      <c r="B797" s="49" t="str">
        <f t="shared" si="1"/>
        <v>Criminal Use of Financial Card</v>
      </c>
      <c r="C797" s="49" t="str">
        <f t="shared" si="2"/>
        <v>Criminal Use of Financial Card; Use a falsified, mutilated, altered or nonexistent financial card or a number or description thereof; at least $1,000 but less than $25,000 within 7 days</v>
      </c>
      <c r="D797" s="49" t="str">
        <f t="shared" si="3"/>
        <v>21-5828(a)(3)</v>
      </c>
      <c r="E797" s="11" t="s">
        <v>133</v>
      </c>
      <c r="F797" s="11">
        <v>3.0</v>
      </c>
      <c r="G797" s="11">
        <v>3.0</v>
      </c>
      <c r="H797" s="11">
        <v>3.0</v>
      </c>
      <c r="I797" s="11">
        <v>3.0</v>
      </c>
    </row>
    <row r="798">
      <c r="A798" s="10" t="s">
        <v>7195</v>
      </c>
      <c r="B798" s="49" t="str">
        <f t="shared" si="1"/>
        <v>Criminal Use of Financial Card</v>
      </c>
      <c r="C798" s="49" t="str">
        <f t="shared" si="2"/>
        <v>Criminal Use of Financial Card; Use a financial card without consent of the cardholder; $25,000 or more within 7 days</v>
      </c>
      <c r="D798" s="49" t="str">
        <f t="shared" si="3"/>
        <v>21-5828(a)(1)</v>
      </c>
      <c r="E798" s="11" t="s">
        <v>133</v>
      </c>
      <c r="F798" s="11">
        <v>3.0</v>
      </c>
      <c r="G798" s="11">
        <v>3.0</v>
      </c>
      <c r="H798" s="11">
        <v>3.0</v>
      </c>
      <c r="I798" s="11">
        <v>3.0</v>
      </c>
    </row>
    <row r="799">
      <c r="A799" s="10" t="s">
        <v>7196</v>
      </c>
      <c r="B799" s="49" t="str">
        <f t="shared" si="1"/>
        <v>Criminal Use of Financial Card</v>
      </c>
      <c r="C799" s="49" t="str">
        <f t="shared" si="2"/>
        <v>Criminal Use of Financial Card; Use a financial card without consent of the cardholder; at least $1,000 but less than $25,000 within 7 days</v>
      </c>
      <c r="D799" s="49" t="str">
        <f t="shared" si="3"/>
        <v>21-5828(a)(1)</v>
      </c>
      <c r="E799" s="11" t="s">
        <v>133</v>
      </c>
      <c r="F799" s="11">
        <v>3.0</v>
      </c>
      <c r="G799" s="11">
        <v>3.0</v>
      </c>
      <c r="H799" s="11">
        <v>3.0</v>
      </c>
      <c r="I799" s="11">
        <v>3.0</v>
      </c>
    </row>
    <row r="800">
      <c r="A800" s="10" t="s">
        <v>7197</v>
      </c>
      <c r="B800" s="49" t="str">
        <f t="shared" si="1"/>
        <v>Criminal Use of Financial Card</v>
      </c>
      <c r="C800" s="49" t="str">
        <f t="shared" si="2"/>
        <v>Criminal Use of Financial Card; Use a revoked or canceled financial card, or the number or description thereof; at least $1000 but less than $25,000 within 7 days</v>
      </c>
      <c r="D800" s="49" t="str">
        <f t="shared" si="3"/>
        <v>21-5828(a)(2)</v>
      </c>
      <c r="E800" s="11" t="s">
        <v>133</v>
      </c>
      <c r="F800" s="11">
        <v>3.0</v>
      </c>
      <c r="G800" s="11">
        <v>3.0</v>
      </c>
      <c r="H800" s="11">
        <v>3.0</v>
      </c>
      <c r="I800" s="11">
        <v>3.0</v>
      </c>
    </row>
    <row r="801">
      <c r="A801" s="10" t="s">
        <v>7198</v>
      </c>
      <c r="B801" s="49" t="str">
        <f t="shared" si="1"/>
        <v>Criminal Use of Weapons</v>
      </c>
      <c r="C801" s="49" t="str">
        <f t="shared" si="2"/>
        <v>Criminal Use of Weapons; Knowingly possess a firearm with barrel less than 12 inches long by any person less than 18 years of age; 1st conviction</v>
      </c>
      <c r="D801" s="49" t="str">
        <f t="shared" si="3"/>
        <v>21-6301(a)(14)</v>
      </c>
      <c r="E801" s="11" t="s">
        <v>133</v>
      </c>
      <c r="F801" s="11">
        <v>3.0</v>
      </c>
      <c r="G801" s="11">
        <v>3.0</v>
      </c>
      <c r="H801" s="11">
        <v>3.0</v>
      </c>
      <c r="I801" s="11">
        <v>3.0</v>
      </c>
    </row>
    <row r="802">
      <c r="A802" s="10" t="s">
        <v>7199</v>
      </c>
      <c r="B802" s="49" t="str">
        <f t="shared" si="1"/>
        <v>Criminal Use of Weapons</v>
      </c>
      <c r="C802" s="49" t="str">
        <f t="shared" si="2"/>
        <v>Criminal Use of Weapons; Knowingly possess any device used to silence firearm</v>
      </c>
      <c r="D802" s="49" t="str">
        <f t="shared" si="3"/>
        <v>21-6301(a)(4)</v>
      </c>
      <c r="E802" s="11" t="s">
        <v>133</v>
      </c>
      <c r="F802" s="11">
        <v>3.0</v>
      </c>
      <c r="G802" s="11">
        <v>3.0</v>
      </c>
      <c r="H802" s="11">
        <v>3.0</v>
      </c>
      <c r="I802" s="11">
        <v>3.0</v>
      </c>
    </row>
    <row r="803">
      <c r="A803" s="10" t="s">
        <v>7200</v>
      </c>
      <c r="B803" s="49" t="str">
        <f t="shared" si="1"/>
        <v>Criminal Use of Weapons</v>
      </c>
      <c r="C803" s="49" t="str">
        <f t="shared" si="2"/>
        <v>Criminal Use of Weapons; Knowingly possess any firearm by person addicted to and unlawful user of a controlled substance</v>
      </c>
      <c r="D803" s="49" t="str">
        <f t="shared" si="3"/>
        <v>21-6301(a)(10)</v>
      </c>
      <c r="E803" s="11" t="s">
        <v>133</v>
      </c>
      <c r="F803" s="11">
        <v>3.0</v>
      </c>
      <c r="G803" s="11">
        <v>3.0</v>
      </c>
      <c r="H803" s="11">
        <v>3.0</v>
      </c>
      <c r="I803" s="11">
        <v>3.0</v>
      </c>
    </row>
    <row r="804">
      <c r="A804" s="10" t="s">
        <v>7201</v>
      </c>
      <c r="B804" s="49" t="str">
        <f t="shared" si="1"/>
        <v>Criminal Use of Weapons</v>
      </c>
      <c r="C804" s="49" t="str">
        <f t="shared" si="2"/>
        <v>Criminal Use of Weapons; Knowingly possess any firearm by person other than LEO on school property/grounds or at school sponsored activity</v>
      </c>
      <c r="D804" s="49" t="str">
        <f t="shared" si="3"/>
        <v>21-6301(a)(11)</v>
      </c>
      <c r="E804" s="11" t="s">
        <v>133</v>
      </c>
      <c r="F804" s="11">
        <v>3.0</v>
      </c>
      <c r="G804" s="11">
        <v>3.0</v>
      </c>
      <c r="H804" s="11">
        <v>3.0</v>
      </c>
      <c r="I804" s="11">
        <v>3.0</v>
      </c>
    </row>
    <row r="805">
      <c r="A805" s="10" t="s">
        <v>7202</v>
      </c>
      <c r="B805" s="49" t="str">
        <f t="shared" si="1"/>
        <v>Criminal Use of Weapons</v>
      </c>
      <c r="C805" s="49" t="str">
        <f t="shared" si="2"/>
        <v>Criminal Use of Weapons; Knowingly possess with intent to unlawfully use against another, a dagger, dirk, billy, blackjack, slingshot, dangerous knife, straight-edge razor, stiletto, or other dangerous or deadly weapon; except ordinary pocket knife</v>
      </c>
      <c r="D805" s="49" t="str">
        <f t="shared" si="3"/>
        <v>21-6301(a)(2)</v>
      </c>
      <c r="E805" s="11" t="s">
        <v>133</v>
      </c>
      <c r="F805" s="11">
        <v>3.0</v>
      </c>
      <c r="G805" s="11">
        <v>3.0</v>
      </c>
      <c r="H805" s="11">
        <v>3.0</v>
      </c>
      <c r="I805" s="11">
        <v>3.0</v>
      </c>
    </row>
    <row r="806">
      <c r="A806" s="10" t="s">
        <v>7203</v>
      </c>
      <c r="B806" s="49" t="str">
        <f t="shared" si="1"/>
        <v>Criminal Use of Weapons</v>
      </c>
      <c r="C806" s="49" t="str">
        <f t="shared" si="2"/>
        <v>Criminal Use of Weapons; Knowingly possess, manufacture, sell, offer for sale, lend, purchase or give away any handgun cartridge with a plastic-coated bullet having a core of less than 60% lead by weight</v>
      </c>
      <c r="D806" s="49" t="str">
        <f t="shared" si="3"/>
        <v>21-6301(a)(6)</v>
      </c>
      <c r="E806" s="11" t="s">
        <v>133</v>
      </c>
      <c r="F806" s="11">
        <v>3.0</v>
      </c>
      <c r="G806" s="11">
        <v>3.0</v>
      </c>
      <c r="H806" s="11">
        <v>3.0</v>
      </c>
      <c r="I806" s="11">
        <v>3.0</v>
      </c>
    </row>
    <row r="807">
      <c r="A807" s="10" t="s">
        <v>7204</v>
      </c>
      <c r="B807" s="49" t="str">
        <f t="shared" si="1"/>
        <v>Criminal Use of Weapons</v>
      </c>
      <c r="C807" s="49" t="str">
        <f t="shared" si="2"/>
        <v>Criminal Use of Weapons; Knowingly possession by one who is or has been a mentally ill person or, persons with alcohol or substance abuse problems, if subject to involuntary commitment for care and treatment</v>
      </c>
      <c r="D807" s="49" t="str">
        <f t="shared" si="3"/>
        <v>21-6301(a)(13)</v>
      </c>
      <c r="E807" s="11" t="s">
        <v>133</v>
      </c>
      <c r="F807" s="11">
        <v>3.0</v>
      </c>
      <c r="G807" s="11">
        <v>3.0</v>
      </c>
      <c r="H807" s="11">
        <v>3.0</v>
      </c>
      <c r="I807" s="11">
        <v>3.0</v>
      </c>
    </row>
    <row r="808">
      <c r="A808" s="10" t="s">
        <v>7205</v>
      </c>
      <c r="B808" s="49" t="str">
        <f t="shared" si="1"/>
        <v>Criminal Use of Weapons</v>
      </c>
      <c r="C808" s="49" t="str">
        <f t="shared" si="2"/>
        <v>Criminal Use of Weapons; Knowingly possession by person under 18 - barrel less than 12 inches long; 2nd and subs. conviction</v>
      </c>
      <c r="D808" s="49" t="str">
        <f t="shared" si="3"/>
        <v>21-6301(a)(14)</v>
      </c>
      <c r="E808" s="11" t="s">
        <v>133</v>
      </c>
      <c r="F808" s="11">
        <v>3.0</v>
      </c>
      <c r="G808" s="11">
        <v>3.0</v>
      </c>
      <c r="H808" s="11">
        <v>3.0</v>
      </c>
      <c r="I808" s="11">
        <v>3.0</v>
      </c>
    </row>
    <row r="809">
      <c r="A809" s="10" t="s">
        <v>7206</v>
      </c>
      <c r="B809" s="49" t="str">
        <f t="shared" si="1"/>
        <v>Criminal Use of Weapons</v>
      </c>
      <c r="C809" s="49" t="str">
        <f t="shared" si="2"/>
        <v>Criminal Use of Weapons; Knowingly refuse to surrender or immediately remove any firearm from school property/grounds or school sponsored activity as requested by one with authority</v>
      </c>
      <c r="D809" s="49" t="str">
        <f t="shared" si="3"/>
        <v>21-6301(a)(12)</v>
      </c>
      <c r="E809" s="11" t="s">
        <v>133</v>
      </c>
      <c r="F809" s="11">
        <v>3.0</v>
      </c>
      <c r="G809" s="11">
        <v>3.0</v>
      </c>
      <c r="H809" s="11">
        <v>3.0</v>
      </c>
      <c r="I809" s="11">
        <v>3.0</v>
      </c>
    </row>
    <row r="810">
      <c r="A810" s="10" t="s">
        <v>7207</v>
      </c>
      <c r="B810" s="49" t="str">
        <f t="shared" si="1"/>
        <v>Criminal Use of Weapons</v>
      </c>
      <c r="C810" s="49" t="str">
        <f t="shared" si="2"/>
        <v>Criminal Use of Weapons; Knowingly sell, manufacture, purchase, possess or carry a shotgun with a barrel less than 18 inches in length or any automatic weapons</v>
      </c>
      <c r="D810" s="49" t="str">
        <f t="shared" si="3"/>
        <v>21-6301(a)(5)</v>
      </c>
      <c r="E810" s="11" t="s">
        <v>133</v>
      </c>
      <c r="F810" s="11">
        <v>3.0</v>
      </c>
      <c r="G810" s="11">
        <v>3.0</v>
      </c>
      <c r="H810" s="11">
        <v>3.0</v>
      </c>
      <c r="I810" s="11">
        <v>3.0</v>
      </c>
    </row>
    <row r="811">
      <c r="A811" s="10" t="s">
        <v>7208</v>
      </c>
      <c r="B811" s="49" t="str">
        <f t="shared" si="1"/>
        <v>Criminal Use of Weapons</v>
      </c>
      <c r="C811" s="49" t="str">
        <f t="shared" si="2"/>
        <v>Criminal Use of Weapons; Knowingly selling, manufacturing, purchasing or possessing bludgeon, sand club, switch-blade, throwing stars, metal knuckles</v>
      </c>
      <c r="D811" s="49" t="str">
        <f t="shared" si="3"/>
        <v>21-6301(a)(1)</v>
      </c>
      <c r="E811" s="11" t="s">
        <v>133</v>
      </c>
      <c r="F811" s="11">
        <v>3.0</v>
      </c>
      <c r="G811" s="11">
        <v>3.0</v>
      </c>
      <c r="H811" s="11">
        <v>3.0</v>
      </c>
      <c r="I811" s="11">
        <v>3.0</v>
      </c>
    </row>
    <row r="812">
      <c r="A812" s="10" t="s">
        <v>7209</v>
      </c>
      <c r="B812" s="49" t="str">
        <f t="shared" si="1"/>
        <v>Criminal Use of Weapons</v>
      </c>
      <c r="C812" s="49" t="str">
        <f t="shared" si="2"/>
        <v>Criminal Use of Weapons; Knowingly setting a spring gun</v>
      </c>
      <c r="D812" s="49" t="str">
        <f t="shared" si="3"/>
        <v>21-6301(a)(3)</v>
      </c>
      <c r="E812" s="11" t="s">
        <v>133</v>
      </c>
      <c r="F812" s="11">
        <v>3.0</v>
      </c>
      <c r="G812" s="11">
        <v>3.0</v>
      </c>
      <c r="H812" s="11">
        <v>3.0</v>
      </c>
      <c r="I812" s="11">
        <v>3.0</v>
      </c>
    </row>
    <row r="813">
      <c r="A813" s="10" t="s">
        <v>7210</v>
      </c>
      <c r="B813" s="49" t="str">
        <f t="shared" si="1"/>
        <v>Criminal Use of Weapons</v>
      </c>
      <c r="C813" s="49" t="str">
        <f t="shared" si="2"/>
        <v>Criminal Use of Weapons; Knowingly transferring a firearm to a person who is or has been a mentally ill person or, persons with alcohol or substance abuse problems, if subject to involuntary commitment for care and treatment</v>
      </c>
      <c r="D813" s="49" t="str">
        <f t="shared" si="3"/>
        <v>21-6301(a)(9)</v>
      </c>
      <c r="E813" s="11" t="s">
        <v>133</v>
      </c>
      <c r="F813" s="11">
        <v>3.0</v>
      </c>
      <c r="G813" s="11">
        <v>3.0</v>
      </c>
      <c r="H813" s="11">
        <v>3.0</v>
      </c>
      <c r="I813" s="11">
        <v>3.0</v>
      </c>
    </row>
    <row r="814">
      <c r="A814" s="10" t="s">
        <v>7211</v>
      </c>
      <c r="B814" s="49" t="str">
        <f t="shared" si="1"/>
        <v>Criminal Use of Weapons</v>
      </c>
      <c r="C814" s="49" t="str">
        <f t="shared" si="2"/>
        <v>Criminal Use of Weapons; Knowingly transferring a firearm to any person who is both addicted to and an unlawful user of a controlled substance</v>
      </c>
      <c r="D814" s="49" t="str">
        <f t="shared" si="3"/>
        <v>21-6301(a)(8)</v>
      </c>
      <c r="E814" s="11" t="s">
        <v>133</v>
      </c>
      <c r="F814" s="11">
        <v>3.0</v>
      </c>
      <c r="G814" s="11">
        <v>3.0</v>
      </c>
      <c r="H814" s="11">
        <v>3.0</v>
      </c>
      <c r="I814" s="11">
        <v>3.0</v>
      </c>
    </row>
    <row r="815">
      <c r="A815" s="10" t="s">
        <v>7212</v>
      </c>
      <c r="B815" s="49" t="str">
        <f t="shared" si="1"/>
        <v>Criminal Use of Weapons</v>
      </c>
      <c r="C815" s="49" t="str">
        <f t="shared" si="2"/>
        <v>Criminal Use of Weapons; Knowingly transferring any firearm with a barrel less than 12 inches long to any person under 18 yrs of age</v>
      </c>
      <c r="D815" s="49" t="str">
        <f t="shared" si="3"/>
        <v>21-6301(a)(7)</v>
      </c>
      <c r="E815" s="11" t="s">
        <v>133</v>
      </c>
      <c r="F815" s="11">
        <v>3.0</v>
      </c>
      <c r="G815" s="11">
        <v>3.0</v>
      </c>
      <c r="H815" s="11">
        <v>3.0</v>
      </c>
      <c r="I815" s="11">
        <v>3.0</v>
      </c>
    </row>
    <row r="816">
      <c r="A816" s="10" t="s">
        <v>7213</v>
      </c>
      <c r="B816" s="49" t="str">
        <f t="shared" si="1"/>
        <v>Crude Oil or Petroleum</v>
      </c>
      <c r="C816" s="49" t="str">
        <f t="shared" si="2"/>
        <v>Crude Oil or Petroleum; Buying or selling of illegally produced crude oil or petroleum unlawful</v>
      </c>
      <c r="D816" s="49" t="str">
        <f t="shared" si="3"/>
        <v>55-610</v>
      </c>
      <c r="E816" s="11" t="s">
        <v>133</v>
      </c>
      <c r="F816" s="11">
        <v>3.0</v>
      </c>
      <c r="G816" s="11">
        <v>3.0</v>
      </c>
      <c r="H816" s="11">
        <v>3.0</v>
      </c>
      <c r="I816" s="11">
        <v>3.0</v>
      </c>
    </row>
    <row r="817">
      <c r="A817" s="10" t="s">
        <v>7214</v>
      </c>
      <c r="B817" s="49" t="str">
        <f t="shared" si="1"/>
        <v>Crude Oil or Petroleum</v>
      </c>
      <c r="C817" s="49" t="str">
        <f t="shared" si="2"/>
        <v>Crude Oil or Petroleum; Penalty for violations of 55-601 to 55-609</v>
      </c>
      <c r="D817" s="49" t="str">
        <f t="shared" si="3"/>
        <v>55-607</v>
      </c>
      <c r="E817" s="11" t="s">
        <v>133</v>
      </c>
      <c r="F817" s="11">
        <v>3.0</v>
      </c>
      <c r="G817" s="11">
        <v>3.0</v>
      </c>
      <c r="H817" s="11">
        <v>3.0</v>
      </c>
      <c r="I817" s="11">
        <v>3.0</v>
      </c>
    </row>
    <row r="818">
      <c r="A818" s="10" t="s">
        <v>7215</v>
      </c>
      <c r="B818" s="49" t="str">
        <f t="shared" si="1"/>
        <v>Crude Oil or Petroleum</v>
      </c>
      <c r="C818" s="49" t="str">
        <f t="shared" si="2"/>
        <v>Crude Oil or Petroleum; Waste prohibited</v>
      </c>
      <c r="D818" s="49" t="str">
        <f t="shared" si="3"/>
        <v>55-601</v>
      </c>
      <c r="E818" s="11" t="s">
        <v>133</v>
      </c>
      <c r="F818" s="11">
        <v>3.0</v>
      </c>
      <c r="G818" s="11">
        <v>3.0</v>
      </c>
      <c r="H818" s="11">
        <v>3.0</v>
      </c>
      <c r="I818" s="11">
        <v>3.0</v>
      </c>
    </row>
    <row r="819">
      <c r="A819" s="10" t="s">
        <v>7216</v>
      </c>
      <c r="B819" s="49" t="str">
        <f t="shared" si="1"/>
        <v>Cruelty to Animals</v>
      </c>
      <c r="C819" s="49" t="str">
        <f t="shared" si="2"/>
        <v>Cruelty to Animals; Inflicting harm, disability or death to a police dog, arson dog, assistance dog, game warden dog, or search and rescue dog</v>
      </c>
      <c r="D819" s="49" t="str">
        <f t="shared" si="3"/>
        <v>21-6416(a)</v>
      </c>
      <c r="E819" s="11" t="s">
        <v>133</v>
      </c>
      <c r="F819" s="11">
        <v>3.0</v>
      </c>
      <c r="G819" s="11">
        <v>3.0</v>
      </c>
      <c r="H819" s="11">
        <v>3.0</v>
      </c>
      <c r="I819" s="11">
        <v>3.0</v>
      </c>
    </row>
    <row r="820">
      <c r="A820" s="10" t="s">
        <v>7217</v>
      </c>
      <c r="B820" s="49" t="str">
        <f t="shared" si="1"/>
        <v>Cruelty to Animals</v>
      </c>
      <c r="C820" s="49" t="str">
        <f t="shared" si="2"/>
        <v>Cruelty to Animals; Intentionally causing an equine to lose balance or fall for the purpose of sport or entertainment; 1st conviction</v>
      </c>
      <c r="D820" s="49" t="str">
        <f t="shared" si="3"/>
        <v>21-6412(a)(4)</v>
      </c>
      <c r="E820" s="11" t="s">
        <v>133</v>
      </c>
      <c r="F820" s="11">
        <v>3.0</v>
      </c>
      <c r="G820" s="11">
        <v>3.0</v>
      </c>
      <c r="H820" s="11">
        <v>3.0</v>
      </c>
      <c r="I820" s="11">
        <v>3.0</v>
      </c>
    </row>
    <row r="821">
      <c r="A821" s="10" t="s">
        <v>7218</v>
      </c>
      <c r="B821" s="49" t="str">
        <f t="shared" si="1"/>
        <v>Cruelty to Animals</v>
      </c>
      <c r="C821" s="49" t="str">
        <f t="shared" si="2"/>
        <v>Cruelty to Animals; Intentionally causing an equine to lose balance or fall, for the purpose of sport or entertainment; 2nd or subs. offense</v>
      </c>
      <c r="D821" s="49" t="str">
        <f t="shared" si="3"/>
        <v>21-6412(a)(4)</v>
      </c>
      <c r="E821" s="11" t="s">
        <v>133</v>
      </c>
      <c r="F821" s="11">
        <v>3.0</v>
      </c>
      <c r="G821" s="11">
        <v>3.0</v>
      </c>
      <c r="H821" s="11">
        <v>3.0</v>
      </c>
      <c r="I821" s="11">
        <v>3.0</v>
      </c>
    </row>
    <row r="822">
      <c r="A822" s="10" t="s">
        <v>7219</v>
      </c>
      <c r="B822" s="49" t="str">
        <f t="shared" si="1"/>
        <v>Cruelty to Animals</v>
      </c>
      <c r="C822" s="49" t="str">
        <f t="shared" si="2"/>
        <v>Cruelty to Animals; Knowingly abandoning an animal without making provisions for proper care; 1st conviction</v>
      </c>
      <c r="D822" s="49" t="str">
        <f t="shared" si="3"/>
        <v>21-6412(a)(2)</v>
      </c>
      <c r="E822" s="11" t="s">
        <v>133</v>
      </c>
      <c r="F822" s="11">
        <v>3.0</v>
      </c>
      <c r="G822" s="11">
        <v>3.0</v>
      </c>
      <c r="H822" s="11">
        <v>3.0</v>
      </c>
      <c r="I822" s="11">
        <v>3.0</v>
      </c>
    </row>
    <row r="823">
      <c r="A823" s="10" t="s">
        <v>7220</v>
      </c>
      <c r="B823" s="49" t="str">
        <f t="shared" si="1"/>
        <v>Cruelty to Animals</v>
      </c>
      <c r="C823" s="49" t="str">
        <f t="shared" si="2"/>
        <v>Cruelty to Animals; Knowingly abandoning an animal without making provisions for proper care; 2nd or subs. offense</v>
      </c>
      <c r="D823" s="49" t="str">
        <f t="shared" si="3"/>
        <v>21-6412(a)(2)</v>
      </c>
      <c r="E823" s="11" t="s">
        <v>133</v>
      </c>
      <c r="F823" s="11">
        <v>3.0</v>
      </c>
      <c r="G823" s="11">
        <v>3.0</v>
      </c>
      <c r="H823" s="11">
        <v>3.0</v>
      </c>
      <c r="I823" s="11">
        <v>3.0</v>
      </c>
    </row>
    <row r="824">
      <c r="A824" s="10" t="s">
        <v>7221</v>
      </c>
      <c r="B824" s="49" t="str">
        <f t="shared" si="1"/>
        <v>Cruelty to Animals</v>
      </c>
      <c r="C824" s="49" t="str">
        <f t="shared" si="2"/>
        <v>Cruelty to Animals; Knowingly and maliciously administering of any poison to any domestic animal</v>
      </c>
      <c r="D824" s="49" t="str">
        <f t="shared" si="3"/>
        <v>21-6412(a)(6)</v>
      </c>
      <c r="E824" s="11" t="s">
        <v>133</v>
      </c>
      <c r="F824" s="11">
        <v>3.0</v>
      </c>
      <c r="G824" s="11">
        <v>3.0</v>
      </c>
      <c r="H824" s="11">
        <v>3.0</v>
      </c>
      <c r="I824" s="11">
        <v>3.0</v>
      </c>
    </row>
    <row r="825">
      <c r="A825" s="10" t="s">
        <v>7222</v>
      </c>
      <c r="B825" s="49" t="str">
        <f t="shared" si="1"/>
        <v>Cruelty to Animals</v>
      </c>
      <c r="C825" s="49" t="str">
        <f t="shared" si="2"/>
        <v>Cruelty to Animals; Knowingly and maliciously killing, injuring, maiming, torturing, burning or mutilating any animal</v>
      </c>
      <c r="D825" s="49" t="str">
        <f t="shared" si="3"/>
        <v>21-6412(a)(1)</v>
      </c>
      <c r="E825" s="11" t="s">
        <v>133</v>
      </c>
      <c r="F825" s="11">
        <v>3.0</v>
      </c>
      <c r="G825" s="11">
        <v>3.0</v>
      </c>
      <c r="H825" s="11">
        <v>3.0</v>
      </c>
      <c r="I825" s="11">
        <v>3.0</v>
      </c>
    </row>
    <row r="826">
      <c r="A826" s="10" t="s">
        <v>7223</v>
      </c>
      <c r="B826" s="49" t="str">
        <f t="shared" si="1"/>
        <v>Cruelty to Animals</v>
      </c>
      <c r="C826" s="49" t="str">
        <f t="shared" si="2"/>
        <v>Cruelty to Animals; Knowingly but not maliciously killing or injuring any animal; 1st conviction</v>
      </c>
      <c r="D826" s="49" t="str">
        <f t="shared" si="3"/>
        <v>21-6412(a)(5)</v>
      </c>
      <c r="E826" s="11" t="s">
        <v>133</v>
      </c>
      <c r="F826" s="11">
        <v>3.0</v>
      </c>
      <c r="G826" s="11">
        <v>3.0</v>
      </c>
      <c r="H826" s="11">
        <v>3.0</v>
      </c>
      <c r="I826" s="11">
        <v>3.0</v>
      </c>
    </row>
    <row r="827">
      <c r="A827" s="10" t="s">
        <v>7224</v>
      </c>
      <c r="B827" s="49" t="str">
        <f t="shared" si="1"/>
        <v>Cruelty to Animals</v>
      </c>
      <c r="C827" s="49" t="str">
        <f t="shared" si="2"/>
        <v>Cruelty to Animals; Knowingly but not maliciously killing or injuring any animal; 2nd or subs. offense</v>
      </c>
      <c r="D827" s="49" t="str">
        <f t="shared" si="3"/>
        <v>21-6412(a)(5)</v>
      </c>
      <c r="E827" s="11" t="s">
        <v>133</v>
      </c>
      <c r="F827" s="11">
        <v>3.0</v>
      </c>
      <c r="G827" s="11">
        <v>3.0</v>
      </c>
      <c r="H827" s="11">
        <v>3.0</v>
      </c>
      <c r="I827" s="11">
        <v>3.0</v>
      </c>
    </row>
    <row r="828">
      <c r="A828" s="10" t="s">
        <v>7225</v>
      </c>
      <c r="B828" s="49" t="str">
        <f t="shared" si="1"/>
        <v>Cruelty to Animals</v>
      </c>
      <c r="C828" s="49" t="str">
        <f t="shared" si="2"/>
        <v>Cruelty to Animals; Knowingly fail to provide food, water, shelter, exercise and other care; 1st conviction</v>
      </c>
      <c r="D828" s="49" t="str">
        <f t="shared" si="3"/>
        <v>21-6412(a)(3)</v>
      </c>
      <c r="E828" s="11" t="s">
        <v>133</v>
      </c>
      <c r="F828" s="11">
        <v>3.0</v>
      </c>
      <c r="G828" s="11">
        <v>3.0</v>
      </c>
      <c r="H828" s="11">
        <v>3.0</v>
      </c>
      <c r="I828" s="11">
        <v>3.0</v>
      </c>
    </row>
    <row r="829">
      <c r="A829" s="10" t="s">
        <v>7226</v>
      </c>
      <c r="B829" s="49" t="str">
        <f t="shared" si="1"/>
        <v>Cruelty to Animals</v>
      </c>
      <c r="C829" s="49" t="str">
        <f t="shared" si="2"/>
        <v>Cruelty to Animals; Knowingly fail to provide food, water, shelter, exercise and other care; 2nd or subs. offense</v>
      </c>
      <c r="D829" s="49" t="str">
        <f t="shared" si="3"/>
        <v>21-6412(a)(3)</v>
      </c>
      <c r="E829" s="11" t="s">
        <v>133</v>
      </c>
      <c r="F829" s="11">
        <v>3.0</v>
      </c>
      <c r="G829" s="11">
        <v>3.0</v>
      </c>
      <c r="H829" s="11">
        <v>3.0</v>
      </c>
      <c r="I829" s="11">
        <v>3.0</v>
      </c>
    </row>
    <row r="830">
      <c r="A830" s="10" t="s">
        <v>7227</v>
      </c>
      <c r="B830" s="49" t="str">
        <f t="shared" si="1"/>
        <v>Dairy Commission</v>
      </c>
      <c r="C830" s="49" t="str">
        <f t="shared" si="2"/>
        <v>Dairy Commission; Violation of provisions of article 23 of chapter 47 of the Kansas Statutes Annotated and amendments thereto.</v>
      </c>
      <c r="D830" s="49" t="str">
        <f t="shared" si="3"/>
        <v>47-2306</v>
      </c>
      <c r="E830" s="11" t="s">
        <v>133</v>
      </c>
      <c r="F830" s="11">
        <v>3.0</v>
      </c>
      <c r="G830" s="11">
        <v>3.0</v>
      </c>
      <c r="H830" s="11">
        <v>3.0</v>
      </c>
      <c r="I830" s="11">
        <v>3.0</v>
      </c>
    </row>
    <row r="831">
      <c r="A831" s="10" t="s">
        <v>7228</v>
      </c>
      <c r="B831" s="49" t="str">
        <f t="shared" si="1"/>
        <v>Dangerous Animals</v>
      </c>
      <c r="C831" s="49" t="str">
        <f t="shared" si="2"/>
        <v>Dangerous Animals; Permitting a dangerous animal to be at large</v>
      </c>
      <c r="D831" s="49" t="str">
        <f t="shared" si="3"/>
        <v>21-6418(a)</v>
      </c>
      <c r="E831" s="11" t="s">
        <v>133</v>
      </c>
      <c r="F831" s="11">
        <v>3.0</v>
      </c>
      <c r="G831" s="11">
        <v>3.0</v>
      </c>
      <c r="H831" s="11">
        <v>3.0</v>
      </c>
      <c r="I831" s="11">
        <v>3.0</v>
      </c>
    </row>
    <row r="832">
      <c r="A832" s="10" t="s">
        <v>7229</v>
      </c>
      <c r="B832" s="49" t="str">
        <f t="shared" si="1"/>
        <v>Dangerous Regulated Animals</v>
      </c>
      <c r="C832" s="49" t="str">
        <f t="shared" si="2"/>
        <v>Dangerous Regulated Animals; Unlawful acts</v>
      </c>
      <c r="D832" s="49" t="str">
        <f t="shared" si="3"/>
        <v>32-1302(a)</v>
      </c>
      <c r="E832" s="11" t="s">
        <v>133</v>
      </c>
      <c r="F832" s="11">
        <v>3.0</v>
      </c>
      <c r="G832" s="11">
        <v>3.0</v>
      </c>
      <c r="H832" s="11">
        <v>3.0</v>
      </c>
      <c r="I832" s="11">
        <v>3.0</v>
      </c>
    </row>
    <row r="833">
      <c r="A833" s="10" t="s">
        <v>7230</v>
      </c>
      <c r="B833" s="49" t="str">
        <f t="shared" si="1"/>
        <v>Dealing in False Identification Documents</v>
      </c>
      <c r="C833" s="49" t="str">
        <f t="shared" si="2"/>
        <v>Dealing in False Identification Documents; Knowingly reproducing, manufacturing, selling or offering for sale any identification document which simulates, purports to be or is designed to cause others to believe it to be an identification document and bears a fictitious name or other false information</v>
      </c>
      <c r="D833" s="49" t="str">
        <f t="shared" si="3"/>
        <v>21-5918(a)</v>
      </c>
      <c r="E833" s="11" t="s">
        <v>133</v>
      </c>
      <c r="F833" s="11">
        <v>3.0</v>
      </c>
      <c r="G833" s="11">
        <v>3.0</v>
      </c>
      <c r="H833" s="11">
        <v>3.0</v>
      </c>
      <c r="I833" s="11">
        <v>3.0</v>
      </c>
    </row>
    <row r="834">
      <c r="A834" s="10" t="s">
        <v>7231</v>
      </c>
      <c r="B834" s="49" t="str">
        <f t="shared" si="1"/>
        <v>Dealing in Gambling Devices</v>
      </c>
      <c r="C834" s="49" t="str">
        <f t="shared" si="2"/>
        <v>Dealing in Gambling Devices; Manufacture, distribute or possess with intent to distribute any gambling device or sub-assembly or essential part thereof</v>
      </c>
      <c r="D834" s="49" t="str">
        <f t="shared" si="3"/>
        <v>21-6407(a)</v>
      </c>
      <c r="E834" s="11" t="s">
        <v>133</v>
      </c>
      <c r="F834" s="11">
        <v>3.0</v>
      </c>
      <c r="G834" s="11">
        <v>3.0</v>
      </c>
      <c r="H834" s="11">
        <v>3.0</v>
      </c>
      <c r="I834" s="11">
        <v>3.0</v>
      </c>
    </row>
    <row r="835">
      <c r="A835" s="10" t="s">
        <v>7232</v>
      </c>
      <c r="B835" s="49" t="str">
        <f t="shared" si="1"/>
        <v>Defacing Identification Marks of Firearm</v>
      </c>
      <c r="C835" s="49" t="str">
        <f t="shared" si="2"/>
        <v>Defacing Identification Marks of Firearm; Intentionally change, alter, remove or obliterate</v>
      </c>
      <c r="D835" s="49" t="str">
        <f t="shared" si="3"/>
        <v>21-6306(a)</v>
      </c>
      <c r="E835" s="11" t="s">
        <v>133</v>
      </c>
      <c r="F835" s="11">
        <v>3.0</v>
      </c>
      <c r="G835" s="11">
        <v>3.0</v>
      </c>
      <c r="H835" s="11">
        <v>3.0</v>
      </c>
      <c r="I835" s="11">
        <v>3.0</v>
      </c>
    </row>
    <row r="836">
      <c r="A836" s="10" t="s">
        <v>7233</v>
      </c>
      <c r="B836" s="49" t="str">
        <f t="shared" si="1"/>
        <v>Denial of Civil Rights</v>
      </c>
      <c r="C836" s="49" t="str">
        <f t="shared" si="2"/>
        <v>Denial of Civil Rights; Intentionally denying exercise of the right to vote</v>
      </c>
      <c r="D836" s="49" t="str">
        <f t="shared" si="3"/>
        <v>21-6102(a)(5)</v>
      </c>
      <c r="E836" s="11" t="s">
        <v>133</v>
      </c>
      <c r="F836" s="11">
        <v>3.0</v>
      </c>
      <c r="G836" s="11">
        <v>3.0</v>
      </c>
      <c r="H836" s="11">
        <v>3.0</v>
      </c>
      <c r="I836" s="11">
        <v>3.0</v>
      </c>
    </row>
    <row r="837">
      <c r="A837" s="10" t="s">
        <v>7234</v>
      </c>
      <c r="B837" s="49" t="str">
        <f t="shared" si="1"/>
        <v>Denial of Civil Rights</v>
      </c>
      <c r="C837" s="49" t="str">
        <f t="shared" si="2"/>
        <v>Denial of Civil Rights; Intentionally denying goods, services, facilities, privileges, advantages and accommodations of any establishment providing lodging to transient guests for hire; of any establishment engaged in selling food or beverage to the public; or of any place of recreation, amusement, exhibition or entertainment which is open to members of the public</v>
      </c>
      <c r="D837" s="49" t="str">
        <f t="shared" si="3"/>
        <v>21-6102(a)(2)</v>
      </c>
      <c r="E837" s="11" t="s">
        <v>133</v>
      </c>
      <c r="F837" s="11">
        <v>3.0</v>
      </c>
      <c r="G837" s="11">
        <v>3.0</v>
      </c>
      <c r="H837" s="11">
        <v>3.0</v>
      </c>
      <c r="I837" s="11">
        <v>3.0</v>
      </c>
    </row>
    <row r="838">
      <c r="A838" s="10" t="s">
        <v>7235</v>
      </c>
      <c r="B838" s="49" t="str">
        <f t="shared" si="1"/>
        <v>Denial of Civil Rights</v>
      </c>
      <c r="C838" s="49" t="str">
        <f t="shared" si="2"/>
        <v>Denial of Civil Rights; Intentionally denying services, facilities, privileges and advantages of any establishment which offers personal or professional services to members of the public</v>
      </c>
      <c r="D838" s="49" t="str">
        <f t="shared" si="3"/>
        <v>21-6102(a)(4)</v>
      </c>
      <c r="E838" s="11" t="s">
        <v>133</v>
      </c>
      <c r="F838" s="11">
        <v>3.0</v>
      </c>
      <c r="G838" s="11">
        <v>3.0</v>
      </c>
      <c r="H838" s="11">
        <v>3.0</v>
      </c>
      <c r="I838" s="11">
        <v>3.0</v>
      </c>
    </row>
    <row r="839">
      <c r="A839" s="10" t="s">
        <v>7236</v>
      </c>
      <c r="B839" s="49" t="str">
        <f t="shared" si="1"/>
        <v>Denial of Civil Rights</v>
      </c>
      <c r="C839" s="49" t="str">
        <f t="shared" si="2"/>
        <v>Denial of Civil Rights; Intentionally denying services, facilities, privileges and advantages of any institution, department or agency of the state of Kansas or any political subdivision or municipality thereof</v>
      </c>
      <c r="D839" s="49" t="str">
        <f t="shared" si="3"/>
        <v>21-6102(a)(1)</v>
      </c>
      <c r="E839" s="11" t="s">
        <v>133</v>
      </c>
      <c r="F839" s="11">
        <v>3.0</v>
      </c>
      <c r="G839" s="11">
        <v>3.0</v>
      </c>
      <c r="H839" s="11">
        <v>3.0</v>
      </c>
      <c r="I839" s="11">
        <v>3.0</v>
      </c>
    </row>
    <row r="840">
      <c r="A840" s="10" t="s">
        <v>7237</v>
      </c>
      <c r="B840" s="49" t="str">
        <f t="shared" si="1"/>
        <v>Denial of Civil Rights</v>
      </c>
      <c r="C840" s="49" t="str">
        <f t="shared" si="2"/>
        <v>Denial of Civil Rights; Intentionally denying services, privileges and advantages of any facility for the public transportation of persons or goods</v>
      </c>
      <c r="D840" s="49" t="str">
        <f t="shared" si="3"/>
        <v>21-6102(a)(3)</v>
      </c>
      <c r="E840" s="11" t="s">
        <v>133</v>
      </c>
      <c r="F840" s="11">
        <v>3.0</v>
      </c>
      <c r="G840" s="11">
        <v>3.0</v>
      </c>
      <c r="H840" s="11">
        <v>3.0</v>
      </c>
      <c r="I840" s="11">
        <v>3.0</v>
      </c>
    </row>
    <row r="841">
      <c r="A841" s="10" t="s">
        <v>7238</v>
      </c>
      <c r="B841" s="49" t="str">
        <f t="shared" si="1"/>
        <v>Dental Practices Act</v>
      </c>
      <c r="C841" s="49" t="str">
        <f t="shared" si="2"/>
        <v>Dental Practices Act; Dentist representing practice to be limited, or specially qualified in a particular branch of dentistry without having obtained a certificate or qualification therefore</v>
      </c>
      <c r="D841" s="49" t="str">
        <f t="shared" si="3"/>
        <v>65-1427(d)</v>
      </c>
      <c r="E841" s="11" t="s">
        <v>133</v>
      </c>
      <c r="F841" s="11">
        <v>3.0</v>
      </c>
      <c r="G841" s="11">
        <v>3.0</v>
      </c>
      <c r="H841" s="11">
        <v>3.0</v>
      </c>
      <c r="I841" s="11">
        <v>3.0</v>
      </c>
    </row>
    <row r="842">
      <c r="A842" s="10" t="s">
        <v>7239</v>
      </c>
      <c r="B842" s="49" t="str">
        <f t="shared" si="1"/>
        <v>Dental Practices Act</v>
      </c>
      <c r="C842" s="49" t="str">
        <f t="shared" si="2"/>
        <v>Dental Practices Act; Failure of dentist to retain duplicate copy of  prescription for 2 yrs</v>
      </c>
      <c r="D842" s="49" t="str">
        <f t="shared" si="3"/>
        <v>65-1438(B)(2)</v>
      </c>
      <c r="E842" s="11" t="s">
        <v>133</v>
      </c>
      <c r="F842" s="11">
        <v>3.0</v>
      </c>
      <c r="G842" s="11">
        <v>3.0</v>
      </c>
      <c r="H842" s="11">
        <v>3.0</v>
      </c>
      <c r="I842" s="11">
        <v>3.0</v>
      </c>
    </row>
    <row r="843">
      <c r="A843" s="10" t="s">
        <v>7240</v>
      </c>
      <c r="B843" s="49" t="str">
        <f t="shared" si="1"/>
        <v>Dental Practices Act</v>
      </c>
      <c r="C843" s="49" t="str">
        <f t="shared" si="2"/>
        <v>Dental Practices Act; Failure of out of state dentist to retain the original prescription for 2 yrs</v>
      </c>
      <c r="D843" s="49" t="str">
        <f t="shared" si="3"/>
        <v>65-1438(C)(2)</v>
      </c>
      <c r="E843" s="11" t="s">
        <v>133</v>
      </c>
      <c r="F843" s="11">
        <v>3.0</v>
      </c>
      <c r="G843" s="11">
        <v>3.0</v>
      </c>
      <c r="H843" s="11">
        <v>3.0</v>
      </c>
      <c r="I843" s="11">
        <v>3.0</v>
      </c>
    </row>
    <row r="844">
      <c r="A844" s="10" t="s">
        <v>7241</v>
      </c>
      <c r="B844" s="49" t="str">
        <f t="shared" si="1"/>
        <v>Dental Practices Act</v>
      </c>
      <c r="C844" s="49" t="str">
        <f t="shared" si="2"/>
        <v>Dental Practices Act; License required to practice dentistry or dental hygiene</v>
      </c>
      <c r="D844" s="49" t="str">
        <f t="shared" si="3"/>
        <v>65-1421</v>
      </c>
      <c r="E844" s="11" t="s">
        <v>133</v>
      </c>
      <c r="F844" s="11">
        <v>3.0</v>
      </c>
      <c r="G844" s="11">
        <v>3.0</v>
      </c>
      <c r="H844" s="11">
        <v>3.0</v>
      </c>
      <c r="I844" s="11">
        <v>3.0</v>
      </c>
    </row>
    <row r="845">
      <c r="A845" s="10" t="s">
        <v>7242</v>
      </c>
      <c r="B845" s="49" t="str">
        <f t="shared" si="1"/>
        <v>Dental Practices Act</v>
      </c>
      <c r="C845" s="49" t="str">
        <f t="shared" si="2"/>
        <v>Dental Practices Act; Licensure required to practice dental hygiene</v>
      </c>
      <c r="D845" s="49" t="str">
        <f t="shared" si="3"/>
        <v>65-1457</v>
      </c>
      <c r="E845" s="11" t="s">
        <v>133</v>
      </c>
      <c r="F845" s="11">
        <v>3.0</v>
      </c>
      <c r="G845" s="11">
        <v>3.0</v>
      </c>
      <c r="H845" s="11">
        <v>3.0</v>
      </c>
      <c r="I845" s="11">
        <v>3.0</v>
      </c>
    </row>
    <row r="846">
      <c r="A846" s="10" t="s">
        <v>7243</v>
      </c>
      <c r="B846" s="49" t="str">
        <f t="shared" si="1"/>
        <v>Dental Practices Act</v>
      </c>
      <c r="C846" s="49" t="str">
        <f t="shared" si="2"/>
        <v>Dental Practices Act; Out of state dentist's refusing to allow the board, or its agent, to inspect prescription during 2 yrs' retention period</v>
      </c>
      <c r="D846" s="49" t="str">
        <f t="shared" si="3"/>
        <v>65-1438(C)(3)</v>
      </c>
      <c r="E846" s="11" t="s">
        <v>133</v>
      </c>
      <c r="F846" s="11">
        <v>3.0</v>
      </c>
      <c r="G846" s="11">
        <v>3.0</v>
      </c>
      <c r="H846" s="11">
        <v>3.0</v>
      </c>
      <c r="I846" s="11">
        <v>3.0</v>
      </c>
    </row>
    <row r="847">
      <c r="A847" s="10" t="s">
        <v>7244</v>
      </c>
      <c r="B847" s="49" t="str">
        <f t="shared" si="1"/>
        <v>Dental Practices Act</v>
      </c>
      <c r="C847" s="49" t="str">
        <f t="shared" si="2"/>
        <v>Dental Practices Act; Practice dental hygiene in violation of the provisions of this act</v>
      </c>
      <c r="D847" s="49" t="str">
        <f t="shared" si="3"/>
        <v>65-1455</v>
      </c>
      <c r="E847" s="11" t="s">
        <v>133</v>
      </c>
      <c r="F847" s="11">
        <v>3.0</v>
      </c>
      <c r="G847" s="11">
        <v>3.0</v>
      </c>
      <c r="H847" s="11">
        <v>3.0</v>
      </c>
      <c r="I847" s="11">
        <v>3.0</v>
      </c>
    </row>
    <row r="848">
      <c r="A848" s="10" t="s">
        <v>7245</v>
      </c>
      <c r="B848" s="49" t="str">
        <f t="shared" si="1"/>
        <v>Dental Practices Act</v>
      </c>
      <c r="C848" s="49" t="str">
        <f t="shared" si="2"/>
        <v>Dental Practices Act; Practice dentistry or dental hygiene without a license from the board; any other violation of act</v>
      </c>
      <c r="D848" s="49" t="str">
        <f t="shared" si="3"/>
        <v>65-1460</v>
      </c>
      <c r="E848" s="11" t="s">
        <v>133</v>
      </c>
      <c r="F848" s="11">
        <v>3.0</v>
      </c>
      <c r="G848" s="11">
        <v>3.0</v>
      </c>
      <c r="H848" s="11">
        <v>3.0</v>
      </c>
      <c r="I848" s="11">
        <v>3.0</v>
      </c>
    </row>
    <row r="849">
      <c r="A849" s="10" t="s">
        <v>7246</v>
      </c>
      <c r="B849" s="49" t="str">
        <f t="shared" si="1"/>
        <v>Dental Practices Act</v>
      </c>
      <c r="C849" s="49" t="str">
        <f t="shared" si="2"/>
        <v>Dental Practices Act; Refuse to allow the board, or its agent, to inspect copy of prescription during 2 yrs' retention period</v>
      </c>
      <c r="D849" s="49" t="str">
        <f t="shared" si="3"/>
        <v>65-1438(B)(3)</v>
      </c>
      <c r="E849" s="11" t="s">
        <v>133</v>
      </c>
      <c r="F849" s="11">
        <v>3.0</v>
      </c>
      <c r="G849" s="11">
        <v>3.0</v>
      </c>
      <c r="H849" s="11">
        <v>3.0</v>
      </c>
      <c r="I849" s="11">
        <v>3.0</v>
      </c>
    </row>
    <row r="850">
      <c r="A850" s="10" t="s">
        <v>7247</v>
      </c>
      <c r="B850" s="49" t="str">
        <f t="shared" si="1"/>
        <v>Dental Practices Act</v>
      </c>
      <c r="C850" s="49" t="str">
        <f t="shared" si="2"/>
        <v>Dental Practices Act; Sale, offer to sell, procurement or alteration of diploma or license; fraud or cheating</v>
      </c>
      <c r="D850" s="49" t="str">
        <f t="shared" si="3"/>
        <v>65-1441</v>
      </c>
      <c r="E850" s="11" t="s">
        <v>133</v>
      </c>
      <c r="F850" s="11">
        <v>3.0</v>
      </c>
      <c r="G850" s="11">
        <v>3.0</v>
      </c>
      <c r="H850" s="11">
        <v>3.0</v>
      </c>
      <c r="I850" s="11">
        <v>3.0</v>
      </c>
    </row>
    <row r="851">
      <c r="A851" s="10" t="s">
        <v>7248</v>
      </c>
      <c r="B851" s="49" t="str">
        <f t="shared" si="1"/>
        <v>Dental Practices Act</v>
      </c>
      <c r="C851" s="49" t="str">
        <f t="shared" si="2"/>
        <v>Dental Practices Act; Sell or offer certain services or products to the general public when not licensed to practice dentistry in this state</v>
      </c>
      <c r="D851" s="49" t="str">
        <f t="shared" si="3"/>
        <v>65-1439(b)</v>
      </c>
      <c r="E851" s="11" t="s">
        <v>133</v>
      </c>
      <c r="F851" s="11">
        <v>3.0</v>
      </c>
      <c r="G851" s="11">
        <v>3.0</v>
      </c>
      <c r="H851" s="11">
        <v>3.0</v>
      </c>
      <c r="I851" s="11">
        <v>3.0</v>
      </c>
    </row>
    <row r="852">
      <c r="A852" s="10" t="s">
        <v>7249</v>
      </c>
      <c r="B852" s="49" t="str">
        <f t="shared" si="1"/>
        <v>Dental Practices Act</v>
      </c>
      <c r="C852" s="49" t="str">
        <f t="shared" si="2"/>
        <v>Dental Practices Act; Unlawful for dentist to use any service of an out of state licensed [unlicensed] person without having first furnished him a prescription as required</v>
      </c>
      <c r="D852" s="49" t="str">
        <f t="shared" si="3"/>
        <v>65-1438(B)(1)</v>
      </c>
      <c r="E852" s="11" t="s">
        <v>133</v>
      </c>
      <c r="F852" s="11">
        <v>3.0</v>
      </c>
      <c r="G852" s="11">
        <v>3.0</v>
      </c>
      <c r="H852" s="11">
        <v>3.0</v>
      </c>
      <c r="I852" s="11">
        <v>3.0</v>
      </c>
    </row>
    <row r="853">
      <c r="A853" s="10" t="s">
        <v>7250</v>
      </c>
      <c r="B853" s="49" t="str">
        <f t="shared" si="1"/>
        <v>Dental Practices Act</v>
      </c>
      <c r="C853" s="49" t="str">
        <f t="shared" si="2"/>
        <v>Dental Practices Act; Unlawful for out of state licensed [unlicensed] person to perform services without having first obtained a written prescription for such services</v>
      </c>
      <c r="D853" s="49" t="str">
        <f t="shared" si="3"/>
        <v>65-1438(C)(1)</v>
      </c>
      <c r="E853" s="11" t="s">
        <v>133</v>
      </c>
      <c r="F853" s="11">
        <v>3.0</v>
      </c>
      <c r="G853" s="11">
        <v>3.0</v>
      </c>
      <c r="H853" s="11">
        <v>3.0</v>
      </c>
      <c r="I853" s="11">
        <v>3.0</v>
      </c>
    </row>
    <row r="854">
      <c r="A854" s="10" t="s">
        <v>7251</v>
      </c>
      <c r="B854" s="49" t="str">
        <f t="shared" si="1"/>
        <v>Dental Practices Act</v>
      </c>
      <c r="C854" s="49" t="str">
        <f t="shared" si="2"/>
        <v>Dental Practices Act; Unlawfully advertise that one can or will sell, supply, furnish, construct, reproduce or repair prosthetic dentures, bridges, plates or other appliances to be used or worn as substitutes for natural teeth, or the regulation thereof</v>
      </c>
      <c r="D854" s="49" t="str">
        <f t="shared" si="3"/>
        <v>65-1439(a)</v>
      </c>
      <c r="E854" s="11" t="s">
        <v>133</v>
      </c>
      <c r="F854" s="11">
        <v>3.0</v>
      </c>
      <c r="G854" s="11">
        <v>3.0</v>
      </c>
      <c r="H854" s="11">
        <v>3.0</v>
      </c>
      <c r="I854" s="11">
        <v>3.0</v>
      </c>
    </row>
    <row r="855">
      <c r="A855" s="10" t="s">
        <v>7252</v>
      </c>
      <c r="B855" s="49" t="str">
        <f t="shared" si="1"/>
        <v>Department of Administration</v>
      </c>
      <c r="C855" s="49" t="str">
        <f t="shared" si="2"/>
        <v>Department of Administration; Disposition of certain state office buildings; state or local officials and affiliated persons; hold an interest, be employed by, represent or appear for any entity in purchase of property</v>
      </c>
      <c r="D855" s="49" t="str">
        <f t="shared" si="3"/>
        <v>75-3692(b)</v>
      </c>
      <c r="E855" s="11" t="s">
        <v>133</v>
      </c>
      <c r="F855" s="11">
        <v>3.0</v>
      </c>
      <c r="G855" s="11">
        <v>3.0</v>
      </c>
      <c r="H855" s="11">
        <v>3.0</v>
      </c>
      <c r="I855" s="11">
        <v>3.0</v>
      </c>
    </row>
    <row r="856">
      <c r="A856" s="10" t="s">
        <v>7253</v>
      </c>
      <c r="B856" s="49" t="str">
        <f t="shared" si="1"/>
        <v>Department of Administration</v>
      </c>
      <c r="C856" s="49" t="str">
        <f t="shared" si="2"/>
        <v>Department of Administration; Disposition of certain state office buildings; state or local officials and affiliated persons; hold an interest, be employed by, represent or appear for any entity in purchase of property within five years of termination of employment</v>
      </c>
      <c r="D856" s="49" t="str">
        <f t="shared" si="3"/>
        <v>75-3692(d)</v>
      </c>
      <c r="E856" s="11" t="s">
        <v>133</v>
      </c>
      <c r="F856" s="11">
        <v>3.0</v>
      </c>
      <c r="G856" s="11">
        <v>3.0</v>
      </c>
      <c r="H856" s="11">
        <v>3.0</v>
      </c>
      <c r="I856" s="11">
        <v>3.0</v>
      </c>
    </row>
    <row r="857">
      <c r="A857" s="10" t="s">
        <v>7254</v>
      </c>
      <c r="B857" s="49" t="str">
        <f t="shared" si="1"/>
        <v>Department of Administration</v>
      </c>
      <c r="C857" s="49" t="str">
        <f t="shared" si="2"/>
        <v>Department of Administration; Disposition of certain state office buildings; state or local officials and affiliated persons; represent, appear or negotiate on behalf of any entity in proposal or bid to purchase property</v>
      </c>
      <c r="D857" s="49" t="str">
        <f t="shared" si="3"/>
        <v>75-3692(c)</v>
      </c>
      <c r="E857" s="11" t="s">
        <v>133</v>
      </c>
      <c r="F857" s="11">
        <v>3.0</v>
      </c>
      <c r="G857" s="11">
        <v>3.0</v>
      </c>
      <c r="H857" s="11">
        <v>3.0</v>
      </c>
      <c r="I857" s="11">
        <v>3.0</v>
      </c>
    </row>
    <row r="858">
      <c r="A858" s="10" t="s">
        <v>7255</v>
      </c>
      <c r="B858" s="49" t="str">
        <f t="shared" si="1"/>
        <v>Department of Administration</v>
      </c>
      <c r="C858" s="49" t="str">
        <f t="shared" si="2"/>
        <v>Department of Administration; Disposition of certain state office buildings; state or local officials; influence or attempt to influence the secretary of administration in selling or conveying property</v>
      </c>
      <c r="D858" s="49" t="str">
        <f t="shared" si="3"/>
        <v>75-3692(f)</v>
      </c>
      <c r="E858" s="11" t="s">
        <v>133</v>
      </c>
      <c r="F858" s="11">
        <v>3.0</v>
      </c>
      <c r="G858" s="11">
        <v>3.0</v>
      </c>
      <c r="H858" s="11">
        <v>3.0</v>
      </c>
      <c r="I858" s="11">
        <v>3.0</v>
      </c>
    </row>
    <row r="859">
      <c r="A859" s="10" t="s">
        <v>7256</v>
      </c>
      <c r="B859" s="49" t="str">
        <f t="shared" si="1"/>
        <v>Department of Administration</v>
      </c>
      <c r="C859" s="49" t="str">
        <f t="shared" si="2"/>
        <v>Department of Administration; Disposition of certain state office buildings; state or local officials; solicit or accept any complimentary service or discount from an entity submitting a proposal to bid on or purchase property</v>
      </c>
      <c r="D859" s="49" t="str">
        <f t="shared" si="3"/>
        <v>75-3692(e)</v>
      </c>
      <c r="E859" s="11" t="s">
        <v>133</v>
      </c>
      <c r="F859" s="11">
        <v>3.0</v>
      </c>
      <c r="G859" s="11">
        <v>3.0</v>
      </c>
      <c r="H859" s="11">
        <v>3.0</v>
      </c>
      <c r="I859" s="11">
        <v>3.0</v>
      </c>
    </row>
    <row r="860">
      <c r="A860" s="10" t="s">
        <v>7257</v>
      </c>
      <c r="B860" s="49" t="str">
        <f t="shared" si="1"/>
        <v>Department of Agriculture</v>
      </c>
      <c r="C860" s="49" t="str">
        <f t="shared" si="2"/>
        <v>Department of Agriculture; Falsely mark any product or container of products to indicate that such has been graded or inspected</v>
      </c>
      <c r="D860" s="49" t="str">
        <f t="shared" si="3"/>
        <v>74-538</v>
      </c>
      <c r="E860" s="11" t="s">
        <v>133</v>
      </c>
      <c r="F860" s="11">
        <v>3.0</v>
      </c>
      <c r="G860" s="11">
        <v>3.0</v>
      </c>
      <c r="H860" s="11">
        <v>3.0</v>
      </c>
      <c r="I860" s="11">
        <v>3.0</v>
      </c>
    </row>
    <row r="861">
      <c r="A861" s="10" t="s">
        <v>7258</v>
      </c>
      <c r="B861" s="49" t="str">
        <f t="shared" si="1"/>
        <v>Department of Commerce</v>
      </c>
      <c r="C861" s="49" t="str">
        <f t="shared" si="2"/>
        <v>Department of Commerce; Unauthorized disclosure of confidential information</v>
      </c>
      <c r="D861" s="49" t="str">
        <f t="shared" si="3"/>
        <v>74-50,184(c)</v>
      </c>
      <c r="E861" s="11" t="s">
        <v>133</v>
      </c>
      <c r="F861" s="11">
        <v>3.0</v>
      </c>
      <c r="G861" s="11">
        <v>3.0</v>
      </c>
      <c r="H861" s="11">
        <v>3.0</v>
      </c>
      <c r="I861" s="11">
        <v>3.0</v>
      </c>
    </row>
    <row r="862">
      <c r="A862" s="10" t="s">
        <v>7259</v>
      </c>
      <c r="B862" s="49" t="str">
        <f t="shared" si="1"/>
        <v>Derailment of Train</v>
      </c>
      <c r="C862" s="49" t="str">
        <f t="shared" si="2"/>
        <v>Derailment of Train; Recklessly cause derailment of train, railroad car or other rail-mounted work equipment</v>
      </c>
      <c r="D862" s="49" t="str">
        <f t="shared" si="3"/>
        <v>21-5809(a)(2)</v>
      </c>
      <c r="E862" s="11" t="s">
        <v>133</v>
      </c>
      <c r="F862" s="11">
        <v>3.0</v>
      </c>
      <c r="G862" s="11">
        <v>3.0</v>
      </c>
      <c r="H862" s="11">
        <v>3.0</v>
      </c>
      <c r="I862" s="11">
        <v>3.0</v>
      </c>
    </row>
    <row r="863">
      <c r="A863" s="10" t="s">
        <v>7260</v>
      </c>
      <c r="B863" s="49" t="str">
        <f t="shared" si="1"/>
        <v>Destroying a Written Instrument</v>
      </c>
      <c r="C863" s="49" t="str">
        <f t="shared" si="2"/>
        <v>Destroying a Written Instrument; Tear, cut, burn, erase, obliterate or destroy a written instrument, in whole or in part, with intent to defraud</v>
      </c>
      <c r="D863" s="49" t="str">
        <f t="shared" si="3"/>
        <v>21-5826(a)</v>
      </c>
      <c r="E863" s="11" t="s">
        <v>133</v>
      </c>
      <c r="F863" s="11">
        <v>3.0</v>
      </c>
      <c r="G863" s="11">
        <v>3.0</v>
      </c>
      <c r="H863" s="11">
        <v>3.0</v>
      </c>
      <c r="I863" s="11">
        <v>3.0</v>
      </c>
    </row>
    <row r="864">
      <c r="A864" s="10" t="s">
        <v>7261</v>
      </c>
      <c r="B864" s="49" t="str">
        <f t="shared" si="1"/>
        <v>Dietitians Licensing Act</v>
      </c>
      <c r="C864" s="49" t="str">
        <f t="shared" si="2"/>
        <v>Dietitians Licensing Act; License required to practice dietetics or make certain representations</v>
      </c>
      <c r="D864" s="49" t="str">
        <f t="shared" si="3"/>
        <v>65-5903(a)</v>
      </c>
      <c r="E864" s="11" t="s">
        <v>133</v>
      </c>
      <c r="F864" s="11">
        <v>3.0</v>
      </c>
      <c r="G864" s="11">
        <v>3.0</v>
      </c>
      <c r="H864" s="11">
        <v>3.0</v>
      </c>
      <c r="I864" s="11">
        <v>3.0</v>
      </c>
    </row>
    <row r="865">
      <c r="A865" s="10" t="s">
        <v>7262</v>
      </c>
      <c r="B865" s="49" t="str">
        <f t="shared" si="1"/>
        <v>Disorderly Conduct</v>
      </c>
      <c r="C865" s="49" t="str">
        <f t="shared" si="2"/>
        <v>Disorderly Conduct; Disturbing a lawful assembly, meeting, or procession</v>
      </c>
      <c r="D865" s="49" t="str">
        <f t="shared" si="3"/>
        <v>21-6203(a)(2)</v>
      </c>
      <c r="E865" s="11" t="s">
        <v>133</v>
      </c>
      <c r="F865" s="11">
        <v>3.0</v>
      </c>
      <c r="G865" s="11">
        <v>3.0</v>
      </c>
      <c r="H865" s="11">
        <v>3.0</v>
      </c>
      <c r="I865" s="11">
        <v>3.0</v>
      </c>
    </row>
    <row r="866">
      <c r="A866" s="10" t="s">
        <v>7263</v>
      </c>
      <c r="B866" s="49" t="str">
        <f t="shared" si="1"/>
        <v>Disorderly Conduct</v>
      </c>
      <c r="C866" s="49" t="str">
        <f t="shared" si="2"/>
        <v>Disorderly Conduct; Engaging in brawling or fighting</v>
      </c>
      <c r="D866" s="49" t="str">
        <f t="shared" si="3"/>
        <v>21-6203(a)(1)</v>
      </c>
      <c r="E866" s="11" t="s">
        <v>133</v>
      </c>
      <c r="F866" s="11">
        <v>3.0</v>
      </c>
      <c r="G866" s="11">
        <v>3.0</v>
      </c>
      <c r="H866" s="11">
        <v>3.0</v>
      </c>
      <c r="I866" s="11">
        <v>3.0</v>
      </c>
    </row>
    <row r="867">
      <c r="A867" s="10" t="s">
        <v>7264</v>
      </c>
      <c r="B867" s="49" t="str">
        <f t="shared" si="1"/>
        <v>Disorderly Conduct</v>
      </c>
      <c r="C867" s="49" t="str">
        <f t="shared" si="2"/>
        <v>Disorderly Conduct; Using fighting words or engaging in noisy conduct tending reasonably to arouse alarm, anger or resentment in others</v>
      </c>
      <c r="D867" s="49" t="str">
        <f t="shared" si="3"/>
        <v>21-6203(a)(3)</v>
      </c>
      <c r="E867" s="11" t="s">
        <v>133</v>
      </c>
      <c r="F867" s="11">
        <v>3.0</v>
      </c>
      <c r="G867" s="11">
        <v>3.0</v>
      </c>
      <c r="H867" s="11">
        <v>3.0</v>
      </c>
      <c r="I867" s="11">
        <v>3.0</v>
      </c>
    </row>
    <row r="868">
      <c r="A868" s="10" t="s">
        <v>7265</v>
      </c>
      <c r="B868" s="49" t="str">
        <f t="shared" si="1"/>
        <v>Distribution of a Controlled Substance Causing Death</v>
      </c>
      <c r="C868" s="49" t="str">
        <f t="shared" si="2"/>
        <v>Distribution of a Controlled Substance Causing Death; Distribution of a controlled substance when death results from the use of such substance</v>
      </c>
      <c r="D868" s="49" t="str">
        <f t="shared" si="3"/>
        <v>21-5430(b)</v>
      </c>
      <c r="E868" s="11" t="s">
        <v>133</v>
      </c>
      <c r="F868" s="11">
        <v>3.0</v>
      </c>
      <c r="G868" s="11">
        <v>3.0</v>
      </c>
      <c r="H868" s="11">
        <v>3.0</v>
      </c>
      <c r="I868" s="11">
        <v>3.0</v>
      </c>
    </row>
    <row r="869">
      <c r="A869" s="10" t="s">
        <v>7266</v>
      </c>
      <c r="B869" s="49" t="str">
        <f t="shared" si="1"/>
        <v>Distribution of a Controlled Substance Causing Great Bodily Harm</v>
      </c>
      <c r="C869" s="49" t="str">
        <f t="shared" si="2"/>
        <v>Distribution of a Controlled Substance Causing Great Bodily Harm; Distribution of a controlled substance when great bodily harm results from the use of such substance</v>
      </c>
      <c r="D869" s="49" t="str">
        <f t="shared" si="3"/>
        <v>21-5430(a)</v>
      </c>
      <c r="E869" s="11" t="s">
        <v>133</v>
      </c>
      <c r="F869" s="11">
        <v>3.0</v>
      </c>
      <c r="G869" s="11">
        <v>3.0</v>
      </c>
      <c r="H869" s="11">
        <v>3.0</v>
      </c>
      <c r="I869" s="11">
        <v>3.0</v>
      </c>
    </row>
    <row r="870">
      <c r="A870" s="10" t="s">
        <v>7267</v>
      </c>
      <c r="B870" s="49" t="str">
        <f t="shared" si="1"/>
        <v>District Officers &amp; Employers</v>
      </c>
      <c r="C870" s="49" t="str">
        <f t="shared" si="2"/>
        <v>District Officers &amp; Employers; District Coroner; Unauthorized disposition of body of deceased</v>
      </c>
      <c r="D870" s="49" t="str">
        <f t="shared" si="3"/>
        <v>22a-215(b)</v>
      </c>
      <c r="E870" s="11" t="s">
        <v>133</v>
      </c>
      <c r="F870" s="11">
        <v>3.0</v>
      </c>
      <c r="G870" s="11">
        <v>3.0</v>
      </c>
      <c r="H870" s="11">
        <v>3.0</v>
      </c>
      <c r="I870" s="11">
        <v>3.0</v>
      </c>
    </row>
    <row r="871">
      <c r="A871" s="10" t="s">
        <v>7268</v>
      </c>
      <c r="B871" s="49" t="str">
        <f t="shared" si="1"/>
        <v>Dog Fighting</v>
      </c>
      <c r="C871" s="49" t="str">
        <f t="shared" si="2"/>
        <v>Dog Fighting; Cause dog fighting for amusement or gain</v>
      </c>
      <c r="D871" s="49" t="str">
        <f t="shared" si="3"/>
        <v>21-6414(a)(1)</v>
      </c>
      <c r="E871" s="11" t="s">
        <v>133</v>
      </c>
      <c r="F871" s="11">
        <v>3.0</v>
      </c>
      <c r="G871" s="11">
        <v>3.0</v>
      </c>
      <c r="H871" s="11">
        <v>3.0</v>
      </c>
      <c r="I871" s="11">
        <v>3.0</v>
      </c>
    </row>
    <row r="872">
      <c r="A872" s="10" t="s">
        <v>7269</v>
      </c>
      <c r="B872" s="49" t="str">
        <f t="shared" si="1"/>
        <v>Dog Fighting</v>
      </c>
      <c r="C872" s="49" t="str">
        <f t="shared" si="2"/>
        <v>Dog Fighting; Knowingly permit dog fighting on one's premises</v>
      </c>
      <c r="D872" s="49" t="str">
        <f t="shared" si="3"/>
        <v>21-6414(a)(2)</v>
      </c>
      <c r="E872" s="11" t="s">
        <v>133</v>
      </c>
      <c r="F872" s="11">
        <v>3.0</v>
      </c>
      <c r="G872" s="11">
        <v>3.0</v>
      </c>
      <c r="H872" s="11">
        <v>3.0</v>
      </c>
      <c r="I872" s="11">
        <v>3.0</v>
      </c>
    </row>
    <row r="873">
      <c r="A873" s="10" t="s">
        <v>7270</v>
      </c>
      <c r="B873" s="49" t="str">
        <f t="shared" si="1"/>
        <v>Dog Fighting</v>
      </c>
      <c r="C873" s="49" t="str">
        <f t="shared" si="2"/>
        <v>Dog Fighting; Train, own, keep, transport or sell any dog for the purpose of dog fighting</v>
      </c>
      <c r="D873" s="49" t="str">
        <f t="shared" si="3"/>
        <v>21-6414(a)(3)</v>
      </c>
      <c r="E873" s="11" t="s">
        <v>133</v>
      </c>
      <c r="F873" s="11">
        <v>3.0</v>
      </c>
      <c r="G873" s="11">
        <v>3.0</v>
      </c>
      <c r="H873" s="11">
        <v>3.0</v>
      </c>
      <c r="I873" s="11">
        <v>3.0</v>
      </c>
    </row>
    <row r="874">
      <c r="A874" s="10" t="s">
        <v>7271</v>
      </c>
      <c r="B874" s="49" t="str">
        <f t="shared" si="1"/>
        <v>Dog Fighting</v>
      </c>
      <c r="C874" s="49" t="str">
        <f t="shared" si="2"/>
        <v>Dog Fighting; Unlawful attendance of dog fighting</v>
      </c>
      <c r="D874" s="49" t="str">
        <f t="shared" si="3"/>
        <v>21-6414(c)</v>
      </c>
      <c r="E874" s="11" t="s">
        <v>133</v>
      </c>
      <c r="F874" s="11">
        <v>3.0</v>
      </c>
      <c r="G874" s="11">
        <v>3.0</v>
      </c>
      <c r="H874" s="11">
        <v>3.0</v>
      </c>
      <c r="I874" s="11">
        <v>3.0</v>
      </c>
    </row>
    <row r="875">
      <c r="A875" s="10" t="s">
        <v>7272</v>
      </c>
      <c r="B875" s="49" t="str">
        <f t="shared" si="1"/>
        <v>Dog Fighting</v>
      </c>
      <c r="C875" s="49" t="str">
        <f t="shared" si="2"/>
        <v>Dog Fighting; Unlawful possession of dog fighting paraphernalia</v>
      </c>
      <c r="D875" s="49" t="str">
        <f t="shared" si="3"/>
        <v>21-6414(b)</v>
      </c>
      <c r="E875" s="11" t="s">
        <v>133</v>
      </c>
      <c r="F875" s="11">
        <v>3.0</v>
      </c>
      <c r="G875" s="11">
        <v>3.0</v>
      </c>
      <c r="H875" s="11">
        <v>3.0</v>
      </c>
      <c r="I875" s="11">
        <v>3.0</v>
      </c>
    </row>
    <row r="876">
      <c r="A876" s="10" t="s">
        <v>7273</v>
      </c>
      <c r="B876" s="49" t="str">
        <f t="shared" si="1"/>
        <v>Domestic Battery</v>
      </c>
      <c r="C876" s="49" t="str">
        <f t="shared" si="2"/>
        <v>Domestic Battery; Knowingly causing physical contact in rude, insulting or angry manner; 3rd or subs. within 5 yrs</v>
      </c>
      <c r="D876" s="49" t="str">
        <f t="shared" si="3"/>
        <v>21-5414(a)(2)</v>
      </c>
      <c r="E876" s="11" t="s">
        <v>133</v>
      </c>
      <c r="F876" s="11">
        <v>3.0</v>
      </c>
      <c r="G876" s="11">
        <v>3.0</v>
      </c>
      <c r="H876" s="11">
        <v>3.0</v>
      </c>
      <c r="I876" s="11">
        <v>3.0</v>
      </c>
    </row>
    <row r="877">
      <c r="A877" s="10" t="s">
        <v>7274</v>
      </c>
      <c r="B877" s="49" t="str">
        <f t="shared" si="1"/>
        <v>Domestic Battery</v>
      </c>
      <c r="C877" s="49" t="str">
        <f t="shared" si="2"/>
        <v>Domestic Battery; Knowingly causing physical contact with a family or household member by a family or household member when done in a rude, insulting or angry manner; 1st conviction</v>
      </c>
      <c r="D877" s="49" t="str">
        <f t="shared" si="3"/>
        <v>21-5414(a)(2)</v>
      </c>
      <c r="E877" s="11" t="s">
        <v>133</v>
      </c>
      <c r="F877" s="11">
        <v>3.0</v>
      </c>
      <c r="G877" s="11">
        <v>3.0</v>
      </c>
      <c r="H877" s="11">
        <v>3.0</v>
      </c>
      <c r="I877" s="11">
        <v>3.0</v>
      </c>
    </row>
    <row r="878">
      <c r="A878" s="10" t="s">
        <v>7275</v>
      </c>
      <c r="B878" s="49" t="str">
        <f t="shared" si="1"/>
        <v>Domestic Battery</v>
      </c>
      <c r="C878" s="49" t="str">
        <f t="shared" si="2"/>
        <v>Domestic Battery; Knowingly causing physical contact with a family or household member by a family or household member when done in a rude, insulting or angry manner; 2nd conviction within 5 yrs of 1st conviction</v>
      </c>
      <c r="D878" s="49" t="str">
        <f t="shared" si="3"/>
        <v>21-5414(a)(2)</v>
      </c>
      <c r="E878" s="11" t="s">
        <v>133</v>
      </c>
      <c r="F878" s="11">
        <v>3.0</v>
      </c>
      <c r="G878" s="11">
        <v>3.0</v>
      </c>
      <c r="H878" s="11">
        <v>3.0</v>
      </c>
      <c r="I878" s="11">
        <v>3.0</v>
      </c>
    </row>
    <row r="879">
      <c r="A879" s="10" t="s">
        <v>7276</v>
      </c>
      <c r="B879" s="49" t="str">
        <f t="shared" si="1"/>
        <v>Domestic Battery</v>
      </c>
      <c r="C879" s="49" t="str">
        <f t="shared" si="2"/>
        <v>Domestic Battery; Knowingly or recklessly causing bodily harm by a family or household member against a family or household member; 1st conviction</v>
      </c>
      <c r="D879" s="49" t="str">
        <f t="shared" si="3"/>
        <v>21-5414(a)(1)</v>
      </c>
      <c r="E879" s="11" t="s">
        <v>133</v>
      </c>
      <c r="F879" s="11">
        <v>3.0</v>
      </c>
      <c r="G879" s="11">
        <v>3.0</v>
      </c>
      <c r="H879" s="11">
        <v>3.0</v>
      </c>
      <c r="I879" s="11">
        <v>3.0</v>
      </c>
    </row>
    <row r="880">
      <c r="A880" s="10" t="s">
        <v>7277</v>
      </c>
      <c r="B880" s="49" t="str">
        <f t="shared" si="1"/>
        <v>Domestic Battery</v>
      </c>
      <c r="C880" s="49" t="str">
        <f t="shared" si="2"/>
        <v>Domestic Battery; Knowingly or recklessly causing bodily harm by a family or household member against a family or household member; 2nd conviction within 5 yrs of 1st conviction</v>
      </c>
      <c r="D880" s="49" t="str">
        <f t="shared" si="3"/>
        <v>21-5414(a)(1)</v>
      </c>
      <c r="E880" s="11" t="s">
        <v>133</v>
      </c>
      <c r="F880" s="11">
        <v>3.0</v>
      </c>
      <c r="G880" s="11">
        <v>3.0</v>
      </c>
      <c r="H880" s="11">
        <v>3.0</v>
      </c>
      <c r="I880" s="11">
        <v>3.0</v>
      </c>
    </row>
    <row r="881">
      <c r="A881" s="10" t="s">
        <v>7278</v>
      </c>
      <c r="B881" s="49" t="str">
        <f t="shared" si="1"/>
        <v>Domestic Battery</v>
      </c>
      <c r="C881" s="49" t="str">
        <f t="shared" si="2"/>
        <v>Domestic Battery; Knowingly or recklessly causing bodily harm; 3rd or subs. within 5 yrs</v>
      </c>
      <c r="D881" s="49" t="str">
        <f t="shared" si="3"/>
        <v>21-5414(a)(1)</v>
      </c>
      <c r="E881" s="11" t="s">
        <v>133</v>
      </c>
      <c r="F881" s="11">
        <v>3.0</v>
      </c>
      <c r="G881" s="11">
        <v>3.0</v>
      </c>
      <c r="H881" s="11">
        <v>3.0</v>
      </c>
      <c r="I881" s="11">
        <v>3.0</v>
      </c>
    </row>
    <row r="882">
      <c r="A882" s="10" t="s">
        <v>7279</v>
      </c>
      <c r="B882" s="49" t="str">
        <f t="shared" si="1"/>
        <v>Drainage &amp; Levees</v>
      </c>
      <c r="C882" s="49" t="str">
        <f t="shared" si="2"/>
        <v>Drainage &amp; Levees; Unlawful to construct fills and levees without prior approval of chief engineer</v>
      </c>
      <c r="D882" s="49" t="str">
        <f t="shared" si="3"/>
        <v>24-126(a)</v>
      </c>
      <c r="E882" s="11" t="s">
        <v>133</v>
      </c>
      <c r="F882" s="11">
        <v>3.0</v>
      </c>
      <c r="G882" s="11">
        <v>3.0</v>
      </c>
      <c r="H882" s="11">
        <v>3.0</v>
      </c>
      <c r="I882" s="11">
        <v>3.0</v>
      </c>
    </row>
    <row r="883">
      <c r="A883" s="10" t="s">
        <v>7280</v>
      </c>
      <c r="B883" s="49" t="str">
        <f t="shared" si="1"/>
        <v>Drainage Districts within Counties or Cities</v>
      </c>
      <c r="C883" s="49" t="str">
        <f t="shared" si="2"/>
        <v>Drainage Districts within Counties or Cities; Failure of director to perform duty</v>
      </c>
      <c r="D883" s="49" t="str">
        <f t="shared" si="3"/>
        <v>24-455</v>
      </c>
      <c r="E883" s="11" t="s">
        <v>133</v>
      </c>
      <c r="F883" s="11">
        <v>3.0</v>
      </c>
      <c r="G883" s="11">
        <v>3.0</v>
      </c>
      <c r="H883" s="11">
        <v>3.0</v>
      </c>
      <c r="I883" s="11">
        <v>3.0</v>
      </c>
    </row>
    <row r="884">
      <c r="A884" s="10" t="s">
        <v>7281</v>
      </c>
      <c r="B884" s="49" t="str">
        <f t="shared" si="1"/>
        <v>Drainage Districts within Counties or Cities</v>
      </c>
      <c r="C884" s="49" t="str">
        <f t="shared" si="2"/>
        <v>Drainage Districts within Counties or Cities; Interfering with possession of appropriated property; removal from property</v>
      </c>
      <c r="D884" s="49" t="str">
        <f t="shared" si="3"/>
        <v>24-473</v>
      </c>
      <c r="E884" s="11" t="s">
        <v>133</v>
      </c>
      <c r="F884" s="11">
        <v>3.0</v>
      </c>
      <c r="G884" s="11">
        <v>3.0</v>
      </c>
      <c r="H884" s="11">
        <v>3.0</v>
      </c>
      <c r="I884" s="11">
        <v>3.0</v>
      </c>
    </row>
    <row r="885">
      <c r="A885" s="10" t="s">
        <v>7282</v>
      </c>
      <c r="B885" s="49" t="str">
        <f t="shared" si="1"/>
        <v>Drainage Districts within Counties or Cities</v>
      </c>
      <c r="C885" s="49" t="str">
        <f t="shared" si="2"/>
        <v>Drainage Districts within Counties or Cities; Wrongfully fill up, cut, injure, destroy or in any manner impair the usefulness of any drain, levee or other work constructed under the provisions of this act</v>
      </c>
      <c r="D885" s="49" t="str">
        <f t="shared" si="3"/>
        <v>24-456</v>
      </c>
      <c r="E885" s="11" t="s">
        <v>133</v>
      </c>
      <c r="F885" s="11">
        <v>3.0</v>
      </c>
      <c r="G885" s="11">
        <v>3.0</v>
      </c>
      <c r="H885" s="11">
        <v>3.0</v>
      </c>
      <c r="I885" s="11">
        <v>3.0</v>
      </c>
    </row>
    <row r="886">
      <c r="A886" s="10" t="s">
        <v>7283</v>
      </c>
      <c r="B886" s="49" t="str">
        <f t="shared" si="1"/>
        <v>Drainage in One or More Counties</v>
      </c>
      <c r="C886" s="49" t="str">
        <f t="shared" si="2"/>
        <v>Drainage in One or More Counties; Willfully obstruct or injure any ditch, drain, or watercourse, or damage or destroy any dike or other work constructed under the provisions of this act</v>
      </c>
      <c r="D886" s="49" t="str">
        <f t="shared" si="3"/>
        <v>24-636</v>
      </c>
      <c r="E886" s="11" t="s">
        <v>133</v>
      </c>
      <c r="F886" s="11">
        <v>3.0</v>
      </c>
      <c r="G886" s="11">
        <v>3.0</v>
      </c>
      <c r="H886" s="11">
        <v>3.0</v>
      </c>
      <c r="I886" s="11">
        <v>3.0</v>
      </c>
    </row>
    <row r="887">
      <c r="A887" s="10" t="s">
        <v>7284</v>
      </c>
      <c r="B887" s="49" t="str">
        <f t="shared" si="1"/>
        <v>Drainage of Swamps, Bottoms or Lowlands</v>
      </c>
      <c r="C887" s="49" t="str">
        <f t="shared" si="2"/>
        <v>Drainage of Swamps, Bottoms or Lowlands; Obstructing ditch, drain or stream</v>
      </c>
      <c r="D887" s="49" t="str">
        <f t="shared" si="3"/>
        <v>24-307</v>
      </c>
      <c r="E887" s="11" t="s">
        <v>133</v>
      </c>
      <c r="F887" s="11">
        <v>3.0</v>
      </c>
      <c r="G887" s="11">
        <v>3.0</v>
      </c>
      <c r="H887" s="11">
        <v>3.0</v>
      </c>
      <c r="I887" s="11">
        <v>3.0</v>
      </c>
    </row>
    <row r="888">
      <c r="A888" s="10" t="s">
        <v>7285</v>
      </c>
      <c r="B888" s="49" t="str">
        <f t="shared" si="1"/>
        <v>Drainage on Petition to Court</v>
      </c>
      <c r="C888" s="49" t="str">
        <f t="shared" si="2"/>
        <v>Drainage on Petition to Court; Willfully obstruct or injure or destroy any ditch or drain constructed under the provisions of this act</v>
      </c>
      <c r="D888" s="49" t="str">
        <f t="shared" si="3"/>
        <v>24-715</v>
      </c>
      <c r="E888" s="11" t="s">
        <v>133</v>
      </c>
      <c r="F888" s="11">
        <v>3.0</v>
      </c>
      <c r="G888" s="11">
        <v>3.0</v>
      </c>
      <c r="H888" s="11">
        <v>3.0</v>
      </c>
      <c r="I888" s="11">
        <v>3.0</v>
      </c>
    </row>
    <row r="889">
      <c r="A889" s="10" t="s">
        <v>7286</v>
      </c>
      <c r="B889" s="49" t="str">
        <f t="shared" si="1"/>
        <v>Drivers' Licenses</v>
      </c>
      <c r="C889" s="49" t="str">
        <f t="shared" si="2"/>
        <v>Drivers' Licenses; Display or possess any duplicated/photographed DL</v>
      </c>
      <c r="D889" s="49" t="str">
        <f t="shared" si="3"/>
        <v>8-260(a)(8)</v>
      </c>
      <c r="E889" s="11" t="s">
        <v>133</v>
      </c>
      <c r="F889" s="11">
        <v>3.0</v>
      </c>
      <c r="G889" s="11">
        <v>3.0</v>
      </c>
      <c r="H889" s="11">
        <v>3.0</v>
      </c>
      <c r="I889" s="11">
        <v>3.0</v>
      </c>
    </row>
    <row r="890">
      <c r="A890" s="10" t="s">
        <v>7287</v>
      </c>
      <c r="B890" s="49" t="str">
        <f t="shared" si="1"/>
        <v>Drivers' Licenses</v>
      </c>
      <c r="C890" s="49" t="str">
        <f t="shared" si="2"/>
        <v>Drivers' Licenses; Display or possess fictitious or fraudulently altered DL</v>
      </c>
      <c r="D890" s="49" t="str">
        <f t="shared" si="3"/>
        <v>8-260(a)(1)</v>
      </c>
      <c r="E890" s="11" t="s">
        <v>133</v>
      </c>
      <c r="F890" s="11">
        <v>3.0</v>
      </c>
      <c r="G890" s="11">
        <v>3.0</v>
      </c>
      <c r="H890" s="11">
        <v>3.0</v>
      </c>
      <c r="I890" s="11">
        <v>3.0</v>
      </c>
    </row>
    <row r="891">
      <c r="A891" s="10" t="s">
        <v>7288</v>
      </c>
      <c r="B891" s="49" t="str">
        <f t="shared" si="1"/>
        <v>Drivers' Licenses</v>
      </c>
      <c r="C891" s="49" t="str">
        <f t="shared" si="2"/>
        <v>Drivers' Licenses; Display/ permit display of canceled/revoked/suspended DL</v>
      </c>
      <c r="D891" s="49" t="str">
        <f t="shared" si="3"/>
        <v>8-260(a)(9)</v>
      </c>
      <c r="E891" s="11" t="s">
        <v>133</v>
      </c>
      <c r="F891" s="11">
        <v>3.0</v>
      </c>
      <c r="G891" s="11">
        <v>3.0</v>
      </c>
      <c r="H891" s="11">
        <v>3.0</v>
      </c>
      <c r="I891" s="11">
        <v>3.0</v>
      </c>
    </row>
    <row r="892">
      <c r="A892" s="10" t="s">
        <v>7289</v>
      </c>
      <c r="B892" s="49" t="str">
        <f t="shared" si="1"/>
        <v>Drivers' Licenses</v>
      </c>
      <c r="C892" s="49" t="str">
        <f t="shared" si="2"/>
        <v>Drivers' Licenses; Display/possess a fictitious/fraudulently altered DL by one &lt; 21 for the purchase of any alcoholic liquor or cereal malt beverage; 1st conviction</v>
      </c>
      <c r="D892" s="49" t="str">
        <f t="shared" si="3"/>
        <v>8-260(c)(4)</v>
      </c>
      <c r="E892" s="11" t="s">
        <v>133</v>
      </c>
      <c r="F892" s="11">
        <v>3.0</v>
      </c>
      <c r="G892" s="11">
        <v>3.0</v>
      </c>
      <c r="H892" s="11">
        <v>3.0</v>
      </c>
      <c r="I892" s="11">
        <v>3.0</v>
      </c>
    </row>
    <row r="893">
      <c r="A893" s="10" t="s">
        <v>7290</v>
      </c>
      <c r="B893" s="49" t="str">
        <f t="shared" si="1"/>
        <v>Drivers' Licenses</v>
      </c>
      <c r="C893" s="49" t="str">
        <f t="shared" si="2"/>
        <v>Drivers' Licenses; Display/possess a fictitious/fraudulently altered DL by one &lt; 21 for the purchase of any alcoholic liquor or cereal malt beverage; 2nd conviction</v>
      </c>
      <c r="D893" s="49" t="str">
        <f t="shared" si="3"/>
        <v>8-260(c)(4)</v>
      </c>
      <c r="E893" s="11" t="s">
        <v>133</v>
      </c>
      <c r="F893" s="11">
        <v>3.0</v>
      </c>
      <c r="G893" s="11">
        <v>3.0</v>
      </c>
      <c r="H893" s="11">
        <v>3.0</v>
      </c>
      <c r="I893" s="11">
        <v>3.0</v>
      </c>
    </row>
    <row r="894">
      <c r="A894" s="10" t="s">
        <v>7291</v>
      </c>
      <c r="B894" s="49" t="str">
        <f t="shared" si="1"/>
        <v>Drivers' Licenses</v>
      </c>
      <c r="C894" s="49" t="str">
        <f t="shared" si="2"/>
        <v>Drivers' Licenses; Display/represent as one's own, any DL not issued to same person</v>
      </c>
      <c r="D894" s="49" t="str">
        <f t="shared" si="3"/>
        <v>8-260(a)(3)</v>
      </c>
      <c r="E894" s="11" t="s">
        <v>133</v>
      </c>
      <c r="F894" s="11">
        <v>3.0</v>
      </c>
      <c r="G894" s="11">
        <v>3.0</v>
      </c>
      <c r="H894" s="11">
        <v>3.0</v>
      </c>
      <c r="I894" s="11">
        <v>3.0</v>
      </c>
    </row>
    <row r="895">
      <c r="A895" s="10" t="s">
        <v>7292</v>
      </c>
      <c r="B895" s="49" t="str">
        <f t="shared" si="1"/>
        <v>Drivers' Licenses</v>
      </c>
      <c r="C895" s="49" t="str">
        <f t="shared" si="2"/>
        <v>Drivers' Licenses; Driving while a habitual violator; 3rd and subs.</v>
      </c>
      <c r="D895" s="49" t="str">
        <f t="shared" si="3"/>
        <v>8-287</v>
      </c>
      <c r="E895" s="11" t="s">
        <v>133</v>
      </c>
      <c r="F895" s="11">
        <v>3.0</v>
      </c>
      <c r="G895" s="11">
        <v>3.0</v>
      </c>
      <c r="H895" s="11">
        <v>3.0</v>
      </c>
      <c r="I895" s="11">
        <v>3.0</v>
      </c>
    </row>
    <row r="896">
      <c r="A896" s="10" t="s">
        <v>7293</v>
      </c>
      <c r="B896" s="49" t="str">
        <f t="shared" si="1"/>
        <v>Drivers' Licenses</v>
      </c>
      <c r="C896" s="49" t="str">
        <f t="shared" si="2"/>
        <v>Drivers' Licenses; Driving while suspended - 1st conviction</v>
      </c>
      <c r="D896" s="49" t="str">
        <f t="shared" si="3"/>
        <v>8-262(a)(1)</v>
      </c>
      <c r="E896" s="11" t="s">
        <v>133</v>
      </c>
      <c r="F896" s="11">
        <v>3.0</v>
      </c>
      <c r="G896" s="11">
        <v>3.0</v>
      </c>
      <c r="H896" s="11">
        <v>3.0</v>
      </c>
      <c r="I896" s="11">
        <v>3.0</v>
      </c>
    </row>
    <row r="897">
      <c r="A897" s="10" t="s">
        <v>7294</v>
      </c>
      <c r="B897" s="49" t="str">
        <f t="shared" si="1"/>
        <v>Drivers' Licenses</v>
      </c>
      <c r="C897" s="49" t="str">
        <f t="shared" si="2"/>
        <v>Drivers' Licenses; Driving while suspended - 2nd or subs. conviction</v>
      </c>
      <c r="D897" s="49" t="str">
        <f t="shared" si="3"/>
        <v>8-262(a)(1)</v>
      </c>
      <c r="E897" s="11" t="s">
        <v>133</v>
      </c>
      <c r="F897" s="11">
        <v>3.0</v>
      </c>
      <c r="G897" s="11">
        <v>3.0</v>
      </c>
      <c r="H897" s="11">
        <v>3.0</v>
      </c>
      <c r="I897" s="11">
        <v>3.0</v>
      </c>
    </row>
    <row r="898">
      <c r="A898" s="10" t="s">
        <v>7295</v>
      </c>
      <c r="B898" s="49" t="str">
        <f t="shared" si="1"/>
        <v>Drivers' Licenses</v>
      </c>
      <c r="C898" s="49" t="str">
        <f t="shared" si="2"/>
        <v>Drivers' Licenses; Driving while suspended - 3rd or subs. conviction; additional penalties applied</v>
      </c>
      <c r="D898" s="49" t="str">
        <f t="shared" si="3"/>
        <v>8-262(a)(1)</v>
      </c>
      <c r="E898" s="11" t="s">
        <v>133</v>
      </c>
      <c r="F898" s="11">
        <v>3.0</v>
      </c>
      <c r="G898" s="11">
        <v>3.0</v>
      </c>
      <c r="H898" s="11">
        <v>3.0</v>
      </c>
      <c r="I898" s="11">
        <v>3.0</v>
      </c>
    </row>
    <row r="899">
      <c r="A899" s="10" t="s">
        <v>7296</v>
      </c>
      <c r="B899" s="49" t="str">
        <f t="shared" si="1"/>
        <v>Drivers' Licenses</v>
      </c>
      <c r="C899" s="49" t="str">
        <f t="shared" si="2"/>
        <v>Drivers' Licenses; Employing person to operate a vehicle such person is not licensed to operate</v>
      </c>
      <c r="D899" s="49" t="str">
        <f t="shared" si="3"/>
        <v>8-265</v>
      </c>
      <c r="E899" s="11" t="s">
        <v>133</v>
      </c>
      <c r="F899" s="11">
        <v>3.0</v>
      </c>
      <c r="G899" s="11">
        <v>3.0</v>
      </c>
      <c r="H899" s="11">
        <v>3.0</v>
      </c>
      <c r="I899" s="11">
        <v>3.0</v>
      </c>
    </row>
    <row r="900">
      <c r="A900" s="10" t="s">
        <v>7297</v>
      </c>
      <c r="B900" s="49" t="str">
        <f t="shared" si="1"/>
        <v>Drivers' Licenses</v>
      </c>
      <c r="C900" s="49" t="str">
        <f t="shared" si="2"/>
        <v>Drivers' Licenses; Fail / refuse to surrender any suspended, revoked, or cancelled DL upon lawful demand</v>
      </c>
      <c r="D900" s="49" t="str">
        <f t="shared" si="3"/>
        <v>8-260(a)(4)</v>
      </c>
      <c r="E900" s="11" t="s">
        <v>133</v>
      </c>
      <c r="F900" s="11">
        <v>3.0</v>
      </c>
      <c r="G900" s="11">
        <v>3.0</v>
      </c>
      <c r="H900" s="11">
        <v>3.0</v>
      </c>
      <c r="I900" s="11">
        <v>3.0</v>
      </c>
    </row>
    <row r="901">
      <c r="A901" s="10" t="s">
        <v>7298</v>
      </c>
      <c r="B901" s="49" t="str">
        <f t="shared" si="1"/>
        <v>Drivers' Licenses</v>
      </c>
      <c r="C901" s="49" t="str">
        <f t="shared" si="2"/>
        <v>Drivers' Licenses; Habitual violators; driving while a habitual violator</v>
      </c>
      <c r="D901" s="49" t="str">
        <f t="shared" si="3"/>
        <v>8-287</v>
      </c>
      <c r="E901" s="11" t="s">
        <v>133</v>
      </c>
      <c r="F901" s="11">
        <v>3.0</v>
      </c>
      <c r="G901" s="11">
        <v>3.0</v>
      </c>
      <c r="H901" s="11">
        <v>3.0</v>
      </c>
      <c r="I901" s="11">
        <v>3.0</v>
      </c>
    </row>
    <row r="902">
      <c r="A902" s="10" t="s">
        <v>7299</v>
      </c>
      <c r="B902" s="49" t="str">
        <f t="shared" si="1"/>
        <v>Drivers' Licenses</v>
      </c>
      <c r="C902" s="49" t="str">
        <f t="shared" si="2"/>
        <v>Drivers' Licenses; Lend DL to another/knowingly permit use by another</v>
      </c>
      <c r="D902" s="49" t="str">
        <f t="shared" si="3"/>
        <v>8-260(a)(2)</v>
      </c>
      <c r="E902" s="11" t="s">
        <v>133</v>
      </c>
      <c r="F902" s="11">
        <v>3.0</v>
      </c>
      <c r="G902" s="11">
        <v>3.0</v>
      </c>
      <c r="H902" s="11">
        <v>3.0</v>
      </c>
      <c r="I902" s="11">
        <v>3.0</v>
      </c>
    </row>
    <row r="903">
      <c r="A903" s="10" t="s">
        <v>7300</v>
      </c>
      <c r="B903" s="49" t="str">
        <f t="shared" si="1"/>
        <v>Drivers' Licenses</v>
      </c>
      <c r="C903" s="49" t="str">
        <f t="shared" si="2"/>
        <v>Drivers' Licenses; Lend DL to person &lt; 21 to consume/purchase cereal malt beverage; 1st conviction</v>
      </c>
      <c r="D903" s="49" t="str">
        <f t="shared" si="3"/>
        <v>8-260(c)(2)</v>
      </c>
      <c r="E903" s="11" t="s">
        <v>133</v>
      </c>
      <c r="F903" s="11">
        <v>3.0</v>
      </c>
      <c r="G903" s="11">
        <v>3.0</v>
      </c>
      <c r="H903" s="11">
        <v>3.0</v>
      </c>
      <c r="I903" s="11">
        <v>3.0</v>
      </c>
    </row>
    <row r="904">
      <c r="A904" s="10" t="s">
        <v>7301</v>
      </c>
      <c r="B904" s="49" t="str">
        <f t="shared" si="1"/>
        <v>Drivers' Licenses</v>
      </c>
      <c r="C904" s="49" t="str">
        <f t="shared" si="2"/>
        <v>Drivers' Licenses; Lend DL to person &lt; 21 to consume/purchase cereal malt beverage; 2nd conviction</v>
      </c>
      <c r="D904" s="49" t="str">
        <f t="shared" si="3"/>
        <v>8-260(c)(2)</v>
      </c>
      <c r="E904" s="11" t="s">
        <v>133</v>
      </c>
      <c r="F904" s="11">
        <v>3.0</v>
      </c>
      <c r="G904" s="11">
        <v>3.0</v>
      </c>
      <c r="H904" s="11">
        <v>3.0</v>
      </c>
      <c r="I904" s="11">
        <v>3.0</v>
      </c>
    </row>
    <row r="905">
      <c r="A905" s="10" t="s">
        <v>7302</v>
      </c>
      <c r="B905" s="49" t="str">
        <f t="shared" si="1"/>
        <v>Drivers' Licenses</v>
      </c>
      <c r="C905" s="49" t="str">
        <f t="shared" si="2"/>
        <v>Drivers' Licenses; Lend DL to person &lt; 21 to purchase alcohol; 1st conviction</v>
      </c>
      <c r="D905" s="49" t="str">
        <f t="shared" si="3"/>
        <v>8-260(c)(1)</v>
      </c>
      <c r="E905" s="11" t="s">
        <v>133</v>
      </c>
      <c r="F905" s="11">
        <v>3.0</v>
      </c>
      <c r="G905" s="11">
        <v>3.0</v>
      </c>
      <c r="H905" s="11">
        <v>3.0</v>
      </c>
      <c r="I905" s="11">
        <v>3.0</v>
      </c>
    </row>
    <row r="906">
      <c r="A906" s="10" t="s">
        <v>7303</v>
      </c>
      <c r="B906" s="49" t="str">
        <f t="shared" si="1"/>
        <v>Drivers' Licenses</v>
      </c>
      <c r="C906" s="49" t="str">
        <f t="shared" si="2"/>
        <v>Drivers' Licenses; Lend DL to person &lt; 21 to purchase alcohol; 2nd conviction</v>
      </c>
      <c r="D906" s="49" t="str">
        <f t="shared" si="3"/>
        <v>8-260(c)(1)</v>
      </c>
      <c r="E906" s="11" t="s">
        <v>133</v>
      </c>
      <c r="F906" s="11">
        <v>3.0</v>
      </c>
      <c r="G906" s="11">
        <v>3.0</v>
      </c>
      <c r="H906" s="11">
        <v>3.0</v>
      </c>
      <c r="I906" s="11">
        <v>3.0</v>
      </c>
    </row>
    <row r="907">
      <c r="A907" s="10" t="s">
        <v>7304</v>
      </c>
      <c r="B907" s="49" t="str">
        <f t="shared" si="1"/>
        <v>Drivers' Licenses</v>
      </c>
      <c r="C907" s="49" t="str">
        <f t="shared" si="2"/>
        <v>Drivers' Licenses; Lend DL, nondriver's ID card or other ID to wrongfully obtain a DL for another; 1st conviction</v>
      </c>
      <c r="D907" s="49" t="str">
        <f t="shared" si="3"/>
        <v>8-260(c)(3)</v>
      </c>
      <c r="E907" s="11" t="s">
        <v>133</v>
      </c>
      <c r="F907" s="11">
        <v>3.0</v>
      </c>
      <c r="G907" s="11">
        <v>3.0</v>
      </c>
      <c r="H907" s="11">
        <v>3.0</v>
      </c>
      <c r="I907" s="11">
        <v>3.0</v>
      </c>
    </row>
    <row r="908">
      <c r="A908" s="10" t="s">
        <v>7305</v>
      </c>
      <c r="B908" s="49" t="str">
        <f t="shared" si="1"/>
        <v>Drivers' Licenses</v>
      </c>
      <c r="C908" s="49" t="str">
        <f t="shared" si="2"/>
        <v>Drivers' Licenses; Lend DL, nondriver's ID card or other ID to wrongfully obtain a DL for another; 2nd conviction</v>
      </c>
      <c r="D908" s="49" t="str">
        <f t="shared" si="3"/>
        <v>8-260(c)(3)</v>
      </c>
      <c r="E908" s="11" t="s">
        <v>133</v>
      </c>
      <c r="F908" s="11">
        <v>3.0</v>
      </c>
      <c r="G908" s="11">
        <v>3.0</v>
      </c>
      <c r="H908" s="11">
        <v>3.0</v>
      </c>
      <c r="I908" s="11">
        <v>3.0</v>
      </c>
    </row>
    <row r="909">
      <c r="A909" s="10" t="s">
        <v>7306</v>
      </c>
      <c r="B909" s="49" t="str">
        <f t="shared" si="1"/>
        <v>Drivers' Licenses</v>
      </c>
      <c r="C909" s="49" t="str">
        <f t="shared" si="2"/>
        <v>Drivers' Licenses; Make a false affidavit; penalty of perjury; made during a felony trial</v>
      </c>
      <c r="D909" s="49" t="str">
        <f t="shared" si="3"/>
        <v>8-261a</v>
      </c>
      <c r="E909" s="11" t="s">
        <v>133</v>
      </c>
      <c r="F909" s="11">
        <v>3.0</v>
      </c>
      <c r="G909" s="11">
        <v>3.0</v>
      </c>
      <c r="H909" s="11">
        <v>3.0</v>
      </c>
      <c r="I909" s="11">
        <v>3.0</v>
      </c>
    </row>
    <row r="910">
      <c r="A910" s="10" t="s">
        <v>7307</v>
      </c>
      <c r="B910" s="49" t="str">
        <f t="shared" si="1"/>
        <v>Drivers' Licenses</v>
      </c>
      <c r="C910" s="49" t="str">
        <f t="shared" si="2"/>
        <v>Drivers' Licenses; Make a false affidavit; penalty of perjury; made in a cause, matter or proceeding other than a felony trial</v>
      </c>
      <c r="D910" s="49" t="str">
        <f t="shared" si="3"/>
        <v>8-261a</v>
      </c>
      <c r="E910" s="11" t="s">
        <v>133</v>
      </c>
      <c r="F910" s="11">
        <v>3.0</v>
      </c>
      <c r="G910" s="11">
        <v>3.0</v>
      </c>
      <c r="H910" s="11">
        <v>3.0</v>
      </c>
      <c r="I910" s="11">
        <v>3.0</v>
      </c>
    </row>
    <row r="911">
      <c r="A911" s="10" t="s">
        <v>7308</v>
      </c>
      <c r="B911" s="49" t="str">
        <f t="shared" si="1"/>
        <v>Drivers' Licenses</v>
      </c>
      <c r="C911" s="49" t="str">
        <f t="shared" si="2"/>
        <v>Drivers' Licenses; Operating a motor vehicle on highway without driver's license</v>
      </c>
      <c r="D911" s="49" t="str">
        <f t="shared" si="3"/>
        <v>8-235(a)</v>
      </c>
      <c r="E911" s="11" t="s">
        <v>133</v>
      </c>
      <c r="F911" s="11">
        <v>3.0</v>
      </c>
      <c r="G911" s="11">
        <v>3.0</v>
      </c>
      <c r="H911" s="11">
        <v>3.0</v>
      </c>
      <c r="I911" s="11">
        <v>3.0</v>
      </c>
    </row>
    <row r="912">
      <c r="A912" s="10" t="s">
        <v>7309</v>
      </c>
      <c r="B912" s="49" t="str">
        <f t="shared" si="1"/>
        <v>Drivers' Licenses</v>
      </c>
      <c r="C912" s="49" t="str">
        <f t="shared" si="2"/>
        <v>Drivers' Licenses; Operating a motorcycle without class M driver's license</v>
      </c>
      <c r="D912" s="49" t="str">
        <f t="shared" si="3"/>
        <v>8-235(c)</v>
      </c>
      <c r="E912" s="11" t="s">
        <v>133</v>
      </c>
      <c r="F912" s="11">
        <v>3.0</v>
      </c>
      <c r="G912" s="11">
        <v>3.0</v>
      </c>
      <c r="H912" s="11">
        <v>3.0</v>
      </c>
      <c r="I912" s="11">
        <v>3.0</v>
      </c>
    </row>
    <row r="913">
      <c r="A913" s="10" t="s">
        <v>7310</v>
      </c>
      <c r="B913" s="49" t="str">
        <f t="shared" si="1"/>
        <v>Drivers' Licenses</v>
      </c>
      <c r="C913" s="49" t="str">
        <f t="shared" si="2"/>
        <v>Drivers' Licenses; Operating a motorized bicycle on highway without meeting requirements</v>
      </c>
      <c r="D913" s="49" t="str">
        <f t="shared" si="3"/>
        <v>8-235(d)</v>
      </c>
      <c r="E913" s="11" t="s">
        <v>133</v>
      </c>
      <c r="F913" s="11">
        <v>3.0</v>
      </c>
      <c r="G913" s="11">
        <v>3.0</v>
      </c>
      <c r="H913" s="11">
        <v>3.0</v>
      </c>
      <c r="I913" s="11">
        <v>3.0</v>
      </c>
    </row>
    <row r="914">
      <c r="A914" s="10" t="s">
        <v>7311</v>
      </c>
      <c r="B914" s="49" t="str">
        <f t="shared" si="1"/>
        <v>Drivers' Licenses</v>
      </c>
      <c r="C914" s="49" t="str">
        <f t="shared" si="2"/>
        <v>Drivers' Licenses; Operation of a driver training school or giving driving instruction for hire without driver training school or instructor license</v>
      </c>
      <c r="D914" s="49" t="str">
        <f t="shared" si="3"/>
        <v>8-274</v>
      </c>
      <c r="E914" s="11" t="s">
        <v>133</v>
      </c>
      <c r="F914" s="11">
        <v>3.0</v>
      </c>
      <c r="G914" s="11">
        <v>3.0</v>
      </c>
      <c r="H914" s="11">
        <v>3.0</v>
      </c>
      <c r="I914" s="11">
        <v>3.0</v>
      </c>
    </row>
    <row r="915">
      <c r="A915" s="10" t="s">
        <v>7312</v>
      </c>
      <c r="B915" s="49" t="str">
        <f t="shared" si="1"/>
        <v>Drivers' Licenses</v>
      </c>
      <c r="C915" s="49" t="str">
        <f t="shared" si="2"/>
        <v>Drivers' Licenses; Operation of a motor vehicle in violation of the restrictions on any driver's license or permit imposed pursuant to any statute</v>
      </c>
      <c r="D915" s="49" t="str">
        <f t="shared" si="3"/>
        <v>8-291(a)</v>
      </c>
      <c r="E915" s="11" t="s">
        <v>133</v>
      </c>
      <c r="F915" s="11">
        <v>3.0</v>
      </c>
      <c r="G915" s="11">
        <v>3.0</v>
      </c>
      <c r="H915" s="11">
        <v>3.0</v>
      </c>
      <c r="I915" s="11">
        <v>3.0</v>
      </c>
    </row>
    <row r="916">
      <c r="A916" s="10" t="s">
        <v>7313</v>
      </c>
      <c r="B916" s="49" t="str">
        <f t="shared" si="1"/>
        <v>Drivers' Licenses</v>
      </c>
      <c r="C916" s="49" t="str">
        <f t="shared" si="2"/>
        <v>Drivers' Licenses; Operation of motor vehicle in violation of Court imposed restrictions; penalized according to 8-291</v>
      </c>
      <c r="D916" s="49" t="str">
        <f t="shared" si="3"/>
        <v>8-292(a)</v>
      </c>
      <c r="E916" s="11" t="s">
        <v>133</v>
      </c>
      <c r="F916" s="11">
        <v>3.0</v>
      </c>
      <c r="G916" s="11">
        <v>3.0</v>
      </c>
      <c r="H916" s="11">
        <v>3.0</v>
      </c>
      <c r="I916" s="11">
        <v>3.0</v>
      </c>
    </row>
    <row r="917">
      <c r="A917" s="10" t="s">
        <v>7314</v>
      </c>
      <c r="B917" s="49" t="str">
        <f t="shared" si="1"/>
        <v>Drivers' Licenses</v>
      </c>
      <c r="C917" s="49" t="str">
        <f t="shared" si="2"/>
        <v>Drivers' Licenses; Operation of motor vehicle in violation of restrictions imposed in a restricted driver's license</v>
      </c>
      <c r="D917" s="49" t="str">
        <f t="shared" si="3"/>
        <v>8-245(a)</v>
      </c>
      <c r="E917" s="11" t="s">
        <v>133</v>
      </c>
      <c r="F917" s="11">
        <v>3.0</v>
      </c>
      <c r="G917" s="11">
        <v>3.0</v>
      </c>
      <c r="H917" s="11">
        <v>3.0</v>
      </c>
      <c r="I917" s="11">
        <v>3.0</v>
      </c>
    </row>
    <row r="918">
      <c r="A918" s="10" t="s">
        <v>7315</v>
      </c>
      <c r="B918" s="49" t="str">
        <f t="shared" si="1"/>
        <v>Drivers' Licenses</v>
      </c>
      <c r="C918" s="49" t="str">
        <f t="shared" si="2"/>
        <v>Drivers' Licenses; Permit any unlawful use of DL issued to any person</v>
      </c>
      <c r="D918" s="49" t="str">
        <f t="shared" si="3"/>
        <v>8-260(a)(6)</v>
      </c>
      <c r="E918" s="11" t="s">
        <v>133</v>
      </c>
      <c r="F918" s="11">
        <v>3.0</v>
      </c>
      <c r="G918" s="11">
        <v>3.0</v>
      </c>
      <c r="H918" s="11">
        <v>3.0</v>
      </c>
      <c r="I918" s="11">
        <v>3.0</v>
      </c>
    </row>
    <row r="919">
      <c r="A919" s="10" t="s">
        <v>7316</v>
      </c>
      <c r="B919" s="49" t="str">
        <f t="shared" si="1"/>
        <v>Drivers' Licenses</v>
      </c>
      <c r="C919" s="49" t="str">
        <f t="shared" si="2"/>
        <v>Drivers' Licenses; Permitting unauthorized minor to drive</v>
      </c>
      <c r="D919" s="49" t="str">
        <f t="shared" si="3"/>
        <v>8-263</v>
      </c>
      <c r="E919" s="11" t="s">
        <v>133</v>
      </c>
      <c r="F919" s="11">
        <v>3.0</v>
      </c>
      <c r="G919" s="11">
        <v>3.0</v>
      </c>
      <c r="H919" s="11">
        <v>3.0</v>
      </c>
      <c r="I919" s="11">
        <v>3.0</v>
      </c>
    </row>
    <row r="920">
      <c r="A920" s="10" t="s">
        <v>7317</v>
      </c>
      <c r="B920" s="49" t="str">
        <f t="shared" si="1"/>
        <v>Drivers' Licenses</v>
      </c>
      <c r="C920" s="49" t="str">
        <f t="shared" si="2"/>
        <v>Drivers' Licenses; Permitting unauthorized person to drive</v>
      </c>
      <c r="D920" s="49" t="str">
        <f t="shared" si="3"/>
        <v>8-264</v>
      </c>
      <c r="E920" s="11" t="s">
        <v>133</v>
      </c>
      <c r="F920" s="11">
        <v>3.0</v>
      </c>
      <c r="G920" s="11">
        <v>3.0</v>
      </c>
      <c r="H920" s="11">
        <v>3.0</v>
      </c>
      <c r="I920" s="11">
        <v>3.0</v>
      </c>
    </row>
    <row r="921">
      <c r="A921" s="10" t="s">
        <v>7318</v>
      </c>
      <c r="B921" s="49" t="str">
        <f t="shared" si="1"/>
        <v>Drivers' Licenses</v>
      </c>
      <c r="C921" s="49" t="str">
        <f t="shared" si="2"/>
        <v>Drivers' Licenses; Renting motor vehicle to person not licensed to operate it</v>
      </c>
      <c r="D921" s="49" t="str">
        <f t="shared" si="3"/>
        <v>8-266(a)</v>
      </c>
      <c r="E921" s="11" t="s">
        <v>133</v>
      </c>
      <c r="F921" s="11">
        <v>3.0</v>
      </c>
      <c r="G921" s="11">
        <v>3.0</v>
      </c>
      <c r="H921" s="11">
        <v>3.0</v>
      </c>
      <c r="I921" s="11">
        <v>3.0</v>
      </c>
    </row>
    <row r="922">
      <c r="A922" s="10" t="s">
        <v>7319</v>
      </c>
      <c r="B922" s="49" t="str">
        <f t="shared" si="1"/>
        <v>Drivers' Licenses</v>
      </c>
      <c r="C922" s="49" t="str">
        <f t="shared" si="2"/>
        <v>Drivers' Licenses; Renting motor vehicle to person without inspecting such person's license and verifying signature</v>
      </c>
      <c r="D922" s="49" t="str">
        <f t="shared" si="3"/>
        <v>8-266(b)</v>
      </c>
      <c r="E922" s="11" t="s">
        <v>133</v>
      </c>
      <c r="F922" s="11">
        <v>3.0</v>
      </c>
      <c r="G922" s="11">
        <v>3.0</v>
      </c>
      <c r="H922" s="11">
        <v>3.0</v>
      </c>
      <c r="I922" s="11">
        <v>3.0</v>
      </c>
    </row>
    <row r="923">
      <c r="A923" s="10" t="s">
        <v>7320</v>
      </c>
      <c r="B923" s="49" t="str">
        <f t="shared" si="1"/>
        <v>Drivers' Licenses</v>
      </c>
      <c r="C923" s="49" t="str">
        <f t="shared" si="2"/>
        <v>Drivers' Licenses; Renting motor vehicle without keeping proper records</v>
      </c>
      <c r="D923" s="49" t="str">
        <f t="shared" si="3"/>
        <v>8-266(c)</v>
      </c>
      <c r="E923" s="11" t="s">
        <v>133</v>
      </c>
      <c r="F923" s="11">
        <v>3.0</v>
      </c>
      <c r="G923" s="11">
        <v>3.0</v>
      </c>
      <c r="H923" s="11">
        <v>3.0</v>
      </c>
      <c r="I923" s="11">
        <v>3.0</v>
      </c>
    </row>
    <row r="924">
      <c r="A924" s="10" t="s">
        <v>7321</v>
      </c>
      <c r="B924" s="49" t="str">
        <f t="shared" si="1"/>
        <v>Drivers' Licenses</v>
      </c>
      <c r="C924" s="49" t="str">
        <f t="shared" si="2"/>
        <v>Drivers' Licenses; Reproduce any DL so that it could be mistaken for a valid DL; display or possess any such reproduction</v>
      </c>
      <c r="D924" s="49" t="str">
        <f t="shared" si="3"/>
        <v>8-260(a)(7)</v>
      </c>
      <c r="E924" s="11" t="s">
        <v>133</v>
      </c>
      <c r="F924" s="11">
        <v>3.0</v>
      </c>
      <c r="G924" s="11">
        <v>3.0</v>
      </c>
      <c r="H924" s="11">
        <v>3.0</v>
      </c>
      <c r="I924" s="11">
        <v>3.0</v>
      </c>
    </row>
    <row r="925">
      <c r="A925" s="10" t="s">
        <v>7322</v>
      </c>
      <c r="B925" s="49" t="str">
        <f t="shared" si="1"/>
        <v>Drivers' Licenses</v>
      </c>
      <c r="C925" s="49" t="str">
        <f t="shared" si="2"/>
        <v>Drivers' Licenses; Use of false or fictitious name in any application for a DL</v>
      </c>
      <c r="D925" s="49" t="str">
        <f t="shared" si="3"/>
        <v>8-260(a)(5)</v>
      </c>
      <c r="E925" s="11" t="s">
        <v>133</v>
      </c>
      <c r="F925" s="11">
        <v>3.0</v>
      </c>
      <c r="G925" s="11">
        <v>3.0</v>
      </c>
      <c r="H925" s="11">
        <v>3.0</v>
      </c>
      <c r="I925" s="11">
        <v>3.0</v>
      </c>
    </row>
    <row r="926">
      <c r="A926" s="10" t="s">
        <v>7323</v>
      </c>
      <c r="B926" s="49" t="str">
        <f t="shared" si="1"/>
        <v>Drugs</v>
      </c>
      <c r="C926" s="49" t="str">
        <f t="shared" si="2"/>
        <v>Drugs; Advertise, market, label, distribute or possess with intent to distribute any product containing ephedrine, pseudoephedrine or phenylpropanolamine for indication of stimulation, mental alertness, weight loss, appetite control, energy or other indications not approved</v>
      </c>
      <c r="D926" s="49" t="str">
        <f t="shared" si="3"/>
        <v>21-5710(a)(2)</v>
      </c>
      <c r="E926" s="11" t="s">
        <v>133</v>
      </c>
      <c r="F926" s="11">
        <v>3.0</v>
      </c>
      <c r="G926" s="11">
        <v>3.0</v>
      </c>
      <c r="H926" s="11">
        <v>3.0</v>
      </c>
      <c r="I926" s="11">
        <v>3.0</v>
      </c>
    </row>
    <row r="927">
      <c r="A927" s="10" t="s">
        <v>7324</v>
      </c>
      <c r="B927" s="49" t="str">
        <f t="shared" si="1"/>
        <v>Drugs</v>
      </c>
      <c r="C927" s="49" t="str">
        <f t="shared" si="2"/>
        <v>Drugs; Advertise, market, label, distribute or possess with intent to distribute any product containing ephedrine, pseudoephedrine, red phosphorus, lithium metal, sodium metal, iodine, anhydrous ammonia, pressurized ammonia or phenylpropanolamine or if the person knows or reasonably should know that the purchaser will use the product to manufacture a controlled substance or controlled substance analog</v>
      </c>
      <c r="D927" s="49" t="str">
        <f t="shared" si="3"/>
        <v>21-5710(a)(1)</v>
      </c>
      <c r="E927" s="11" t="s">
        <v>133</v>
      </c>
      <c r="F927" s="11">
        <v>3.0</v>
      </c>
      <c r="G927" s="11">
        <v>3.0</v>
      </c>
      <c r="H927" s="11">
        <v>3.0</v>
      </c>
      <c r="I927" s="11">
        <v>3.0</v>
      </c>
    </row>
    <row r="928">
      <c r="A928" s="10" t="s">
        <v>7325</v>
      </c>
      <c r="B928" s="49" t="str">
        <f t="shared" si="1"/>
        <v>Drugs</v>
      </c>
      <c r="C928" s="49" t="str">
        <f t="shared" si="2"/>
        <v>Drugs; Conduct financial transaction involving proceeds derived from the commission of any crime in K.S.A. 2011 Supp. 21-5701 through 21-5717, when the transaction is designed in whole or in part to conceal or disguise the nature, location, source, ownership or control of proceeds known to be derived from the commission of any crime in K.S.A. 2011 Supp. 21-5701 through 21-5717, or to avoid a transaction reporting requirement under state or federal law; $500,000 or more</v>
      </c>
      <c r="D928" s="49" t="str">
        <f t="shared" si="3"/>
        <v>21-5716(d)</v>
      </c>
      <c r="E928" s="11" t="s">
        <v>133</v>
      </c>
      <c r="F928" s="11">
        <v>3.0</v>
      </c>
      <c r="G928" s="11">
        <v>3.0</v>
      </c>
      <c r="H928" s="11">
        <v>3.0</v>
      </c>
      <c r="I928" s="11">
        <v>3.0</v>
      </c>
    </row>
    <row r="929">
      <c r="A929" s="10" t="s">
        <v>7326</v>
      </c>
      <c r="B929" s="49" t="str">
        <f t="shared" si="1"/>
        <v>Drugs</v>
      </c>
      <c r="C929" s="49" t="str">
        <f t="shared" si="2"/>
        <v>Drugs; Conduct financial transaction involving proceeds derived from the commission of any crime in K.S.A. 21-5701 through 21-5717, when the transaction is designed in whole or in part to conceal or disguise the nature, location, source, ownership or control of proceeds known to be derived from the commission of any crime in K.S.A. 21-5701 through 21-5717, or to avoid a transaction reporting requirement under state or federal law; less than $5,000</v>
      </c>
      <c r="D929" s="49" t="str">
        <f t="shared" si="3"/>
        <v>21-5716(d)</v>
      </c>
      <c r="E929" s="11" t="s">
        <v>133</v>
      </c>
      <c r="F929" s="11">
        <v>3.0</v>
      </c>
      <c r="G929" s="11">
        <v>3.0</v>
      </c>
      <c r="H929" s="11">
        <v>3.0</v>
      </c>
      <c r="I929" s="11">
        <v>3.0</v>
      </c>
    </row>
    <row r="930">
      <c r="A930" s="10" t="s">
        <v>7327</v>
      </c>
      <c r="B930" s="49" t="str">
        <f t="shared" si="1"/>
        <v>Drugs</v>
      </c>
      <c r="C930" s="49" t="str">
        <f t="shared" si="2"/>
        <v>Drugs; Conduct financial transaction involving proceeds derived from the commission of any crime in K.S.A. 21-5701 through 21-5717, when the transaction is designed in whole or in part to conceal or disguise the nature, location, source, ownership or control of proceeds known to be derived from the commission of any crime in K.S.A. 21-5701 through 21-5717, or to avoid a transaction reporting requirement under state or federal law; at least $5,000 but less than $100,000</v>
      </c>
      <c r="D930" s="49" t="str">
        <f t="shared" si="3"/>
        <v>21-5716(d)</v>
      </c>
      <c r="E930" s="11" t="s">
        <v>133</v>
      </c>
      <c r="F930" s="11">
        <v>3.0</v>
      </c>
      <c r="G930" s="11">
        <v>3.0</v>
      </c>
      <c r="H930" s="11">
        <v>3.0</v>
      </c>
      <c r="I930" s="11">
        <v>3.0</v>
      </c>
    </row>
    <row r="931">
      <c r="A931" s="10" t="s">
        <v>7328</v>
      </c>
      <c r="B931" s="49" t="str">
        <f t="shared" si="1"/>
        <v>Drugs</v>
      </c>
      <c r="C931" s="49" t="str">
        <f t="shared" si="2"/>
        <v>Drugs; Conduct financial transaction involving proceeds derived from the commission of any crime in K.S.A. 21-5701 through 21-5717, when the transaction is designed in whole or in part to conceal or disguise the nature, location, source, ownership or control of proceeds known to be derived from the commission of any crime in K.S.A. 21-5701 through 21-5717, or to avoid a transaction reporting requirement under state or federal law; at least $100,000 but less than $250,000</v>
      </c>
      <c r="D931" s="49" t="str">
        <f t="shared" si="3"/>
        <v>21-5716(d)</v>
      </c>
      <c r="E931" s="11" t="s">
        <v>133</v>
      </c>
      <c r="F931" s="11">
        <v>3.0</v>
      </c>
      <c r="G931" s="11">
        <v>3.0</v>
      </c>
      <c r="H931" s="11">
        <v>3.0</v>
      </c>
      <c r="I931" s="11">
        <v>3.0</v>
      </c>
    </row>
    <row r="932">
      <c r="A932" s="10" t="s">
        <v>7329</v>
      </c>
      <c r="B932" s="49" t="str">
        <f t="shared" si="1"/>
        <v>Drugs</v>
      </c>
      <c r="C932" s="49" t="str">
        <f t="shared" si="2"/>
        <v>Drugs; Conduct financial transaction involving proceeds derived from the commission of any crime in K.S.A. 21-5701 through 21-5717, when the transaction is designed in whole or in part to conceal or disguise the nature, location, source, ownership or control of proceeds known to be derived from the commission of any crime in K.S.A. 21-5701 through 21-5717, or to avoid a transaction reporting requirement under state or federal law; at least $250,000 but less than $500,000</v>
      </c>
      <c r="D932" s="49" t="str">
        <f t="shared" si="3"/>
        <v>21-5716(d)</v>
      </c>
      <c r="E932" s="11" t="s">
        <v>133</v>
      </c>
      <c r="F932" s="11">
        <v>3.0</v>
      </c>
      <c r="G932" s="11">
        <v>3.0</v>
      </c>
      <c r="H932" s="11">
        <v>3.0</v>
      </c>
      <c r="I932" s="11">
        <v>3.0</v>
      </c>
    </row>
    <row r="933">
      <c r="A933" s="10" t="s">
        <v>7330</v>
      </c>
      <c r="B933" s="49" t="str">
        <f t="shared" si="1"/>
        <v>Drugs</v>
      </c>
      <c r="C933" s="49" t="str">
        <f t="shared" si="2"/>
        <v>Drugs; Cultivation of any substance listed in (a); Quantity of 100 plants or more</v>
      </c>
      <c r="D933" s="49" t="str">
        <f t="shared" si="3"/>
        <v>21-5705(c)</v>
      </c>
      <c r="E933" s="11" t="s">
        <v>133</v>
      </c>
      <c r="F933" s="11">
        <v>3.0</v>
      </c>
      <c r="G933" s="11">
        <v>3.0</v>
      </c>
      <c r="H933" s="11">
        <v>3.0</v>
      </c>
      <c r="I933" s="11">
        <v>3.0</v>
      </c>
    </row>
    <row r="934">
      <c r="A934" s="10" t="s">
        <v>7331</v>
      </c>
      <c r="B934" s="49" t="str">
        <f t="shared" si="1"/>
        <v>Drugs</v>
      </c>
      <c r="C934" s="49" t="str">
        <f t="shared" si="2"/>
        <v>Drugs; Cultivation of any substance listed in (a); Quantity of 50 but fewer than 100 plants</v>
      </c>
      <c r="D934" s="49" t="str">
        <f t="shared" si="3"/>
        <v>21-5705(c)</v>
      </c>
      <c r="E934" s="11" t="s">
        <v>133</v>
      </c>
      <c r="F934" s="11">
        <v>3.0</v>
      </c>
      <c r="G934" s="11">
        <v>3.0</v>
      </c>
      <c r="H934" s="11">
        <v>3.0</v>
      </c>
      <c r="I934" s="11">
        <v>3.0</v>
      </c>
    </row>
    <row r="935">
      <c r="A935" s="10" t="s">
        <v>7332</v>
      </c>
      <c r="B935" s="49" t="str">
        <f t="shared" si="1"/>
        <v>Drugs</v>
      </c>
      <c r="C935" s="49" t="str">
        <f t="shared" si="2"/>
        <v>Drugs; Cultivation of any substance listed in (a); Quantity of more than 4 but fewer than 50 plants</v>
      </c>
      <c r="D935" s="49" t="str">
        <f t="shared" si="3"/>
        <v>21-5705(c)</v>
      </c>
      <c r="E935" s="11" t="s">
        <v>133</v>
      </c>
      <c r="F935" s="11">
        <v>3.0</v>
      </c>
      <c r="G935" s="11">
        <v>3.0</v>
      </c>
      <c r="H935" s="11">
        <v>3.0</v>
      </c>
      <c r="I935" s="11">
        <v>3.0</v>
      </c>
    </row>
    <row r="936">
      <c r="A936" s="10" t="s">
        <v>7333</v>
      </c>
      <c r="B936" s="49" t="str">
        <f t="shared" si="1"/>
        <v>Drugs</v>
      </c>
      <c r="C936" s="49" t="str">
        <f t="shared" si="2"/>
        <v>Drugs; Direct/plan/organize/initiate/finance/manage/supervise or facilitate the transportation or transfer of proceeds known to be derived from any violation of K.S.A. 21-5701 through 21-5717;  $500,000 or more</v>
      </c>
      <c r="D936" s="49" t="str">
        <f t="shared" si="3"/>
        <v>21-5716(c)</v>
      </c>
      <c r="E936" s="11" t="s">
        <v>133</v>
      </c>
      <c r="F936" s="11">
        <v>3.0</v>
      </c>
      <c r="G936" s="11">
        <v>3.0</v>
      </c>
      <c r="H936" s="11">
        <v>3.0</v>
      </c>
      <c r="I936" s="11">
        <v>3.0</v>
      </c>
    </row>
    <row r="937">
      <c r="A937" s="10" t="s">
        <v>7334</v>
      </c>
      <c r="B937" s="49" t="str">
        <f t="shared" si="1"/>
        <v>Drugs</v>
      </c>
      <c r="C937" s="49" t="str">
        <f t="shared" si="2"/>
        <v>Drugs; Direct/plan/organize/initiate/finance/manage/supervise or facilitate the transportation or transfer of proceeds known to be derived from any violation of K.S.A. 21-5701 through 21-5717;  at least $250,000 but less than $500,000</v>
      </c>
      <c r="D937" s="49" t="str">
        <f t="shared" si="3"/>
        <v>21-5716(c)</v>
      </c>
      <c r="E937" s="11" t="s">
        <v>133</v>
      </c>
      <c r="F937" s="11">
        <v>3.0</v>
      </c>
      <c r="G937" s="11">
        <v>3.0</v>
      </c>
      <c r="H937" s="11">
        <v>3.0</v>
      </c>
      <c r="I937" s="11">
        <v>3.0</v>
      </c>
    </row>
    <row r="938">
      <c r="A938" s="10" t="s">
        <v>7335</v>
      </c>
      <c r="B938" s="49" t="str">
        <f t="shared" si="1"/>
        <v>Drugs</v>
      </c>
      <c r="C938" s="49" t="str">
        <f t="shared" si="2"/>
        <v>Drugs; Direct/plan/organize/initiate/finance/manage/supervise or facilitate the transportation or transfer of proceeds known to be derived from any violation of K.S.A. 21-5701 through 21-5717;  at least $5,000 but less than $100,000</v>
      </c>
      <c r="D938" s="49" t="str">
        <f t="shared" si="3"/>
        <v>21-5716(c)</v>
      </c>
      <c r="E938" s="11" t="s">
        <v>133</v>
      </c>
      <c r="F938" s="11">
        <v>3.0</v>
      </c>
      <c r="G938" s="11">
        <v>3.0</v>
      </c>
      <c r="H938" s="11">
        <v>3.0</v>
      </c>
      <c r="I938" s="11">
        <v>3.0</v>
      </c>
    </row>
    <row r="939">
      <c r="A939" s="10" t="s">
        <v>7336</v>
      </c>
      <c r="B939" s="49" t="str">
        <f t="shared" si="1"/>
        <v>Drugs</v>
      </c>
      <c r="C939" s="49" t="str">
        <f t="shared" si="2"/>
        <v>Drugs; Direct/plan/organize/initiate/finance/manage/supervise or facilitate the transportation or transfer of proceeds known to be derived from any violation of K.S.A. 21-5701 through 21-5717; at least $100,000 but less than $250,000</v>
      </c>
      <c r="D939" s="49" t="str">
        <f t="shared" si="3"/>
        <v>21-5716(c)</v>
      </c>
      <c r="E939" s="11" t="s">
        <v>133</v>
      </c>
      <c r="F939" s="11">
        <v>3.0</v>
      </c>
      <c r="G939" s="11">
        <v>3.0</v>
      </c>
      <c r="H939" s="11">
        <v>3.0</v>
      </c>
      <c r="I939" s="11">
        <v>3.0</v>
      </c>
    </row>
    <row r="940">
      <c r="A940" s="10" t="s">
        <v>7337</v>
      </c>
      <c r="B940" s="49" t="str">
        <f t="shared" si="1"/>
        <v>Drugs</v>
      </c>
      <c r="C940" s="49" t="str">
        <f t="shared" si="2"/>
        <v>Drugs; Direct/plan/organize/initiate/finance/manage/supervise or facilitate the transportation or transfer of proceeds known to be derived from any violation of K.S.A. 21-5701 through 21-5717; less than $5,000</v>
      </c>
      <c r="D940" s="49" t="str">
        <f t="shared" si="3"/>
        <v>21-5716(c)</v>
      </c>
      <c r="E940" s="11" t="s">
        <v>133</v>
      </c>
      <c r="F940" s="11">
        <v>3.0</v>
      </c>
      <c r="G940" s="11">
        <v>3.0</v>
      </c>
      <c r="H940" s="11">
        <v>3.0</v>
      </c>
      <c r="I940" s="11">
        <v>3.0</v>
      </c>
    </row>
    <row r="941">
      <c r="A941" s="10" t="s">
        <v>7338</v>
      </c>
      <c r="B941" s="49" t="str">
        <f t="shared" si="1"/>
        <v>Drugs</v>
      </c>
      <c r="C941" s="49" t="str">
        <f t="shared" si="2"/>
        <v>Drugs; Distribute or possess with intent to distribute; Any substance listed in subsection (a)(1) other than marijuana, heroin, methamphetamine or a drug distributed by dosage units; Quantity of 1 kilogram or more</v>
      </c>
      <c r="D941" s="49" t="str">
        <f t="shared" si="3"/>
        <v>21-5705(a)(1)</v>
      </c>
      <c r="E941" s="11" t="s">
        <v>133</v>
      </c>
      <c r="F941" s="11">
        <v>3.0</v>
      </c>
      <c r="G941" s="11">
        <v>3.0</v>
      </c>
      <c r="H941" s="11">
        <v>3.0</v>
      </c>
      <c r="I941" s="11">
        <v>3.0</v>
      </c>
    </row>
    <row r="942">
      <c r="A942" s="10" t="s">
        <v>7339</v>
      </c>
      <c r="B942" s="49" t="str">
        <f t="shared" si="1"/>
        <v>Drugs</v>
      </c>
      <c r="C942" s="49" t="str">
        <f t="shared" si="2"/>
        <v>Drugs; Distribute or possess with intent to distribute; Any substance listed in subsection (a)(1) other than marijuana, heroin, methamphetamine or a drug distributed by dosage units; Quantity of 1 kilogram or more within 1000 feet of school property</v>
      </c>
      <c r="D942" s="49" t="str">
        <f t="shared" si="3"/>
        <v>21-5705(a)(1)</v>
      </c>
      <c r="E942" s="11" t="s">
        <v>133</v>
      </c>
      <c r="F942" s="11">
        <v>3.0</v>
      </c>
      <c r="G942" s="11">
        <v>3.0</v>
      </c>
      <c r="H942" s="11">
        <v>3.0</v>
      </c>
      <c r="I942" s="11">
        <v>3.0</v>
      </c>
    </row>
    <row r="943">
      <c r="A943" s="10" t="s">
        <v>7340</v>
      </c>
      <c r="B943" s="49" t="str">
        <f t="shared" si="1"/>
        <v>Drugs</v>
      </c>
      <c r="C943" s="49" t="str">
        <f t="shared" si="2"/>
        <v>Drugs; Distribute or possess with intent to distribute; Any substance listed in subsection (a)(1) other than marijuana, heroin, methamphetamine or a drug distributed by dosage units; Quantity of 100 grams but less than 1 kilogram</v>
      </c>
      <c r="D943" s="49" t="str">
        <f t="shared" si="3"/>
        <v>21-5705(a)(1)</v>
      </c>
      <c r="E943" s="11" t="s">
        <v>133</v>
      </c>
      <c r="F943" s="11">
        <v>3.0</v>
      </c>
      <c r="G943" s="11">
        <v>3.0</v>
      </c>
      <c r="H943" s="11">
        <v>3.0</v>
      </c>
      <c r="I943" s="11">
        <v>3.0</v>
      </c>
    </row>
    <row r="944">
      <c r="A944" s="10" t="s">
        <v>7341</v>
      </c>
      <c r="B944" s="49" t="str">
        <f t="shared" si="1"/>
        <v>Drugs</v>
      </c>
      <c r="C944" s="49" t="str">
        <f t="shared" si="2"/>
        <v>Drugs; Distribute or possess with intent to distribute; Any substance listed in subsection (a)(1) other than marijuana, heroin, methamphetamine or a drug distributed by dosage units; Quantity of 100 grams but less than 1 kilogram; within 1000 feet of school property</v>
      </c>
      <c r="D944" s="49" t="str">
        <f t="shared" si="3"/>
        <v>21-5705(a)(1)</v>
      </c>
      <c r="E944" s="11" t="s">
        <v>133</v>
      </c>
      <c r="F944" s="11">
        <v>3.0</v>
      </c>
      <c r="G944" s="11">
        <v>3.0</v>
      </c>
      <c r="H944" s="11">
        <v>3.0</v>
      </c>
      <c r="I944" s="11">
        <v>3.0</v>
      </c>
    </row>
    <row r="945">
      <c r="A945" s="10" t="s">
        <v>7342</v>
      </c>
      <c r="B945" s="49" t="str">
        <f t="shared" si="1"/>
        <v>Drugs</v>
      </c>
      <c r="C945" s="49" t="str">
        <f t="shared" si="2"/>
        <v>Drugs; Distribute or possess with intent to distribute; Any substance listed in subsection (a)(1) other than marijuana, heroin, methamphetamine or a drug distributed by dosage units; Quantity of 3.5 grams but less than 100 grams</v>
      </c>
      <c r="D945" s="49" t="str">
        <f t="shared" si="3"/>
        <v>21-5705(a)(1)</v>
      </c>
      <c r="E945" s="11" t="s">
        <v>133</v>
      </c>
      <c r="F945" s="11">
        <v>3.0</v>
      </c>
      <c r="G945" s="11">
        <v>3.0</v>
      </c>
      <c r="H945" s="11">
        <v>3.0</v>
      </c>
      <c r="I945" s="11">
        <v>3.0</v>
      </c>
    </row>
    <row r="946">
      <c r="A946" s="10" t="s">
        <v>7343</v>
      </c>
      <c r="B946" s="49" t="str">
        <f t="shared" si="1"/>
        <v>Drugs</v>
      </c>
      <c r="C946" s="49" t="str">
        <f t="shared" si="2"/>
        <v>Drugs; Distribute or possess with intent to distribute; Any substance listed in subsection (a)(1) other than marijuana, heroin, methamphetamine or a drug distributed by dosage units; Quantity of 3.5 grams but less than 100 grams; within 1000 feet of school property</v>
      </c>
      <c r="D946" s="49" t="str">
        <f t="shared" si="3"/>
        <v>21-5705(a)(1)</v>
      </c>
      <c r="E946" s="11" t="s">
        <v>133</v>
      </c>
      <c r="F946" s="11">
        <v>3.0</v>
      </c>
      <c r="G946" s="11">
        <v>3.0</v>
      </c>
      <c r="H946" s="11">
        <v>3.0</v>
      </c>
      <c r="I946" s="11">
        <v>3.0</v>
      </c>
    </row>
    <row r="947">
      <c r="A947" s="10" t="s">
        <v>7344</v>
      </c>
      <c r="B947" s="49" t="str">
        <f t="shared" si="1"/>
        <v>Drugs</v>
      </c>
      <c r="C947" s="49" t="str">
        <f t="shared" si="2"/>
        <v>Drugs; Distribute or possess with intent to distribute; Any substance listed in subsection (a)(1) other than marijuana, heroin, methamphetamine or a drug distributed by dosage units; Quantity of less than 3.5 grams</v>
      </c>
      <c r="D947" s="49" t="str">
        <f t="shared" si="3"/>
        <v>21-5705(a)(1)</v>
      </c>
      <c r="E947" s="11" t="s">
        <v>133</v>
      </c>
      <c r="F947" s="11">
        <v>3.0</v>
      </c>
      <c r="G947" s="11">
        <v>3.0</v>
      </c>
      <c r="H947" s="11">
        <v>3.0</v>
      </c>
      <c r="I947" s="11">
        <v>3.0</v>
      </c>
    </row>
    <row r="948">
      <c r="A948" s="10" t="s">
        <v>7345</v>
      </c>
      <c r="B948" s="49" t="str">
        <f t="shared" si="1"/>
        <v>Drugs</v>
      </c>
      <c r="C948" s="49" t="str">
        <f t="shared" si="2"/>
        <v>Drugs; Distribute or possess with intent to distribute; Any substance listed in subsection (a)(1) other than marijuana, heroin, methamphetamine or a drug distributed by dosage units; Quantity of less than 3.5 grams; within 1000 feet of school property</v>
      </c>
      <c r="D948" s="49" t="str">
        <f t="shared" si="3"/>
        <v>21-5705(a)(1)</v>
      </c>
      <c r="E948" s="11" t="s">
        <v>133</v>
      </c>
      <c r="F948" s="11">
        <v>3.0</v>
      </c>
      <c r="G948" s="11">
        <v>3.0</v>
      </c>
      <c r="H948" s="11">
        <v>3.0</v>
      </c>
      <c r="I948" s="11">
        <v>3.0</v>
      </c>
    </row>
    <row r="949">
      <c r="A949" s="10" t="s">
        <v>7346</v>
      </c>
      <c r="B949" s="49" t="str">
        <f t="shared" si="1"/>
        <v>Drugs</v>
      </c>
      <c r="C949" s="49" t="str">
        <f t="shared" si="2"/>
        <v>Drugs; Distribute or possess with intent to distribute; Any substance listed in subsections (a)(2) through (a)(7) other than marijuana, heroin, methamphetamine or a drug distributed by dosage units; Quantity of 1 kilogram or more</v>
      </c>
      <c r="D949" s="49" t="str">
        <f t="shared" si="3"/>
        <v>21-5705(a)(2)-(7)</v>
      </c>
      <c r="E949" s="11" t="s">
        <v>133</v>
      </c>
      <c r="F949" s="11">
        <v>3.0</v>
      </c>
      <c r="G949" s="11">
        <v>3.0</v>
      </c>
      <c r="H949" s="11">
        <v>3.0</v>
      </c>
      <c r="I949" s="11">
        <v>3.0</v>
      </c>
    </row>
    <row r="950">
      <c r="A950" s="10" t="s">
        <v>7347</v>
      </c>
      <c r="B950" s="49" t="str">
        <f t="shared" si="1"/>
        <v>Drugs</v>
      </c>
      <c r="C950" s="49" t="str">
        <f t="shared" si="2"/>
        <v>Drugs; Distribute or possess with intent to distribute; Any substance listed in subsections (a)(2) through (a)(7) other than marijuana, heroin, methamphetamine or a drug distributed by dosage units; Quantity of 1 kilogram or more within 1000 feet of school property</v>
      </c>
      <c r="D950" s="49" t="str">
        <f t="shared" si="3"/>
        <v>21-5705(a)(2)-(7)</v>
      </c>
      <c r="E950" s="11" t="s">
        <v>133</v>
      </c>
      <c r="F950" s="11">
        <v>3.0</v>
      </c>
      <c r="G950" s="11">
        <v>3.0</v>
      </c>
      <c r="H950" s="11">
        <v>3.0</v>
      </c>
      <c r="I950" s="11">
        <v>3.0</v>
      </c>
    </row>
    <row r="951">
      <c r="A951" s="10" t="s">
        <v>7348</v>
      </c>
      <c r="B951" s="49" t="str">
        <f t="shared" si="1"/>
        <v>Drugs</v>
      </c>
      <c r="C951" s="49" t="str">
        <f t="shared" si="2"/>
        <v>Drugs; Distribute or possess with intent to distribute; Any substance listed in subsections (a)(2) through (a)(7) other than marijuana, heroin, methamphetamine or a drug distributed by dosage units; Quantity of 100 grams but less than 1 kilogram</v>
      </c>
      <c r="D951" s="49" t="str">
        <f t="shared" si="3"/>
        <v>21-5705(a)(2)-(7)</v>
      </c>
      <c r="E951" s="11" t="s">
        <v>133</v>
      </c>
      <c r="F951" s="11">
        <v>3.0</v>
      </c>
      <c r="G951" s="11">
        <v>3.0</v>
      </c>
      <c r="H951" s="11">
        <v>3.0</v>
      </c>
      <c r="I951" s="11">
        <v>3.0</v>
      </c>
    </row>
    <row r="952">
      <c r="A952" s="10" t="s">
        <v>7349</v>
      </c>
      <c r="B952" s="49" t="str">
        <f t="shared" si="1"/>
        <v>Drugs</v>
      </c>
      <c r="C952" s="49" t="str">
        <f t="shared" si="2"/>
        <v>Drugs; Distribute or possess with intent to distribute; Any substance listed in subsections (a)(2) through (a)(7) other than marijuana, heroin, methamphetamine or a drug distributed by dosage units; Quantity of 100 grams but less than 1 kilogram; within 1000 feet of school property</v>
      </c>
      <c r="D952" s="49" t="str">
        <f t="shared" si="3"/>
        <v>21-5705(a)(2)-(7)</v>
      </c>
      <c r="E952" s="11" t="s">
        <v>133</v>
      </c>
      <c r="F952" s="11">
        <v>3.0</v>
      </c>
      <c r="G952" s="11">
        <v>3.0</v>
      </c>
      <c r="H952" s="11">
        <v>3.0</v>
      </c>
      <c r="I952" s="11">
        <v>3.0</v>
      </c>
    </row>
    <row r="953">
      <c r="A953" s="10" t="s">
        <v>7350</v>
      </c>
      <c r="B953" s="49" t="str">
        <f t="shared" si="1"/>
        <v>Drugs</v>
      </c>
      <c r="C953" s="49" t="str">
        <f t="shared" si="2"/>
        <v>Drugs; Distribute or possess with intent to distribute; Any substance listed in subsections (a)(2) through (a)(7) other than marijuana, heroin, methamphetamine or a drug distributed by dosage units; Quantity of 3.5 grams but less than 100 grams</v>
      </c>
      <c r="D953" s="49" t="str">
        <f t="shared" si="3"/>
        <v>21-5705(a)(2)-(7)</v>
      </c>
      <c r="E953" s="11" t="s">
        <v>133</v>
      </c>
      <c r="F953" s="11">
        <v>3.0</v>
      </c>
      <c r="G953" s="11">
        <v>3.0</v>
      </c>
      <c r="H953" s="11">
        <v>3.0</v>
      </c>
      <c r="I953" s="11">
        <v>3.0</v>
      </c>
    </row>
    <row r="954">
      <c r="A954" s="10" t="s">
        <v>7351</v>
      </c>
      <c r="B954" s="49" t="str">
        <f t="shared" si="1"/>
        <v>Drugs</v>
      </c>
      <c r="C954" s="49" t="str">
        <f t="shared" si="2"/>
        <v>Drugs; Distribute or possess with intent to distribute; Any substance listed in subsections (a)(2) through (a)(7) other than marijuana, heroin, methamphetamine or a drug distributed by dosage units; Quantity of 3.5 grams but less than 100 grams; within 1000 feet of school property</v>
      </c>
      <c r="D954" s="49" t="str">
        <f t="shared" si="3"/>
        <v>21-5705(a)(2)-(7)</v>
      </c>
      <c r="E954" s="11" t="s">
        <v>133</v>
      </c>
      <c r="F954" s="11">
        <v>3.0</v>
      </c>
      <c r="G954" s="11">
        <v>3.0</v>
      </c>
      <c r="H954" s="11">
        <v>3.0</v>
      </c>
      <c r="I954" s="11">
        <v>3.0</v>
      </c>
    </row>
    <row r="955">
      <c r="A955" s="10" t="s">
        <v>7352</v>
      </c>
      <c r="B955" s="49" t="str">
        <f t="shared" si="1"/>
        <v>Drugs</v>
      </c>
      <c r="C955" s="49" t="str">
        <f t="shared" si="2"/>
        <v>Drugs; Distribute or possess with intent to distribute; Any substance listed in subsections (a)(2) through (a)(7) other than marijuana, heroin, methamphetamine or a drug distributed by dosage units; Quantity of less than 3.5 grams</v>
      </c>
      <c r="D955" s="49" t="str">
        <f t="shared" si="3"/>
        <v>21-5705(a)(2)-(7)</v>
      </c>
      <c r="E955" s="11" t="s">
        <v>133</v>
      </c>
      <c r="F955" s="11">
        <v>3.0</v>
      </c>
      <c r="G955" s="11">
        <v>3.0</v>
      </c>
      <c r="H955" s="11">
        <v>3.0</v>
      </c>
      <c r="I955" s="11">
        <v>3.0</v>
      </c>
    </row>
    <row r="956">
      <c r="A956" s="10" t="s">
        <v>7353</v>
      </c>
      <c r="B956" s="49" t="str">
        <f t="shared" si="1"/>
        <v>Drugs</v>
      </c>
      <c r="C956" s="49" t="str">
        <f t="shared" si="2"/>
        <v>Drugs; Distribute or possess with intent to distribute; Any substance listed in subsections (a)(2) through (a)(7) other than marijuana, heroin, methamphetamine or a drug distributed by dosage units; Quantity of less than 3.5 grams; within 1000 feet of school property</v>
      </c>
      <c r="D956" s="49" t="str">
        <f t="shared" si="3"/>
        <v>21-5705(a)(2)-(7)</v>
      </c>
      <c r="E956" s="11" t="s">
        <v>133</v>
      </c>
      <c r="F956" s="11">
        <v>3.0</v>
      </c>
      <c r="G956" s="11">
        <v>3.0</v>
      </c>
      <c r="H956" s="11">
        <v>3.0</v>
      </c>
      <c r="I956" s="11">
        <v>3.0</v>
      </c>
    </row>
    <row r="957">
      <c r="A957" s="10" t="s">
        <v>7354</v>
      </c>
      <c r="B957" s="49" t="str">
        <f t="shared" si="1"/>
        <v>Drugs</v>
      </c>
      <c r="C957" s="49" t="str">
        <f t="shared" si="2"/>
        <v>Drugs; Distribute or possess with intent to distribute; Drugs designated in K.S.A. 65-4113</v>
      </c>
      <c r="D957" s="49" t="str">
        <f t="shared" si="3"/>
        <v>21-5705(b)</v>
      </c>
      <c r="E957" s="11" t="s">
        <v>133</v>
      </c>
      <c r="F957" s="11">
        <v>3.0</v>
      </c>
      <c r="G957" s="11">
        <v>3.0</v>
      </c>
      <c r="H957" s="11">
        <v>3.0</v>
      </c>
      <c r="I957" s="11">
        <v>3.0</v>
      </c>
    </row>
    <row r="958">
      <c r="A958" s="10" t="s">
        <v>7355</v>
      </c>
      <c r="B958" s="49" t="str">
        <f t="shared" si="1"/>
        <v>Drugs</v>
      </c>
      <c r="C958" s="49" t="str">
        <f t="shared" si="2"/>
        <v>Drugs; Distribute or possess with intent to distribute; Drugs designated in K.S.A. 65-4113; If distributed or possessed with intent to distribute to a minor</v>
      </c>
      <c r="D958" s="49" t="str">
        <f t="shared" si="3"/>
        <v>21-5705(b)</v>
      </c>
      <c r="E958" s="11" t="s">
        <v>133</v>
      </c>
      <c r="F958" s="11">
        <v>3.0</v>
      </c>
      <c r="G958" s="11">
        <v>3.0</v>
      </c>
      <c r="H958" s="11">
        <v>3.0</v>
      </c>
      <c r="I958" s="11">
        <v>3.0</v>
      </c>
    </row>
    <row r="959">
      <c r="A959" s="10" t="s">
        <v>7356</v>
      </c>
      <c r="B959" s="49" t="str">
        <f t="shared" si="1"/>
        <v>Drugs</v>
      </c>
      <c r="C959" s="49" t="str">
        <f t="shared" si="2"/>
        <v>Drugs; Distribute or possess with intent to distribute; Drugs listed in subsection (a)(1) which are distributed by dosage unit; Quantity of 10 but less than 100</v>
      </c>
      <c r="D959" s="49" t="str">
        <f t="shared" si="3"/>
        <v>21-5705(a)(1)</v>
      </c>
      <c r="E959" s="11" t="s">
        <v>133</v>
      </c>
      <c r="F959" s="11">
        <v>3.0</v>
      </c>
      <c r="G959" s="11">
        <v>3.0</v>
      </c>
      <c r="H959" s="11">
        <v>3.0</v>
      </c>
      <c r="I959" s="11">
        <v>3.0</v>
      </c>
    </row>
    <row r="960">
      <c r="A960" s="10" t="s">
        <v>7357</v>
      </c>
      <c r="B960" s="49" t="str">
        <f t="shared" si="1"/>
        <v>Drugs</v>
      </c>
      <c r="C960" s="49" t="str">
        <f t="shared" si="2"/>
        <v>Drugs; Distribute or possess with intent to distribute; Drugs listed in subsection (a)(1) which are distributed by dosage unit; Quantity of 10 but less than 100; Within 1000 feet of school property</v>
      </c>
      <c r="D960" s="49" t="str">
        <f t="shared" si="3"/>
        <v>21-5705(a)(1)</v>
      </c>
      <c r="E960" s="11" t="s">
        <v>133</v>
      </c>
      <c r="F960" s="11">
        <v>3.0</v>
      </c>
      <c r="G960" s="11">
        <v>3.0</v>
      </c>
      <c r="H960" s="11">
        <v>3.0</v>
      </c>
      <c r="I960" s="11">
        <v>3.0</v>
      </c>
    </row>
    <row r="961">
      <c r="A961" s="10" t="s">
        <v>7358</v>
      </c>
      <c r="B961" s="49" t="str">
        <f t="shared" si="1"/>
        <v>Drugs</v>
      </c>
      <c r="C961" s="49" t="str">
        <f t="shared" si="2"/>
        <v>Drugs; Distribute or possess with intent to distribute; Drugs listed in subsection (a)(1) which are distributed by dosage unit; Quantity of 100 but less than 1000</v>
      </c>
      <c r="D961" s="49" t="str">
        <f t="shared" si="3"/>
        <v>21-5705(a)(1)</v>
      </c>
      <c r="E961" s="11" t="s">
        <v>133</v>
      </c>
      <c r="F961" s="11">
        <v>3.0</v>
      </c>
      <c r="G961" s="11">
        <v>3.0</v>
      </c>
      <c r="H961" s="11">
        <v>3.0</v>
      </c>
      <c r="I961" s="11">
        <v>3.0</v>
      </c>
    </row>
    <row r="962">
      <c r="A962" s="10" t="s">
        <v>7359</v>
      </c>
      <c r="B962" s="49" t="str">
        <f t="shared" si="1"/>
        <v>Drugs</v>
      </c>
      <c r="C962" s="49" t="str">
        <f t="shared" si="2"/>
        <v>Drugs; Distribute or possess with intent to distribute; Drugs listed in subsection (a)(1) which are distributed by dosage unit; Quantity of 100 but less than 1000; Within 1000 feet of school property</v>
      </c>
      <c r="D962" s="49" t="str">
        <f t="shared" si="3"/>
        <v>21-5705(a)(1)</v>
      </c>
      <c r="E962" s="11" t="s">
        <v>133</v>
      </c>
      <c r="F962" s="11">
        <v>3.0</v>
      </c>
      <c r="G962" s="11">
        <v>3.0</v>
      </c>
      <c r="H962" s="11">
        <v>3.0</v>
      </c>
      <c r="I962" s="11">
        <v>3.0</v>
      </c>
    </row>
    <row r="963">
      <c r="A963" s="10" t="s">
        <v>7360</v>
      </c>
      <c r="B963" s="49" t="str">
        <f t="shared" si="1"/>
        <v>Drugs</v>
      </c>
      <c r="C963" s="49" t="str">
        <f t="shared" si="2"/>
        <v>Drugs; Distribute or possess with intent to distribute; Drugs listed in subsection (a)(1) which are distributed by dosage unit; Quantity of 1000 or more; Within 1000 feet of school property</v>
      </c>
      <c r="D963" s="49" t="str">
        <f t="shared" si="3"/>
        <v>21-5705(a)(1)</v>
      </c>
      <c r="E963" s="11" t="s">
        <v>133</v>
      </c>
      <c r="F963" s="11">
        <v>3.0</v>
      </c>
      <c r="G963" s="11">
        <v>3.0</v>
      </c>
      <c r="H963" s="11">
        <v>3.0</v>
      </c>
      <c r="I963" s="11">
        <v>3.0</v>
      </c>
    </row>
    <row r="964">
      <c r="A964" s="10" t="s">
        <v>7361</v>
      </c>
      <c r="B964" s="49" t="str">
        <f t="shared" si="1"/>
        <v>Drugs</v>
      </c>
      <c r="C964" s="49" t="str">
        <f t="shared" si="2"/>
        <v>Drugs; Distribute or possess with intent to distribute; Drugs listed in subsection (a)(1) which are distributed by dosage unit; Quantity of fewer than 10</v>
      </c>
      <c r="D964" s="49" t="str">
        <f t="shared" si="3"/>
        <v>21-5705(a)(1)</v>
      </c>
      <c r="E964" s="11" t="s">
        <v>133</v>
      </c>
      <c r="F964" s="11">
        <v>3.0</v>
      </c>
      <c r="G964" s="11">
        <v>3.0</v>
      </c>
      <c r="H964" s="11">
        <v>3.0</v>
      </c>
      <c r="I964" s="11">
        <v>3.0</v>
      </c>
    </row>
    <row r="965">
      <c r="A965" s="10" t="s">
        <v>7362</v>
      </c>
      <c r="B965" s="49" t="str">
        <f t="shared" si="1"/>
        <v>Drugs</v>
      </c>
      <c r="C965" s="49" t="str">
        <f t="shared" si="2"/>
        <v>Drugs; Distribute or possess with intent to distribute; Drugs listed in subsection (a)(1) which are distributed by dosage unit; Quantity of fewer than 10; Within 1000 feet of school property</v>
      </c>
      <c r="D965" s="49" t="str">
        <f t="shared" si="3"/>
        <v>21-5705(a)(1)</v>
      </c>
      <c r="E965" s="11" t="s">
        <v>133</v>
      </c>
      <c r="F965" s="11">
        <v>3.0</v>
      </c>
      <c r="G965" s="11">
        <v>3.0</v>
      </c>
      <c r="H965" s="11">
        <v>3.0</v>
      </c>
      <c r="I965" s="11">
        <v>3.0</v>
      </c>
    </row>
    <row r="966">
      <c r="A966" s="10" t="s">
        <v>7363</v>
      </c>
      <c r="B966" s="49" t="str">
        <f t="shared" si="1"/>
        <v>Drugs</v>
      </c>
      <c r="C966" s="49" t="str">
        <f t="shared" si="2"/>
        <v>Drugs; Distribute or possess with intent to distribute; Drugs listed in subsection (a)(1)which are distributed by dosage unit; Quantity of 1000 or more</v>
      </c>
      <c r="D966" s="49" t="str">
        <f t="shared" si="3"/>
        <v>21-5705(a)(1)</v>
      </c>
      <c r="E966" s="11" t="s">
        <v>133</v>
      </c>
      <c r="F966" s="11">
        <v>3.0</v>
      </c>
      <c r="G966" s="11">
        <v>3.0</v>
      </c>
      <c r="H966" s="11">
        <v>3.0</v>
      </c>
      <c r="I966" s="11">
        <v>3.0</v>
      </c>
    </row>
    <row r="967">
      <c r="A967" s="10" t="s">
        <v>7364</v>
      </c>
      <c r="B967" s="49" t="str">
        <f t="shared" si="1"/>
        <v>Drugs</v>
      </c>
      <c r="C967" s="49" t="str">
        <f t="shared" si="2"/>
        <v>Drugs; Distribute or possess with intent to distribute; Drugs listed in subsection (a)(2) through (a)(7) which are distributed by dosage unit; Quantity of 10 but less than 100</v>
      </c>
      <c r="D967" s="49" t="str">
        <f t="shared" si="3"/>
        <v>21-5705(a)(2)-(7)</v>
      </c>
      <c r="E967" s="11" t="s">
        <v>133</v>
      </c>
      <c r="F967" s="11">
        <v>3.0</v>
      </c>
      <c r="G967" s="11">
        <v>3.0</v>
      </c>
      <c r="H967" s="11">
        <v>3.0</v>
      </c>
      <c r="I967" s="11">
        <v>3.0</v>
      </c>
    </row>
    <row r="968">
      <c r="A968" s="10" t="s">
        <v>7365</v>
      </c>
      <c r="B968" s="49" t="str">
        <f t="shared" si="1"/>
        <v>Drugs</v>
      </c>
      <c r="C968" s="49" t="str">
        <f t="shared" si="2"/>
        <v>Drugs; Distribute or possess with intent to distribute; Drugs listed in subsection (a)(2) through (a)(7) which are distributed by dosage unit; Quantity of 10 but less than 100; Within 1000 feet of school property</v>
      </c>
      <c r="D968" s="49" t="str">
        <f t="shared" si="3"/>
        <v>21-5705(a)(2)-(7)</v>
      </c>
      <c r="E968" s="11" t="s">
        <v>133</v>
      </c>
      <c r="F968" s="11">
        <v>3.0</v>
      </c>
      <c r="G968" s="11">
        <v>3.0</v>
      </c>
      <c r="H968" s="11">
        <v>3.0</v>
      </c>
      <c r="I968" s="11">
        <v>3.0</v>
      </c>
    </row>
    <row r="969">
      <c r="A969" s="10" t="s">
        <v>7366</v>
      </c>
      <c r="B969" s="49" t="str">
        <f t="shared" si="1"/>
        <v>Drugs</v>
      </c>
      <c r="C969" s="49" t="str">
        <f t="shared" si="2"/>
        <v>Drugs; Distribute or possess with intent to distribute; Drugs listed in subsection (a)(2) through (a)(7) which are distributed by dosage unit; Quantity of 100 but less than 1000</v>
      </c>
      <c r="D969" s="49" t="str">
        <f t="shared" si="3"/>
        <v>21-5705(a)(2)-(7)</v>
      </c>
      <c r="E969" s="11" t="s">
        <v>133</v>
      </c>
      <c r="F969" s="11">
        <v>3.0</v>
      </c>
      <c r="G969" s="11">
        <v>3.0</v>
      </c>
      <c r="H969" s="11">
        <v>3.0</v>
      </c>
      <c r="I969" s="11">
        <v>3.0</v>
      </c>
    </row>
    <row r="970">
      <c r="A970" s="10" t="s">
        <v>7367</v>
      </c>
      <c r="B970" s="49" t="str">
        <f t="shared" si="1"/>
        <v>Drugs</v>
      </c>
      <c r="C970" s="49" t="str">
        <f t="shared" si="2"/>
        <v>Drugs; Distribute or possess with intent to distribute; Drugs listed in subsection (a)(2) through (a)(7) which are distributed by dosage unit; Quantity of 100 but less than 1000; Within 1000 feet of school property</v>
      </c>
      <c r="D970" s="49" t="str">
        <f t="shared" si="3"/>
        <v>21-5705(a)(2)-(7)</v>
      </c>
      <c r="E970" s="11" t="s">
        <v>133</v>
      </c>
      <c r="F970" s="11">
        <v>3.0</v>
      </c>
      <c r="G970" s="11">
        <v>3.0</v>
      </c>
      <c r="H970" s="11">
        <v>3.0</v>
      </c>
      <c r="I970" s="11">
        <v>3.0</v>
      </c>
    </row>
    <row r="971">
      <c r="A971" s="10" t="s">
        <v>7368</v>
      </c>
      <c r="B971" s="49" t="str">
        <f t="shared" si="1"/>
        <v>Drugs</v>
      </c>
      <c r="C971" s="49" t="str">
        <f t="shared" si="2"/>
        <v>Drugs; Distribute or possess with intent to distribute; Drugs listed in subsection (a)(2) through (a)(7) which are distributed by dosage unit; Quantity of 1000 or more</v>
      </c>
      <c r="D971" s="49" t="str">
        <f t="shared" si="3"/>
        <v>21-5705(a)(2)-(7)</v>
      </c>
      <c r="E971" s="11" t="s">
        <v>133</v>
      </c>
      <c r="F971" s="11">
        <v>3.0</v>
      </c>
      <c r="G971" s="11">
        <v>3.0</v>
      </c>
      <c r="H971" s="11">
        <v>3.0</v>
      </c>
      <c r="I971" s="11">
        <v>3.0</v>
      </c>
    </row>
    <row r="972">
      <c r="A972" s="10" t="s">
        <v>7369</v>
      </c>
      <c r="B972" s="49" t="str">
        <f t="shared" si="1"/>
        <v>Drugs</v>
      </c>
      <c r="C972" s="49" t="str">
        <f t="shared" si="2"/>
        <v>Drugs; Distribute or possess with intent to distribute; Drugs listed in subsection (a)(2) through (a)(7) which are distributed by dosage unit; Quantity of 1000 or more; Within 1000 feet of school property</v>
      </c>
      <c r="D972" s="49" t="str">
        <f t="shared" si="3"/>
        <v>21-5705(a)(2)-(7)</v>
      </c>
      <c r="E972" s="11" t="s">
        <v>133</v>
      </c>
      <c r="F972" s="11">
        <v>3.0</v>
      </c>
      <c r="G972" s="11">
        <v>3.0</v>
      </c>
      <c r="H972" s="11">
        <v>3.0</v>
      </c>
      <c r="I972" s="11">
        <v>3.0</v>
      </c>
    </row>
    <row r="973">
      <c r="A973" s="10" t="s">
        <v>7370</v>
      </c>
      <c r="B973" s="49" t="str">
        <f t="shared" si="1"/>
        <v>Drugs</v>
      </c>
      <c r="C973" s="49" t="str">
        <f t="shared" si="2"/>
        <v>Drugs; Distribute or possess with intent to distribute; Drugs listed in subsection (a)(2) through (a)(7) which are distributed by dosage unit; Quantity of fewer than 10</v>
      </c>
      <c r="D973" s="49" t="str">
        <f t="shared" si="3"/>
        <v>21-5705(a)(2)-(7)</v>
      </c>
      <c r="E973" s="11" t="s">
        <v>133</v>
      </c>
      <c r="F973" s="11">
        <v>3.0</v>
      </c>
      <c r="G973" s="11">
        <v>3.0</v>
      </c>
      <c r="H973" s="11">
        <v>3.0</v>
      </c>
      <c r="I973" s="11">
        <v>3.0</v>
      </c>
    </row>
    <row r="974">
      <c r="A974" s="10" t="s">
        <v>7371</v>
      </c>
      <c r="B974" s="49" t="str">
        <f t="shared" si="1"/>
        <v>Drugs</v>
      </c>
      <c r="C974" s="49" t="str">
        <f t="shared" si="2"/>
        <v>Drugs; Distribute or possess with intent to distribute; Drugs listed in subsection (a)(2) through (a)(7) which are distributed by dosage unit; Quantity of fewer than 10; Within 1000 feet of school property</v>
      </c>
      <c r="D974" s="49" t="str">
        <f t="shared" si="3"/>
        <v>21-5705(a)(2)-(7)</v>
      </c>
      <c r="E974" s="11" t="s">
        <v>133</v>
      </c>
      <c r="F974" s="11">
        <v>3.0</v>
      </c>
      <c r="G974" s="11">
        <v>3.0</v>
      </c>
      <c r="H974" s="11">
        <v>3.0</v>
      </c>
      <c r="I974" s="11">
        <v>3.0</v>
      </c>
    </row>
    <row r="975">
      <c r="A975" s="10" t="s">
        <v>7372</v>
      </c>
      <c r="B975" s="49" t="str">
        <f t="shared" si="1"/>
        <v>Drugs</v>
      </c>
      <c r="C975" s="49" t="str">
        <f t="shared" si="2"/>
        <v>Drugs; Distribute or possess with intent to distribute; Heroin or Methamphetamine; Quantity of 1 gram but less than 3.5 grams</v>
      </c>
      <c r="D975" s="49" t="str">
        <f t="shared" si="3"/>
        <v>21-5705(a)(1)</v>
      </c>
      <c r="E975" s="11" t="s">
        <v>133</v>
      </c>
      <c r="F975" s="11">
        <v>3.0</v>
      </c>
      <c r="G975" s="11">
        <v>3.0</v>
      </c>
      <c r="H975" s="11">
        <v>3.0</v>
      </c>
      <c r="I975" s="11">
        <v>3.0</v>
      </c>
    </row>
    <row r="976">
      <c r="A976" s="10" t="s">
        <v>7373</v>
      </c>
      <c r="B976" s="49" t="str">
        <f t="shared" si="1"/>
        <v>Drugs</v>
      </c>
      <c r="C976" s="49" t="str">
        <f t="shared" si="2"/>
        <v>Drugs; Distribute or possess with intent to distribute; Heroin or Methamphetamine; Quantity of 1 gram but less than 3.5 grams; Within 1000 feet of school property</v>
      </c>
      <c r="D976" s="49" t="str">
        <f t="shared" si="3"/>
        <v>21-5705(a)(1)</v>
      </c>
      <c r="E976" s="11" t="s">
        <v>133</v>
      </c>
      <c r="F976" s="11">
        <v>3.0</v>
      </c>
      <c r="G976" s="11">
        <v>3.0</v>
      </c>
      <c r="H976" s="11">
        <v>3.0</v>
      </c>
      <c r="I976" s="11">
        <v>3.0</v>
      </c>
    </row>
    <row r="977">
      <c r="A977" s="10" t="s">
        <v>7374</v>
      </c>
      <c r="B977" s="49" t="str">
        <f t="shared" si="1"/>
        <v>Drugs</v>
      </c>
      <c r="C977" s="49" t="str">
        <f t="shared" si="2"/>
        <v>Drugs; Distribute or possess with intent to distribute; Heroin or Methamphetamine; Quantity of 100 grams or more</v>
      </c>
      <c r="D977" s="49" t="str">
        <f t="shared" si="3"/>
        <v>21-5705(a)(1)</v>
      </c>
      <c r="E977" s="11" t="s">
        <v>133</v>
      </c>
      <c r="F977" s="11">
        <v>3.0</v>
      </c>
      <c r="G977" s="11">
        <v>3.0</v>
      </c>
      <c r="H977" s="11">
        <v>3.0</v>
      </c>
      <c r="I977" s="11">
        <v>3.0</v>
      </c>
    </row>
    <row r="978">
      <c r="A978" s="10" t="s">
        <v>7375</v>
      </c>
      <c r="B978" s="49" t="str">
        <f t="shared" si="1"/>
        <v>Drugs</v>
      </c>
      <c r="C978" s="49" t="str">
        <f t="shared" si="2"/>
        <v>Drugs; Distribute or possess with intent to distribute; Heroin or Methamphetamine; Quantity of 100 grams or more; Within 1000 feet of school property</v>
      </c>
      <c r="D978" s="49" t="str">
        <f t="shared" si="3"/>
        <v>21-5705(a)(1)</v>
      </c>
      <c r="E978" s="11" t="s">
        <v>133</v>
      </c>
      <c r="F978" s="11">
        <v>3.0</v>
      </c>
      <c r="G978" s="11">
        <v>3.0</v>
      </c>
      <c r="H978" s="11">
        <v>3.0</v>
      </c>
      <c r="I978" s="11">
        <v>3.0</v>
      </c>
    </row>
    <row r="979">
      <c r="A979" s="10" t="s">
        <v>7376</v>
      </c>
      <c r="B979" s="49" t="str">
        <f t="shared" si="1"/>
        <v>Drugs</v>
      </c>
      <c r="C979" s="49" t="str">
        <f t="shared" si="2"/>
        <v>Drugs; Distribute or possess with intent to distribute; Heroin or Methamphetamine; Quantity of 3.5 grams but less than 100 grams</v>
      </c>
      <c r="D979" s="49" t="str">
        <f t="shared" si="3"/>
        <v>21-5705(a)(1)</v>
      </c>
      <c r="E979" s="11" t="s">
        <v>133</v>
      </c>
      <c r="F979" s="11">
        <v>3.0</v>
      </c>
      <c r="G979" s="11">
        <v>3.0</v>
      </c>
      <c r="H979" s="11">
        <v>3.0</v>
      </c>
      <c r="I979" s="11">
        <v>3.0</v>
      </c>
    </row>
    <row r="980">
      <c r="A980" s="10" t="s">
        <v>7377</v>
      </c>
      <c r="B980" s="49" t="str">
        <f t="shared" si="1"/>
        <v>Drugs</v>
      </c>
      <c r="C980" s="49" t="str">
        <f t="shared" si="2"/>
        <v>Drugs; Distribute or possess with intent to distribute; Heroin or Methamphetamine; Quantity of 3.5 grams but less than 100 grams; Within 1000 feet of school property</v>
      </c>
      <c r="D980" s="49" t="str">
        <f t="shared" si="3"/>
        <v>21-5705(a)(1)</v>
      </c>
      <c r="E980" s="11" t="s">
        <v>133</v>
      </c>
      <c r="F980" s="11">
        <v>3.0</v>
      </c>
      <c r="G980" s="11">
        <v>3.0</v>
      </c>
      <c r="H980" s="11">
        <v>3.0</v>
      </c>
      <c r="I980" s="11">
        <v>3.0</v>
      </c>
    </row>
    <row r="981">
      <c r="A981" s="10" t="s">
        <v>7378</v>
      </c>
      <c r="B981" s="49" t="str">
        <f t="shared" si="1"/>
        <v>Drugs</v>
      </c>
      <c r="C981" s="49" t="str">
        <f t="shared" si="2"/>
        <v>Drugs; Distribute or possess with intent to distribute; Heroin or Methamphetamine; Quantity of less than 1 gram</v>
      </c>
      <c r="D981" s="49" t="str">
        <f t="shared" si="3"/>
        <v>21-5705(a)(1)</v>
      </c>
      <c r="E981" s="11" t="s">
        <v>133</v>
      </c>
      <c r="F981" s="11">
        <v>3.0</v>
      </c>
      <c r="G981" s="11">
        <v>3.0</v>
      </c>
      <c r="H981" s="11">
        <v>3.0</v>
      </c>
      <c r="I981" s="11">
        <v>3.0</v>
      </c>
    </row>
    <row r="982">
      <c r="A982" s="10" t="s">
        <v>7379</v>
      </c>
      <c r="B982" s="49" t="str">
        <f t="shared" si="1"/>
        <v>Drugs</v>
      </c>
      <c r="C982" s="49" t="str">
        <f t="shared" si="2"/>
        <v>Drugs; Distribute or possess with intent to distribute; Heroin or Methamphetamine; Quantity of less than 1 gram; Within 1000 feet of school property</v>
      </c>
      <c r="D982" s="49" t="str">
        <f t="shared" si="3"/>
        <v>21-5705(a)(1)</v>
      </c>
      <c r="E982" s="11" t="s">
        <v>133</v>
      </c>
      <c r="F982" s="11">
        <v>3.0</v>
      </c>
      <c r="G982" s="11">
        <v>3.0</v>
      </c>
      <c r="H982" s="11">
        <v>3.0</v>
      </c>
      <c r="I982" s="11">
        <v>3.0</v>
      </c>
    </row>
    <row r="983">
      <c r="A983" s="10" t="s">
        <v>7380</v>
      </c>
      <c r="B983" s="49" t="str">
        <f t="shared" si="1"/>
        <v>Drugs</v>
      </c>
      <c r="C983" s="49" t="str">
        <f t="shared" si="2"/>
        <v>Drugs; Distribute or possess with intent to distribute; Marijuana; Quantity of 25 grams but less than 450 grams</v>
      </c>
      <c r="D983" s="49" t="str">
        <f t="shared" si="3"/>
        <v>21-5705(a)</v>
      </c>
      <c r="E983" s="11" t="s">
        <v>133</v>
      </c>
      <c r="F983" s="11">
        <v>3.0</v>
      </c>
      <c r="G983" s="11">
        <v>3.0</v>
      </c>
      <c r="H983" s="11">
        <v>3.0</v>
      </c>
      <c r="I983" s="11">
        <v>3.0</v>
      </c>
    </row>
    <row r="984">
      <c r="A984" s="10" t="s">
        <v>7381</v>
      </c>
      <c r="B984" s="49" t="str">
        <f t="shared" si="1"/>
        <v>Drugs</v>
      </c>
      <c r="C984" s="49" t="str">
        <f t="shared" si="2"/>
        <v>Drugs; Distribute or possess with intent to distribute; Marijuana; Quantity of 25 grams but less than 450 grams; Within 1000 feet of school property</v>
      </c>
      <c r="D984" s="49" t="str">
        <f t="shared" si="3"/>
        <v>21-5705(a)</v>
      </c>
      <c r="E984" s="11" t="s">
        <v>133</v>
      </c>
      <c r="F984" s="11">
        <v>3.0</v>
      </c>
      <c r="G984" s="11">
        <v>3.0</v>
      </c>
      <c r="H984" s="11">
        <v>3.0</v>
      </c>
      <c r="I984" s="11">
        <v>3.0</v>
      </c>
    </row>
    <row r="985">
      <c r="A985" s="10" t="s">
        <v>7382</v>
      </c>
      <c r="B985" s="49" t="str">
        <f t="shared" si="1"/>
        <v>Drugs</v>
      </c>
      <c r="C985" s="49" t="str">
        <f t="shared" si="2"/>
        <v>Drugs; Distribute or possess with intent to distribute; Marijuana; Quantity of 30 kilograms or more</v>
      </c>
      <c r="D985" s="49" t="str">
        <f t="shared" si="3"/>
        <v>21-5705(a)</v>
      </c>
      <c r="E985" s="11" t="s">
        <v>133</v>
      </c>
      <c r="F985" s="11">
        <v>3.0</v>
      </c>
      <c r="G985" s="11">
        <v>3.0</v>
      </c>
      <c r="H985" s="11">
        <v>3.0</v>
      </c>
      <c r="I985" s="11">
        <v>3.0</v>
      </c>
    </row>
    <row r="986">
      <c r="A986" s="10" t="s">
        <v>7383</v>
      </c>
      <c r="B986" s="49" t="str">
        <f t="shared" si="1"/>
        <v>Drugs</v>
      </c>
      <c r="C986" s="49" t="str">
        <f t="shared" si="2"/>
        <v>Drugs; Distribute or possess with intent to distribute; Marijuana; Quantity of 30 kilograms or more; Within 1000 feet of school property</v>
      </c>
      <c r="D986" s="49" t="str">
        <f t="shared" si="3"/>
        <v>21-5705(a)</v>
      </c>
      <c r="E986" s="11" t="s">
        <v>133</v>
      </c>
      <c r="F986" s="11">
        <v>3.0</v>
      </c>
      <c r="G986" s="11">
        <v>3.0</v>
      </c>
      <c r="H986" s="11">
        <v>3.0</v>
      </c>
      <c r="I986" s="11">
        <v>3.0</v>
      </c>
    </row>
    <row r="987">
      <c r="A987" s="10" t="s">
        <v>7384</v>
      </c>
      <c r="B987" s="49" t="str">
        <f t="shared" si="1"/>
        <v>Drugs</v>
      </c>
      <c r="C987" s="49" t="str">
        <f t="shared" si="2"/>
        <v>Drugs; Distribute or possess with intent to distribute; Marijuana; Quantity of 450 grams but less than 30 kilograms</v>
      </c>
      <c r="D987" s="49" t="str">
        <f t="shared" si="3"/>
        <v>21-5705(a)</v>
      </c>
      <c r="E987" s="11" t="s">
        <v>133</v>
      </c>
      <c r="F987" s="11">
        <v>3.0</v>
      </c>
      <c r="G987" s="11">
        <v>3.0</v>
      </c>
      <c r="H987" s="11">
        <v>3.0</v>
      </c>
      <c r="I987" s="11">
        <v>3.0</v>
      </c>
    </row>
    <row r="988">
      <c r="A988" s="10" t="s">
        <v>7385</v>
      </c>
      <c r="B988" s="49" t="str">
        <f t="shared" si="1"/>
        <v>Drugs</v>
      </c>
      <c r="C988" s="49" t="str">
        <f t="shared" si="2"/>
        <v>Drugs; Distribute or possess with intent to distribute; Marijuana; Quantity of 450 grams but less than 30 kilograms; Within 1000 feet of school property</v>
      </c>
      <c r="D988" s="49" t="str">
        <f t="shared" si="3"/>
        <v>21-5705(a)</v>
      </c>
      <c r="E988" s="11" t="s">
        <v>133</v>
      </c>
      <c r="F988" s="11">
        <v>3.0</v>
      </c>
      <c r="G988" s="11">
        <v>3.0</v>
      </c>
      <c r="H988" s="11">
        <v>3.0</v>
      </c>
      <c r="I988" s="11">
        <v>3.0</v>
      </c>
    </row>
    <row r="989">
      <c r="A989" s="10" t="s">
        <v>7386</v>
      </c>
      <c r="B989" s="49" t="str">
        <f t="shared" si="1"/>
        <v>Drugs</v>
      </c>
      <c r="C989" s="49" t="str">
        <f t="shared" si="2"/>
        <v>Drugs; Distribute or possess with intent to distribute; Marijuana; Quantity of less than 25 grams</v>
      </c>
      <c r="D989" s="49" t="str">
        <f t="shared" si="3"/>
        <v>21-5705(a)</v>
      </c>
      <c r="E989" s="11" t="s">
        <v>133</v>
      </c>
      <c r="F989" s="11">
        <v>3.0</v>
      </c>
      <c r="G989" s="11">
        <v>3.0</v>
      </c>
      <c r="H989" s="11">
        <v>3.0</v>
      </c>
      <c r="I989" s="11">
        <v>3.0</v>
      </c>
    </row>
    <row r="990">
      <c r="A990" s="10" t="s">
        <v>7387</v>
      </c>
      <c r="B990" s="49" t="str">
        <f t="shared" si="1"/>
        <v>Drugs</v>
      </c>
      <c r="C990" s="49" t="str">
        <f t="shared" si="2"/>
        <v>Drugs; Distribute or possess with intent to distribute; Marijuana; Quantity of less than 25 grams; Within 1000 feet of school property</v>
      </c>
      <c r="D990" s="49" t="str">
        <f t="shared" si="3"/>
        <v>21-5705(a)</v>
      </c>
      <c r="E990" s="11" t="s">
        <v>133</v>
      </c>
      <c r="F990" s="11">
        <v>3.0</v>
      </c>
      <c r="G990" s="11">
        <v>3.0</v>
      </c>
      <c r="H990" s="11">
        <v>3.0</v>
      </c>
      <c r="I990" s="11">
        <v>3.0</v>
      </c>
    </row>
    <row r="991">
      <c r="A991" s="10" t="s">
        <v>7388</v>
      </c>
      <c r="B991" s="49" t="str">
        <f t="shared" si="1"/>
        <v>Drugs</v>
      </c>
      <c r="C991" s="49" t="str">
        <f t="shared" si="2"/>
        <v>Drugs; Distribute, possess with intent to distribute any substance which is not a controlled substance under circumstances which would give a reasonable person reason to believe that substance is controlled substance</v>
      </c>
      <c r="D991" s="49" t="str">
        <f t="shared" si="3"/>
        <v>21-5714(a)(2)</v>
      </c>
      <c r="E991" s="11" t="s">
        <v>133</v>
      </c>
      <c r="F991" s="11">
        <v>3.0</v>
      </c>
      <c r="G991" s="11">
        <v>3.0</v>
      </c>
      <c r="H991" s="11">
        <v>3.0</v>
      </c>
      <c r="I991" s="11">
        <v>3.0</v>
      </c>
    </row>
    <row r="992">
      <c r="A992" s="10" t="s">
        <v>7389</v>
      </c>
      <c r="B992" s="49" t="str">
        <f t="shared" si="1"/>
        <v>Drugs</v>
      </c>
      <c r="C992" s="49" t="str">
        <f t="shared" si="2"/>
        <v>Drugs; Distribute, possess with intent to distribute any substance which is not a controlled substance upon express representation that noncontrolled substance is controlled substance, or that substance is of such nature/appearance that the recipient will be able to distribute the substance as a controlled substance</v>
      </c>
      <c r="D992" s="49" t="str">
        <f t="shared" si="3"/>
        <v>21-5714(a)(1)</v>
      </c>
      <c r="E992" s="11" t="s">
        <v>133</v>
      </c>
      <c r="F992" s="11">
        <v>3.0</v>
      </c>
      <c r="G992" s="11">
        <v>3.0</v>
      </c>
      <c r="H992" s="11">
        <v>3.0</v>
      </c>
      <c r="I992" s="11">
        <v>3.0</v>
      </c>
    </row>
    <row r="993">
      <c r="A993" s="10" t="s">
        <v>7390</v>
      </c>
      <c r="B993" s="49" t="str">
        <f t="shared" si="1"/>
        <v>Drugs</v>
      </c>
      <c r="C993" s="49" t="str">
        <f t="shared" si="2"/>
        <v>Drugs; Distribute, possess with intent to distribute or manufacture with intent to distribute any drug paraphernalia, knowing or reasonably should know that it will be used to manufacture or distribute a controlled substance or controlled substance analog</v>
      </c>
      <c r="D993" s="49" t="str">
        <f t="shared" si="3"/>
        <v>21-5710(b)</v>
      </c>
      <c r="E993" s="11" t="s">
        <v>133</v>
      </c>
      <c r="F993" s="11">
        <v>3.0</v>
      </c>
      <c r="G993" s="11">
        <v>3.0</v>
      </c>
      <c r="H993" s="11">
        <v>3.0</v>
      </c>
      <c r="I993" s="11">
        <v>3.0</v>
      </c>
    </row>
    <row r="994">
      <c r="A994" s="10" t="s">
        <v>7391</v>
      </c>
      <c r="B994" s="49" t="str">
        <f t="shared" si="1"/>
        <v>Drugs</v>
      </c>
      <c r="C994" s="49" t="str">
        <f t="shared" si="2"/>
        <v>Drugs; Distribute, possess with intent to distribute or manufacture with intent to distribute any drug paraphernalia, knowing or reasonably should know that it will be used to manufacture or distribute a controlled substance or controlled substance analog; finding that offender distributed or caused drug paraphernalia to be distributed on or within 1,000 ft of school property OR to a minor</v>
      </c>
      <c r="D994" s="49" t="str">
        <f t="shared" si="3"/>
        <v>21-5710(b)</v>
      </c>
      <c r="E994" s="11" t="s">
        <v>133</v>
      </c>
      <c r="F994" s="11">
        <v>3.0</v>
      </c>
      <c r="G994" s="11">
        <v>3.0</v>
      </c>
      <c r="H994" s="11">
        <v>3.0</v>
      </c>
      <c r="I994" s="11">
        <v>3.0</v>
      </c>
    </row>
    <row r="995">
      <c r="A995" s="10" t="s">
        <v>7392</v>
      </c>
      <c r="B995" s="49" t="str">
        <f t="shared" si="1"/>
        <v>Drugs</v>
      </c>
      <c r="C995" s="49" t="str">
        <f t="shared" si="2"/>
        <v>Drugs; Distribute, possess with intent to distribute or manufacture with intent to distribute, any drug paraphernalia, knowing or reasonably should know it will be used in violation of K.S.A. 21-5701 through 21-5717 , except K.S.A. 21-5706(b)</v>
      </c>
      <c r="D995" s="49" t="str">
        <f t="shared" si="3"/>
        <v>21-5710(c)</v>
      </c>
      <c r="E995" s="11" t="s">
        <v>133</v>
      </c>
      <c r="F995" s="11">
        <v>3.0</v>
      </c>
      <c r="G995" s="11">
        <v>3.0</v>
      </c>
      <c r="H995" s="11">
        <v>3.0</v>
      </c>
      <c r="I995" s="11">
        <v>3.0</v>
      </c>
    </row>
    <row r="996">
      <c r="A996" s="10" t="s">
        <v>7393</v>
      </c>
      <c r="B996" s="49" t="str">
        <f t="shared" si="1"/>
        <v>Drugs</v>
      </c>
      <c r="C996" s="49" t="str">
        <f t="shared" si="2"/>
        <v>Drugs; Distribute, possess with intent to distribute or manufacture with intent to distribute, any drug paraphernalia, knowing or reasonably should know it will be used in violation of K.S.A. 21-5701 through 21-5717, except K.S.A. 21-5706(b); finding that offender distributed or caused drug paraphernalia to be distributed on or within 1000 ft. of school property OR to a minor</v>
      </c>
      <c r="D996" s="49" t="str">
        <f t="shared" si="3"/>
        <v>21-5710(c)</v>
      </c>
      <c r="E996" s="11" t="s">
        <v>133</v>
      </c>
      <c r="F996" s="11">
        <v>3.0</v>
      </c>
      <c r="G996" s="11">
        <v>3.0</v>
      </c>
      <c r="H996" s="11">
        <v>3.0</v>
      </c>
      <c r="I996" s="11">
        <v>3.0</v>
      </c>
    </row>
    <row r="997">
      <c r="A997" s="10" t="s">
        <v>7394</v>
      </c>
      <c r="B997" s="49" t="str">
        <f t="shared" si="1"/>
        <v>Drugs</v>
      </c>
      <c r="C997" s="49" t="str">
        <f t="shared" si="2"/>
        <v>Drugs; Distribute, possess with intent to distribute or manufacture with intent to distribute, any drug paraphernalia, knowing or reasonably should know it will be used in violation of K.S.A. 21-5706(b)</v>
      </c>
      <c r="D997" s="49" t="str">
        <f t="shared" si="3"/>
        <v>21-5710(d)</v>
      </c>
      <c r="E997" s="11" t="s">
        <v>133</v>
      </c>
      <c r="F997" s="11">
        <v>3.0</v>
      </c>
      <c r="G997" s="11">
        <v>3.0</v>
      </c>
      <c r="H997" s="11">
        <v>3.0</v>
      </c>
      <c r="I997" s="11">
        <v>3.0</v>
      </c>
    </row>
    <row r="998">
      <c r="A998" s="10" t="s">
        <v>7395</v>
      </c>
      <c r="B998" s="49" t="str">
        <f t="shared" si="1"/>
        <v>Drugs</v>
      </c>
      <c r="C998" s="49" t="str">
        <f t="shared" si="2"/>
        <v>Drugs; Distribute, possess with intent to distribute or manufacture with intent to distribute, any drug paraphernalia, knowing or reasonably should know it will be used in violation of K.S.A. 21-5706(b); finding that offender distributed or caused drug paraphernalia to be distributed within 1000 ft. of school property OR to a minor</v>
      </c>
      <c r="D998" s="49" t="str">
        <f t="shared" si="3"/>
        <v>21-5710(d)</v>
      </c>
      <c r="E998" s="11" t="s">
        <v>133</v>
      </c>
      <c r="F998" s="11">
        <v>3.0</v>
      </c>
      <c r="G998" s="11">
        <v>3.0</v>
      </c>
      <c r="H998" s="11">
        <v>3.0</v>
      </c>
      <c r="I998" s="11">
        <v>3.0</v>
      </c>
    </row>
    <row r="999">
      <c r="A999" s="10" t="s">
        <v>7396</v>
      </c>
      <c r="B999" s="49" t="str">
        <f t="shared" si="1"/>
        <v>Drugs</v>
      </c>
      <c r="C999" s="49" t="str">
        <f t="shared" si="2"/>
        <v>Drugs; Distribute, possess with intent to distribute, any substance which is not a controlled substance under circumstances which would give a reasonable person reason to believe that substance is controlled substance; to minor by a person over 18 and at least 3 yrs older than minor</v>
      </c>
      <c r="D999" s="49" t="str">
        <f t="shared" si="3"/>
        <v>21-5714(a)(2)</v>
      </c>
      <c r="E999" s="11" t="s">
        <v>133</v>
      </c>
      <c r="F999" s="11">
        <v>3.0</v>
      </c>
      <c r="G999" s="11">
        <v>3.0</v>
      </c>
      <c r="H999" s="11">
        <v>3.0</v>
      </c>
      <c r="I999" s="11">
        <v>3.0</v>
      </c>
    </row>
    <row r="1000">
      <c r="A1000" s="10" t="s">
        <v>7397</v>
      </c>
      <c r="B1000" s="49" t="str">
        <f t="shared" si="1"/>
        <v>Drugs</v>
      </c>
      <c r="C1000" s="49" t="str">
        <f t="shared" si="2"/>
        <v>Drugs; Distribute, possess with intent to distribute, any substance which is not a controlled substance upon express representation that noncontrolled substance is controlled substance, or that substance is of such nature/appearance that the recipient will be able to distribute the substance as a controlled substance; to minor by a person over 18 and at least 3 yrs older than minor</v>
      </c>
      <c r="D1000" s="49" t="str">
        <f t="shared" si="3"/>
        <v>21-5714(a)(1)</v>
      </c>
      <c r="E1000" s="11" t="s">
        <v>133</v>
      </c>
      <c r="F1000" s="11">
        <v>3.0</v>
      </c>
      <c r="G1000" s="11">
        <v>3.0</v>
      </c>
      <c r="H1000" s="11">
        <v>3.0</v>
      </c>
      <c r="I1000" s="11">
        <v>3.0</v>
      </c>
    </row>
    <row r="1001">
      <c r="A1001" s="10" t="s">
        <v>7398</v>
      </c>
      <c r="B1001" s="49" t="str">
        <f t="shared" si="1"/>
        <v>Drugs</v>
      </c>
      <c r="C1001" s="49" t="str">
        <f t="shared" si="2"/>
        <v>Drugs; Distribute, possess with intent to distribute, or manufacture with intent to distribute any simulated controlled substance</v>
      </c>
      <c r="D1001" s="49" t="str">
        <f t="shared" si="3"/>
        <v>21-5713(a)</v>
      </c>
      <c r="E1001" s="11" t="s">
        <v>133</v>
      </c>
      <c r="F1001" s="11">
        <v>3.0</v>
      </c>
      <c r="G1001" s="11">
        <v>3.0</v>
      </c>
      <c r="H1001" s="11">
        <v>3.0</v>
      </c>
      <c r="I1001" s="11">
        <v>3.0</v>
      </c>
    </row>
    <row r="1002">
      <c r="A1002" s="10" t="s">
        <v>7399</v>
      </c>
      <c r="B1002" s="49" t="str">
        <f t="shared" si="1"/>
        <v>Drugs</v>
      </c>
      <c r="C1002" s="49" t="str">
        <f t="shared" si="2"/>
        <v>Drugs; Distribute, possess with intent to distribute, or manufacture with intent to distribute any simulated controlled substance; finding that offender is 18 or more yrs of age and violation occurred on or within 1000 ft. of school property</v>
      </c>
      <c r="D1002" s="49" t="str">
        <f t="shared" si="3"/>
        <v>21-5713(b)</v>
      </c>
      <c r="E1002" s="11" t="s">
        <v>133</v>
      </c>
      <c r="F1002" s="11">
        <v>3.0</v>
      </c>
      <c r="G1002" s="11">
        <v>3.0</v>
      </c>
      <c r="H1002" s="11">
        <v>3.0</v>
      </c>
      <c r="I1002" s="11">
        <v>3.0</v>
      </c>
    </row>
    <row r="1003">
      <c r="A1003" s="10" t="s">
        <v>7400</v>
      </c>
      <c r="B1003" s="49" t="str">
        <f t="shared" si="1"/>
        <v>Drugs</v>
      </c>
      <c r="C1003" s="49" t="str">
        <f t="shared" si="2"/>
        <v>Drugs; Distribute/invest/conceal/transport/maintain an interest in or otherwise make available anything of value which that person knows is intended to be used for the purpose of committing or furthering the commission of any crime in K.S.A. 21-36a01 through 21-36a17; at least $5,000 but less than $100,000</v>
      </c>
      <c r="D1003" s="49" t="str">
        <f t="shared" si="3"/>
        <v>21-5716(b)</v>
      </c>
      <c r="E1003" s="11" t="s">
        <v>133</v>
      </c>
      <c r="F1003" s="11">
        <v>3.0</v>
      </c>
      <c r="G1003" s="11">
        <v>3.0</v>
      </c>
      <c r="H1003" s="11">
        <v>3.0</v>
      </c>
      <c r="I1003" s="11">
        <v>3.0</v>
      </c>
    </row>
    <row r="1004">
      <c r="A1004" s="10" t="s">
        <v>7401</v>
      </c>
      <c r="B1004" s="49" t="str">
        <f t="shared" si="1"/>
        <v>Drugs</v>
      </c>
      <c r="C1004" s="49" t="str">
        <f t="shared" si="2"/>
        <v>Drugs; Distribute/invest/conceal/transport/maintain an interest in or otherwise make available anything of value which that person knows is intended to be used for the purpose of committing or furthering the commission of any crime in K.S.A. 21-5701 through 21-5717; at least $100,000 but less than $250,000</v>
      </c>
      <c r="D1004" s="49" t="str">
        <f t="shared" si="3"/>
        <v>21-5716(a)</v>
      </c>
      <c r="E1004" s="11" t="s">
        <v>133</v>
      </c>
      <c r="F1004" s="11">
        <v>3.0</v>
      </c>
      <c r="G1004" s="11">
        <v>3.0</v>
      </c>
      <c r="H1004" s="11">
        <v>3.0</v>
      </c>
      <c r="I1004" s="11">
        <v>3.0</v>
      </c>
    </row>
    <row r="1005">
      <c r="A1005" s="10" t="s">
        <v>7402</v>
      </c>
      <c r="B1005" s="49" t="str">
        <f t="shared" si="1"/>
        <v>Drugs</v>
      </c>
      <c r="C1005" s="49" t="str">
        <f t="shared" si="2"/>
        <v>Drugs; Distribute/invest/conceal/transport/maintain an interest in or otherwise make available anything of value which that person knows is intended to be used for the purpose of committing or furthering the commission of any crime in K.S.A. 21-5701 through 21-5717; at least $250,000 but less than $500,000</v>
      </c>
      <c r="D1005" s="49" t="str">
        <f t="shared" si="3"/>
        <v>21-5716(a)</v>
      </c>
      <c r="E1005" s="11" t="s">
        <v>133</v>
      </c>
      <c r="F1005" s="11">
        <v>3.0</v>
      </c>
      <c r="G1005" s="11">
        <v>3.0</v>
      </c>
      <c r="H1005" s="11">
        <v>3.0</v>
      </c>
      <c r="I1005" s="11">
        <v>3.0</v>
      </c>
    </row>
    <row r="1006">
      <c r="A1006" s="10" t="s">
        <v>7403</v>
      </c>
      <c r="B1006" s="49" t="str">
        <f t="shared" si="1"/>
        <v>Drugs</v>
      </c>
      <c r="C1006" s="49" t="str">
        <f t="shared" si="2"/>
        <v>Drugs; Distribute/invest/conceal/transport/maintain an interest in or otherwise make available anything of value which that person knows is intended to be used for the purpose of committing or furthering the commission of any crime in K.S.A. 21-5701 through 21-5717; $500,000 or more</v>
      </c>
      <c r="D1006" s="49" t="str">
        <f t="shared" si="3"/>
        <v>21-5716(a)</v>
      </c>
      <c r="E1006" s="11" t="s">
        <v>133</v>
      </c>
      <c r="F1006" s="11">
        <v>3.0</v>
      </c>
      <c r="G1006" s="11">
        <v>3.0</v>
      </c>
      <c r="H1006" s="11">
        <v>3.0</v>
      </c>
      <c r="I1006" s="11">
        <v>3.0</v>
      </c>
    </row>
    <row r="1007">
      <c r="A1007" s="10" t="s">
        <v>7404</v>
      </c>
      <c r="B1007" s="49" t="str">
        <f t="shared" si="1"/>
        <v>Drugs</v>
      </c>
      <c r="C1007" s="49" t="str">
        <f t="shared" si="2"/>
        <v>Drugs; Distribute/invest/conceal/transport/maintain an interest in or otherwise make available anything of value which that person knows is intended to be used for the purpose of committing or furthering the commission of any crime in K.S.A. 21-5701 through 21-5717; less than $5,000</v>
      </c>
      <c r="D1007" s="49" t="str">
        <f t="shared" si="3"/>
        <v>21-5716(b)</v>
      </c>
      <c r="E1007" s="11" t="s">
        <v>133</v>
      </c>
      <c r="F1007" s="11">
        <v>3.0</v>
      </c>
      <c r="G1007" s="11">
        <v>3.0</v>
      </c>
      <c r="H1007" s="11">
        <v>3.0</v>
      </c>
      <c r="I1007" s="11">
        <v>3.0</v>
      </c>
    </row>
    <row r="1008">
      <c r="A1008" s="10" t="s">
        <v>7405</v>
      </c>
      <c r="B1008" s="49" t="str">
        <f t="shared" si="1"/>
        <v>Drugs</v>
      </c>
      <c r="C1008" s="49" t="str">
        <f t="shared" si="2"/>
        <v>Drugs; Distribute/invest/conceal/transport/maintain an interest in or otherwise make available anything of value which that person knows is intended to be used for the purpose of committing or furthering the commission of any crime in K.S.A. 21-5701 through 21-5717; at least $100,000 but less than $250,000</v>
      </c>
      <c r="D1008" s="49" t="str">
        <f t="shared" si="3"/>
        <v>21-5716(b)</v>
      </c>
      <c r="E1008" s="11" t="s">
        <v>133</v>
      </c>
      <c r="F1008" s="11">
        <v>3.0</v>
      </c>
      <c r="G1008" s="11">
        <v>3.0</v>
      </c>
      <c r="H1008" s="11">
        <v>3.0</v>
      </c>
      <c r="I1008" s="11">
        <v>3.0</v>
      </c>
    </row>
    <row r="1009">
      <c r="A1009" s="10" t="s">
        <v>7406</v>
      </c>
      <c r="B1009" s="49" t="str">
        <f t="shared" si="1"/>
        <v>Drugs</v>
      </c>
      <c r="C1009" s="49" t="str">
        <f t="shared" si="2"/>
        <v>Drugs; Distribute/invest/conceal/transport/maintain an interest in or otherwise make available anything of value which that person knows is intended to be used for the purpose of committing or furthering the commission of any crime in K.S.A. 21-5701 through 21-5717; at least $250,000 but less than $500,000</v>
      </c>
      <c r="D1009" s="49" t="str">
        <f t="shared" si="3"/>
        <v>21-5716(b)</v>
      </c>
      <c r="E1009" s="11" t="s">
        <v>133</v>
      </c>
      <c r="F1009" s="11">
        <v>3.0</v>
      </c>
      <c r="G1009" s="11">
        <v>3.0</v>
      </c>
      <c r="H1009" s="11">
        <v>3.0</v>
      </c>
      <c r="I1009" s="11">
        <v>3.0</v>
      </c>
    </row>
    <row r="1010">
      <c r="A1010" s="10" t="s">
        <v>7407</v>
      </c>
      <c r="B1010" s="49" t="str">
        <f t="shared" si="1"/>
        <v>Drugs</v>
      </c>
      <c r="C1010" s="49" t="str">
        <f t="shared" si="2"/>
        <v>Drugs; Distribute/invest/conceal/transport/maintain an interest in or otherwise make available anything of value which that person knows is intended to be used for the purpose of committing or furthering the commission of any crime in K.S.A. 21-5701 through 21-5717; $500,000 or more</v>
      </c>
      <c r="D1010" s="49" t="str">
        <f t="shared" si="3"/>
        <v>21-5716(b)</v>
      </c>
      <c r="E1010" s="11" t="s">
        <v>133</v>
      </c>
      <c r="F1010" s="11">
        <v>3.0</v>
      </c>
      <c r="G1010" s="11">
        <v>3.0</v>
      </c>
      <c r="H1010" s="11">
        <v>3.0</v>
      </c>
      <c r="I1010" s="11">
        <v>3.0</v>
      </c>
    </row>
    <row r="1011">
      <c r="A1011" s="10" t="s">
        <v>7408</v>
      </c>
      <c r="B1011" s="49" t="str">
        <f t="shared" si="1"/>
        <v>Drugs</v>
      </c>
      <c r="C1011" s="49" t="str">
        <f t="shared" si="2"/>
        <v>Drugs; Knowingly or intentionally use any communication facility in any attempt to commit, any conspiracy to commit or any criminal solicitation of any felony under K.S.A. 21-5703, 21-5705, or 21-5706 each separate use of a communication facility may be charged as a separate offense</v>
      </c>
      <c r="D1011" s="49" t="str">
        <f t="shared" si="3"/>
        <v>21-5707(a)(2)</v>
      </c>
      <c r="E1011" s="11" t="s">
        <v>133</v>
      </c>
      <c r="F1011" s="11">
        <v>3.0</v>
      </c>
      <c r="G1011" s="11">
        <v>3.0</v>
      </c>
      <c r="H1011" s="11">
        <v>3.0</v>
      </c>
      <c r="I1011" s="11">
        <v>3.0</v>
      </c>
    </row>
    <row r="1012">
      <c r="A1012" s="10" t="s">
        <v>7409</v>
      </c>
      <c r="B1012" s="49" t="str">
        <f t="shared" si="1"/>
        <v>Drugs</v>
      </c>
      <c r="C1012" s="49" t="str">
        <f t="shared" si="2"/>
        <v>Drugs; Knowingly or intentionally use any communication facility in committing, causing, or facilitating the commission of any felony under K.S.A. 21-5703, 21-5705, or 21-5706 ; each separate use of a communication facility may be charged as a separate offense</v>
      </c>
      <c r="D1012" s="49" t="str">
        <f t="shared" si="3"/>
        <v>21-5707(a)(1)</v>
      </c>
      <c r="E1012" s="11" t="s">
        <v>133</v>
      </c>
      <c r="F1012" s="11">
        <v>3.0</v>
      </c>
      <c r="G1012" s="11">
        <v>3.0</v>
      </c>
      <c r="H1012" s="11">
        <v>3.0</v>
      </c>
      <c r="I1012" s="11">
        <v>3.0</v>
      </c>
    </row>
    <row r="1013">
      <c r="A1013" s="10" t="s">
        <v>7410</v>
      </c>
      <c r="B1013" s="49" t="str">
        <f t="shared" si="1"/>
        <v>Drugs</v>
      </c>
      <c r="C1013" s="49" t="str">
        <f t="shared" si="2"/>
        <v>Drugs; Manufacture of a controlled substance or controlled substance analog</v>
      </c>
      <c r="D1013" s="49" t="str">
        <f t="shared" si="3"/>
        <v>21-5703(a)</v>
      </c>
      <c r="E1013" s="11" t="s">
        <v>133</v>
      </c>
      <c r="F1013" s="11">
        <v>3.0</v>
      </c>
      <c r="G1013" s="11">
        <v>3.0</v>
      </c>
      <c r="H1013" s="11">
        <v>3.0</v>
      </c>
      <c r="I1013" s="11">
        <v>3.0</v>
      </c>
    </row>
    <row r="1014">
      <c r="A1014" s="10" t="s">
        <v>7411</v>
      </c>
      <c r="B1014" s="49" t="str">
        <f t="shared" si="1"/>
        <v>Drugs</v>
      </c>
      <c r="C1014" s="49" t="str">
        <f t="shared" si="2"/>
        <v>Drugs; Manufacture of a controlled substance or controlled substance analog; methamphetamine or analog; first and subs. offense</v>
      </c>
      <c r="D1014" s="49" t="str">
        <f t="shared" si="3"/>
        <v>21-5703(a)</v>
      </c>
      <c r="E1014" s="11" t="s">
        <v>133</v>
      </c>
      <c r="F1014" s="11">
        <v>3.0</v>
      </c>
      <c r="G1014" s="11">
        <v>3.0</v>
      </c>
      <c r="H1014" s="11">
        <v>3.0</v>
      </c>
      <c r="I1014" s="11">
        <v>3.0</v>
      </c>
    </row>
    <row r="1015">
      <c r="A1015" s="10" t="s">
        <v>7412</v>
      </c>
      <c r="B1015" s="49" t="str">
        <f t="shared" si="1"/>
        <v>Drugs</v>
      </c>
      <c r="C1015" s="49" t="str">
        <f t="shared" si="2"/>
        <v>Drugs; Manufacture of a controlled substance or controlled substance analog; second and subs. offense when any prior and current offense are for a controlled substance other than methamphetamine or analog</v>
      </c>
      <c r="D1015" s="49" t="str">
        <f t="shared" si="3"/>
        <v>21-5703(a)</v>
      </c>
      <c r="E1015" s="11" t="s">
        <v>133</v>
      </c>
      <c r="F1015" s="11">
        <v>3.0</v>
      </c>
      <c r="G1015" s="11">
        <v>3.0</v>
      </c>
      <c r="H1015" s="11">
        <v>3.0</v>
      </c>
      <c r="I1015" s="11">
        <v>3.0</v>
      </c>
    </row>
    <row r="1016">
      <c r="A1016" s="10" t="s">
        <v>7413</v>
      </c>
      <c r="B1016" s="49" t="str">
        <f t="shared" si="1"/>
        <v>Drugs</v>
      </c>
      <c r="C1016" s="49" t="str">
        <f t="shared" si="2"/>
        <v>Drugs; Penalty for violation of uniform controlled substances act</v>
      </c>
      <c r="D1016" s="49" t="str">
        <f t="shared" si="3"/>
        <v>65-4127c</v>
      </c>
      <c r="E1016" s="11" t="s">
        <v>133</v>
      </c>
      <c r="F1016" s="11">
        <v>3.0</v>
      </c>
      <c r="G1016" s="11">
        <v>3.0</v>
      </c>
      <c r="H1016" s="11">
        <v>3.0</v>
      </c>
      <c r="I1016" s="11">
        <v>3.0</v>
      </c>
    </row>
    <row r="1017">
      <c r="A1017" s="10" t="s">
        <v>7414</v>
      </c>
      <c r="B1017" s="49" t="str">
        <f t="shared" si="1"/>
        <v>Drugs</v>
      </c>
      <c r="C1017" s="49" t="str">
        <f t="shared" si="2"/>
        <v>Drugs; Possess ephedrine, pseudoephedrine, red phosphorus, lithium metal, sodium metal, iodine, anhydrous ammonia, pressurized ammonia or phenylpropanolamine, or their salts, isomers or sales of isomers with an intent to use the product to manufacture a controlled substance</v>
      </c>
      <c r="D1017" s="49" t="str">
        <f t="shared" si="3"/>
        <v>21-5709(a)</v>
      </c>
      <c r="E1017" s="11" t="s">
        <v>133</v>
      </c>
      <c r="F1017" s="11">
        <v>3.0</v>
      </c>
      <c r="G1017" s="11">
        <v>3.0</v>
      </c>
      <c r="H1017" s="11">
        <v>3.0</v>
      </c>
      <c r="I1017" s="11">
        <v>3.0</v>
      </c>
    </row>
    <row r="1018">
      <c r="A1018" s="10" t="s">
        <v>7415</v>
      </c>
      <c r="B1018" s="49" t="str">
        <f t="shared" si="1"/>
        <v>Drugs</v>
      </c>
      <c r="C1018" s="49" t="str">
        <f t="shared" si="2"/>
        <v>Drugs; Possession of anabolic steroid or analog in subsection (f) of K.S.A. 65-4109; 2nd or subs. offense</v>
      </c>
      <c r="D1018" s="49" t="str">
        <f t="shared" si="3"/>
        <v>21-5706(b)(5)</v>
      </c>
      <c r="E1018" s="11" t="s">
        <v>133</v>
      </c>
      <c r="F1018" s="11">
        <v>3.0</v>
      </c>
      <c r="G1018" s="11">
        <v>3.0</v>
      </c>
      <c r="H1018" s="11">
        <v>3.0</v>
      </c>
      <c r="I1018" s="11">
        <v>3.0</v>
      </c>
    </row>
    <row r="1019">
      <c r="A1019" s="10" t="s">
        <v>7416</v>
      </c>
      <c r="B1019" s="49" t="str">
        <f t="shared" si="1"/>
        <v>Drugs</v>
      </c>
      <c r="C1019" s="49" t="str">
        <f t="shared" si="2"/>
        <v>Drugs; Possession of anabolic steroid or analog; 1st offense</v>
      </c>
      <c r="D1019" s="49" t="str">
        <f t="shared" si="3"/>
        <v>21-5706(b)(5)</v>
      </c>
      <c r="E1019" s="11" t="s">
        <v>133</v>
      </c>
      <c r="F1019" s="11">
        <v>3.0</v>
      </c>
      <c r="G1019" s="11">
        <v>3.0</v>
      </c>
      <c r="H1019" s="11">
        <v>3.0</v>
      </c>
      <c r="I1019" s="11">
        <v>3.0</v>
      </c>
    </row>
    <row r="1020">
      <c r="A1020" s="10" t="s">
        <v>7417</v>
      </c>
      <c r="B1020" s="49" t="str">
        <f t="shared" si="1"/>
        <v>Drugs</v>
      </c>
      <c r="C1020" s="49" t="str">
        <f t="shared" si="2"/>
        <v>Drugs; Possession of anhydrous ammonia or pressurized ammonia in a container not approved for that chemical by the Kansas Department of Agriculture</v>
      </c>
      <c r="D1020" s="49" t="str">
        <f t="shared" si="3"/>
        <v>21-5709(c)</v>
      </c>
      <c r="E1020" s="11" t="s">
        <v>133</v>
      </c>
      <c r="F1020" s="11">
        <v>3.0</v>
      </c>
      <c r="G1020" s="11">
        <v>3.0</v>
      </c>
      <c r="H1020" s="11">
        <v>3.0</v>
      </c>
      <c r="I1020" s="11">
        <v>3.0</v>
      </c>
    </row>
    <row r="1021">
      <c r="A1021" s="10" t="s">
        <v>7418</v>
      </c>
      <c r="B1021" s="49" t="str">
        <f t="shared" si="1"/>
        <v>Drugs</v>
      </c>
      <c r="C1021" s="49" t="str">
        <f t="shared" si="2"/>
        <v>Drugs; Possession of any substance designated in subsection (h) of K.S.A. 65-4105, 2nd or subs. offense</v>
      </c>
      <c r="D1021" s="49" t="str">
        <f t="shared" si="3"/>
        <v>21-5706(b)(7)</v>
      </c>
      <c r="E1021" s="11" t="s">
        <v>133</v>
      </c>
      <c r="F1021" s="11">
        <v>3.0</v>
      </c>
      <c r="G1021" s="11">
        <v>3.0</v>
      </c>
      <c r="H1021" s="11">
        <v>3.0</v>
      </c>
      <c r="I1021" s="11">
        <v>3.0</v>
      </c>
    </row>
    <row r="1022">
      <c r="A1022" s="10" t="s">
        <v>7419</v>
      </c>
      <c r="B1022" s="49" t="str">
        <f t="shared" si="1"/>
        <v>Drugs</v>
      </c>
      <c r="C1022" s="49" t="str">
        <f t="shared" si="2"/>
        <v>Drugs; Possession of any substance or analog designated in K.S.A. 65-4113</v>
      </c>
      <c r="D1022" s="49" t="str">
        <f t="shared" si="3"/>
        <v>21-5706(b)(6)</v>
      </c>
      <c r="E1022" s="11" t="s">
        <v>133</v>
      </c>
      <c r="F1022" s="11">
        <v>3.0</v>
      </c>
      <c r="G1022" s="11">
        <v>3.0</v>
      </c>
      <c r="H1022" s="11">
        <v>3.0</v>
      </c>
      <c r="I1022" s="11">
        <v>3.0</v>
      </c>
    </row>
    <row r="1023">
      <c r="A1023" s="10" t="s">
        <v>7420</v>
      </c>
      <c r="B1023" s="49" t="str">
        <f t="shared" si="1"/>
        <v>Drugs</v>
      </c>
      <c r="C1023" s="49" t="str">
        <f t="shared" si="2"/>
        <v>Drugs; Possession of any substance or analog designated in subsection (h) of K.S.A. 65-4105; 1st offense</v>
      </c>
      <c r="D1023" s="49" t="str">
        <f t="shared" si="3"/>
        <v>21-5706(b)(7)</v>
      </c>
      <c r="E1023" s="11" t="s">
        <v>133</v>
      </c>
      <c r="F1023" s="11">
        <v>3.0</v>
      </c>
      <c r="G1023" s="11">
        <v>3.0</v>
      </c>
      <c r="H1023" s="11">
        <v>3.0</v>
      </c>
      <c r="I1023" s="11">
        <v>3.0</v>
      </c>
    </row>
    <row r="1024">
      <c r="A1024" s="10" t="s">
        <v>7421</v>
      </c>
      <c r="B1024" s="49" t="str">
        <f t="shared" si="1"/>
        <v>Drugs</v>
      </c>
      <c r="C1024" s="49" t="str">
        <f t="shared" si="2"/>
        <v>Drugs; Possession of depressant or analog; 1st offense</v>
      </c>
      <c r="D1024" s="49" t="str">
        <f t="shared" si="3"/>
        <v>21-5706(b)(1)</v>
      </c>
      <c r="E1024" s="11" t="s">
        <v>133</v>
      </c>
      <c r="F1024" s="11">
        <v>3.0</v>
      </c>
      <c r="G1024" s="11">
        <v>3.0</v>
      </c>
      <c r="H1024" s="11">
        <v>3.0</v>
      </c>
      <c r="I1024" s="11">
        <v>3.0</v>
      </c>
    </row>
    <row r="1025">
      <c r="A1025" s="10" t="s">
        <v>7422</v>
      </c>
      <c r="B1025" s="49" t="str">
        <f t="shared" si="1"/>
        <v>Drugs</v>
      </c>
      <c r="C1025" s="49" t="str">
        <f t="shared" si="2"/>
        <v>Drugs; Possession of depressant or analog; 2nd or subs. offense</v>
      </c>
      <c r="D1025" s="49" t="str">
        <f t="shared" si="3"/>
        <v>21-5706(b)(1)</v>
      </c>
      <c r="E1025" s="11" t="s">
        <v>133</v>
      </c>
      <c r="F1025" s="11">
        <v>3.0</v>
      </c>
      <c r="G1025" s="11">
        <v>3.0</v>
      </c>
      <c r="H1025" s="11">
        <v>3.0</v>
      </c>
      <c r="I1025" s="11">
        <v>3.0</v>
      </c>
    </row>
    <row r="1026">
      <c r="A1026" s="10" t="s">
        <v>7423</v>
      </c>
      <c r="B1026" s="49" t="str">
        <f t="shared" si="1"/>
        <v>Drugs</v>
      </c>
      <c r="C1026" s="49" t="str">
        <f t="shared" si="2"/>
        <v>Drugs; Possession of hallucinogenic or analog; 1st offense</v>
      </c>
      <c r="D1026" s="49" t="str">
        <f t="shared" si="3"/>
        <v>21-5706(b)(3)</v>
      </c>
      <c r="E1026" s="11" t="s">
        <v>133</v>
      </c>
      <c r="F1026" s="11">
        <v>3.0</v>
      </c>
      <c r="G1026" s="11">
        <v>3.0</v>
      </c>
      <c r="H1026" s="11">
        <v>3.0</v>
      </c>
      <c r="I1026" s="11">
        <v>3.0</v>
      </c>
    </row>
    <row r="1027">
      <c r="A1027" s="10" t="s">
        <v>7424</v>
      </c>
      <c r="B1027" s="49" t="str">
        <f t="shared" si="1"/>
        <v>Drugs</v>
      </c>
      <c r="C1027" s="49" t="str">
        <f t="shared" si="2"/>
        <v>Drugs; Possession of hallucinogenic or analog; 1st Offense-Marijuana</v>
      </c>
      <c r="D1027" s="49" t="str">
        <f t="shared" si="3"/>
        <v>21-5706(b)(3)</v>
      </c>
      <c r="E1027" s="11" t="s">
        <v>133</v>
      </c>
      <c r="F1027" s="11">
        <v>3.0</v>
      </c>
      <c r="G1027" s="11">
        <v>3.0</v>
      </c>
      <c r="H1027" s="11">
        <v>3.0</v>
      </c>
      <c r="I1027" s="11">
        <v>3.0</v>
      </c>
    </row>
    <row r="1028">
      <c r="A1028" s="10" t="s">
        <v>7425</v>
      </c>
      <c r="B1028" s="49" t="str">
        <f t="shared" si="1"/>
        <v>Drugs</v>
      </c>
      <c r="C1028" s="49" t="str">
        <f t="shared" si="2"/>
        <v>Drugs; Possession of hallucinogenic or analog; 2nd Offense-Marijuana</v>
      </c>
      <c r="D1028" s="49" t="str">
        <f t="shared" si="3"/>
        <v>21-5706(b)(3)</v>
      </c>
      <c r="E1028" s="11" t="s">
        <v>133</v>
      </c>
      <c r="F1028" s="11">
        <v>3.0</v>
      </c>
      <c r="G1028" s="11">
        <v>3.0</v>
      </c>
      <c r="H1028" s="11">
        <v>3.0</v>
      </c>
      <c r="I1028" s="11">
        <v>3.0</v>
      </c>
    </row>
    <row r="1029">
      <c r="A1029" s="10" t="s">
        <v>7426</v>
      </c>
      <c r="B1029" s="49" t="str">
        <f t="shared" si="1"/>
        <v>Drugs</v>
      </c>
      <c r="C1029" s="49" t="str">
        <f t="shared" si="2"/>
        <v>Drugs; Possession of hallucinogenic or analog; 2nd or subs. offense</v>
      </c>
      <c r="D1029" s="49" t="str">
        <f t="shared" si="3"/>
        <v>21-5706(b)(3)</v>
      </c>
      <c r="E1029" s="11" t="s">
        <v>133</v>
      </c>
      <c r="F1029" s="11">
        <v>3.0</v>
      </c>
      <c r="G1029" s="11">
        <v>3.0</v>
      </c>
      <c r="H1029" s="11">
        <v>3.0</v>
      </c>
      <c r="I1029" s="11">
        <v>3.0</v>
      </c>
    </row>
    <row r="1030">
      <c r="A1030" s="10" t="s">
        <v>7427</v>
      </c>
      <c r="B1030" s="49" t="str">
        <f t="shared" si="1"/>
        <v>Drugs</v>
      </c>
      <c r="C1030" s="49" t="str">
        <f t="shared" si="2"/>
        <v>Drugs; Possession of hallucinogenic or analog; 3rd or Subsequent Offense-Marijuana</v>
      </c>
      <c r="D1030" s="49" t="str">
        <f t="shared" si="3"/>
        <v>21-5706(b)(3)</v>
      </c>
      <c r="E1030" s="11" t="s">
        <v>133</v>
      </c>
      <c r="F1030" s="11">
        <v>3.0</v>
      </c>
      <c r="G1030" s="11">
        <v>3.0</v>
      </c>
      <c r="H1030" s="11">
        <v>3.0</v>
      </c>
      <c r="I1030" s="11">
        <v>3.0</v>
      </c>
    </row>
    <row r="1031">
      <c r="A1031" s="10" t="s">
        <v>7428</v>
      </c>
      <c r="B1031" s="49" t="str">
        <f t="shared" si="1"/>
        <v>Drugs</v>
      </c>
      <c r="C1031" s="49" t="str">
        <f t="shared" si="2"/>
        <v>Drugs; Possession of opiates, opium or narcotic drugs, or any stimulant designated in subsection (d)(1), (d)(3) or (f)(1) of K.S.A. 65-4107 or controlled substance analog</v>
      </c>
      <c r="D1031" s="49" t="str">
        <f t="shared" si="3"/>
        <v>21-5706(a)</v>
      </c>
      <c r="E1031" s="11" t="s">
        <v>133</v>
      </c>
      <c r="F1031" s="11">
        <v>3.0</v>
      </c>
      <c r="G1031" s="11">
        <v>3.0</v>
      </c>
      <c r="H1031" s="11">
        <v>3.0</v>
      </c>
      <c r="I1031" s="11">
        <v>3.0</v>
      </c>
    </row>
    <row r="1032">
      <c r="A1032" s="10" t="s">
        <v>7429</v>
      </c>
      <c r="B1032" s="49" t="str">
        <f t="shared" si="1"/>
        <v>Drugs</v>
      </c>
      <c r="C1032" s="49" t="str">
        <f t="shared" si="2"/>
        <v>Drugs; Possession of stimulant or analog; 1st offense</v>
      </c>
      <c r="D1032" s="49" t="str">
        <f t="shared" si="3"/>
        <v>21-5706(b)(2)</v>
      </c>
      <c r="E1032" s="11" t="s">
        <v>133</v>
      </c>
      <c r="F1032" s="11">
        <v>3.0</v>
      </c>
      <c r="G1032" s="11">
        <v>3.0</v>
      </c>
      <c r="H1032" s="11">
        <v>3.0</v>
      </c>
      <c r="I1032" s="11">
        <v>3.0</v>
      </c>
    </row>
    <row r="1033">
      <c r="A1033" s="10" t="s">
        <v>7430</v>
      </c>
      <c r="B1033" s="49" t="str">
        <f t="shared" si="1"/>
        <v>Drugs</v>
      </c>
      <c r="C1033" s="49" t="str">
        <f t="shared" si="2"/>
        <v>Drugs; Possession of stimulant or analog; 2nd or subs. offense</v>
      </c>
      <c r="D1033" s="49" t="str">
        <f t="shared" si="3"/>
        <v>21-5706(b)(2)</v>
      </c>
      <c r="E1033" s="11" t="s">
        <v>133</v>
      </c>
      <c r="F1033" s="11">
        <v>3.0</v>
      </c>
      <c r="G1033" s="11">
        <v>3.0</v>
      </c>
      <c r="H1033" s="11">
        <v>3.0</v>
      </c>
      <c r="I1033" s="11">
        <v>3.0</v>
      </c>
    </row>
    <row r="1034">
      <c r="A1034" s="10" t="s">
        <v>7431</v>
      </c>
      <c r="B1034" s="49" t="str">
        <f t="shared" si="1"/>
        <v>Drugs</v>
      </c>
      <c r="C1034" s="49" t="str">
        <f t="shared" si="2"/>
        <v>Drugs; Possession of substance or analog designated in subsection (g) of K.S.A. 65-4105 or subsection (c), (d), (e), (f) or (g) of K.S.A. 65-4111; 1st offense</v>
      </c>
      <c r="D1034" s="49" t="str">
        <f t="shared" si="3"/>
        <v>21-5706(b)(4)</v>
      </c>
      <c r="E1034" s="11" t="s">
        <v>133</v>
      </c>
      <c r="F1034" s="11">
        <v>3.0</v>
      </c>
      <c r="G1034" s="11">
        <v>3.0</v>
      </c>
      <c r="H1034" s="11">
        <v>3.0</v>
      </c>
      <c r="I1034" s="11">
        <v>3.0</v>
      </c>
    </row>
    <row r="1035">
      <c r="A1035" s="10" t="s">
        <v>7432</v>
      </c>
      <c r="B1035" s="49" t="str">
        <f t="shared" si="1"/>
        <v>Drugs</v>
      </c>
      <c r="C1035" s="49" t="str">
        <f t="shared" si="2"/>
        <v>Drugs; Possession of substance or analog designated in subsection (g) of K.S.A. 65-4105 or subsection (c), (d), (e), (f) or (g) of K.S.A. 65-4111; 2nd or subs. offense</v>
      </c>
      <c r="D1035" s="49" t="str">
        <f t="shared" si="3"/>
        <v>21-5706(b)(4)</v>
      </c>
      <c r="E1035" s="11" t="s">
        <v>133</v>
      </c>
      <c r="F1035" s="11">
        <v>3.0</v>
      </c>
      <c r="G1035" s="11">
        <v>3.0</v>
      </c>
      <c r="H1035" s="11">
        <v>3.0</v>
      </c>
      <c r="I1035" s="11">
        <v>3.0</v>
      </c>
    </row>
    <row r="1036">
      <c r="A1036" s="10" t="s">
        <v>7433</v>
      </c>
      <c r="B1036" s="49" t="str">
        <f t="shared" si="1"/>
        <v>Drugs</v>
      </c>
      <c r="C1036" s="49" t="str">
        <f t="shared" si="2"/>
        <v>Drugs; Purchase, receive or otherwise acquire at retail any compound, mixture or preparation containing &gt;3.6 g. of pseudoephedrine or ephedrine base within single transaction; or any compound, mixture or preparation containing more than 9 g. of pseudoephedrine or ephedrine base within 30-day period</v>
      </c>
      <c r="D1036" s="49" t="str">
        <f t="shared" si="3"/>
        <v>21-5709(d)</v>
      </c>
      <c r="E1036" s="11" t="s">
        <v>133</v>
      </c>
      <c r="F1036" s="11">
        <v>3.0</v>
      </c>
      <c r="G1036" s="11">
        <v>3.0</v>
      </c>
      <c r="H1036" s="11">
        <v>3.0</v>
      </c>
      <c r="I1036" s="11">
        <v>3.0</v>
      </c>
    </row>
    <row r="1037">
      <c r="A1037" s="10" t="s">
        <v>7434</v>
      </c>
      <c r="B1037" s="49" t="str">
        <f t="shared" si="1"/>
        <v>Drugs</v>
      </c>
      <c r="C1037" s="49" t="str">
        <f t="shared" si="2"/>
        <v>Drugs; Receive/acquire proceeds or engage in transactions involving proceeds, known to be derived from violation of K.S.A. 21-5701 through 21-5717; at least $5,000 but less than $100,000</v>
      </c>
      <c r="D1037" s="49" t="str">
        <f t="shared" si="3"/>
        <v>21-5716(a)</v>
      </c>
      <c r="E1037" s="11" t="s">
        <v>133</v>
      </c>
      <c r="F1037" s="11">
        <v>3.0</v>
      </c>
      <c r="G1037" s="11">
        <v>3.0</v>
      </c>
      <c r="H1037" s="11">
        <v>3.0</v>
      </c>
      <c r="I1037" s="11">
        <v>3.0</v>
      </c>
    </row>
    <row r="1038">
      <c r="A1038" s="10" t="s">
        <v>7435</v>
      </c>
      <c r="B1038" s="49" t="str">
        <f t="shared" si="1"/>
        <v>Drugs</v>
      </c>
      <c r="C1038" s="49" t="str">
        <f t="shared" si="2"/>
        <v>Drugs; Receive/acquire proceeds or engage in transactions involving proceeds, known to be derived from violation of K.S.A. 21-5701 through 21-5717; less than $5,000</v>
      </c>
      <c r="D1038" s="49" t="str">
        <f t="shared" si="3"/>
        <v>21-5716(a)</v>
      </c>
      <c r="E1038" s="11" t="s">
        <v>133</v>
      </c>
      <c r="F1038" s="11">
        <v>3.0</v>
      </c>
      <c r="G1038" s="11">
        <v>3.0</v>
      </c>
      <c r="H1038" s="11">
        <v>3.0</v>
      </c>
      <c r="I1038" s="11">
        <v>3.0</v>
      </c>
    </row>
    <row r="1039">
      <c r="A1039" s="10" t="s">
        <v>7436</v>
      </c>
      <c r="B1039" s="49" t="str">
        <f t="shared" si="1"/>
        <v>Drugs</v>
      </c>
      <c r="C1039" s="49" t="str">
        <f t="shared" si="2"/>
        <v>Drugs; Registration required to manufacture, distribute or dispense any controlled substance</v>
      </c>
      <c r="D1039" s="49" t="str">
        <f t="shared" si="3"/>
        <v>65-4116(a)</v>
      </c>
      <c r="E1039" s="11" t="s">
        <v>133</v>
      </c>
      <c r="F1039" s="11">
        <v>3.0</v>
      </c>
      <c r="G1039" s="11">
        <v>3.0</v>
      </c>
      <c r="H1039" s="11">
        <v>3.0</v>
      </c>
      <c r="I1039" s="11">
        <v>3.0</v>
      </c>
    </row>
    <row r="1040">
      <c r="A1040" s="10" t="s">
        <v>7437</v>
      </c>
      <c r="B1040" s="49" t="str">
        <f t="shared" si="1"/>
        <v>Drugs</v>
      </c>
      <c r="C1040" s="49" t="str">
        <f t="shared" si="2"/>
        <v>Drugs; Unlawful abuse of toxic vapors</v>
      </c>
      <c r="D1040" s="49" t="str">
        <f t="shared" si="3"/>
        <v>21-5712(a)</v>
      </c>
      <c r="E1040" s="11" t="s">
        <v>133</v>
      </c>
      <c r="F1040" s="11">
        <v>3.0</v>
      </c>
      <c r="G1040" s="11">
        <v>3.0</v>
      </c>
      <c r="H1040" s="11">
        <v>3.0</v>
      </c>
      <c r="I1040" s="11">
        <v>3.0</v>
      </c>
    </row>
    <row r="1041">
      <c r="A1041" s="10" t="s">
        <v>7438</v>
      </c>
      <c r="B1041" s="49" t="str">
        <f t="shared" si="1"/>
        <v>Drugs</v>
      </c>
      <c r="C1041" s="49" t="str">
        <f t="shared" si="2"/>
        <v>Drugs; Unlawfully Obtaining a Prescription-only Drug; distribution of a prescription order knowing it to have been made, altered or signed by a person other than a practitioner or a mid-level practitioner; 1st offense</v>
      </c>
      <c r="D1041" s="49" t="str">
        <f t="shared" si="3"/>
        <v>21-5708(a)(2)</v>
      </c>
      <c r="E1041" s="11" t="s">
        <v>133</v>
      </c>
      <c r="F1041" s="11">
        <v>3.0</v>
      </c>
      <c r="G1041" s="11">
        <v>3.0</v>
      </c>
      <c r="H1041" s="11">
        <v>3.0</v>
      </c>
      <c r="I1041" s="11">
        <v>3.0</v>
      </c>
    </row>
    <row r="1042">
      <c r="A1042" s="10" t="s">
        <v>7439</v>
      </c>
      <c r="B1042" s="49" t="str">
        <f t="shared" si="1"/>
        <v>Drugs</v>
      </c>
      <c r="C1042" s="49" t="str">
        <f t="shared" si="2"/>
        <v>Drugs; Unlawfully Obtaining a Prescription-only Drug; distribution of a prescription order knowing it to have been made, altered or signed by a person other than a practitioner or a mid-level practitioner; 2nd and subs. offense</v>
      </c>
      <c r="D1042" s="49" t="str">
        <f t="shared" si="3"/>
        <v>21-5708(a)(2)</v>
      </c>
      <c r="E1042" s="11" t="s">
        <v>133</v>
      </c>
      <c r="F1042" s="11">
        <v>3.0</v>
      </c>
      <c r="G1042" s="11">
        <v>3.0</v>
      </c>
      <c r="H1042" s="11">
        <v>3.0</v>
      </c>
      <c r="I1042" s="11">
        <v>3.0</v>
      </c>
    </row>
    <row r="1043">
      <c r="A1043" s="10" t="s">
        <v>7440</v>
      </c>
      <c r="B1043" s="49" t="str">
        <f t="shared" si="1"/>
        <v>Drugs</v>
      </c>
      <c r="C1043" s="49" t="str">
        <f t="shared" si="2"/>
        <v>Drugs; Unlawfully Obtaining a Prescription-only Drug; making, altering or signing of a prescription order by a person other than a practitioner or a mid-level practitioner; 1st offense</v>
      </c>
      <c r="D1043" s="49" t="str">
        <f t="shared" si="3"/>
        <v>21-5708(a)(1)</v>
      </c>
      <c r="E1043" s="11" t="s">
        <v>133</v>
      </c>
      <c r="F1043" s="11">
        <v>3.0</v>
      </c>
      <c r="G1043" s="11">
        <v>3.0</v>
      </c>
      <c r="H1043" s="11">
        <v>3.0</v>
      </c>
      <c r="I1043" s="11">
        <v>3.0</v>
      </c>
    </row>
    <row r="1044">
      <c r="A1044" s="10" t="s">
        <v>7441</v>
      </c>
      <c r="B1044" s="49" t="str">
        <f t="shared" si="1"/>
        <v>Drugs</v>
      </c>
      <c r="C1044" s="49" t="str">
        <f t="shared" si="2"/>
        <v>Drugs; Unlawfully Obtaining a Prescription-only Drug; making, altering or signing of a prescription order by a person other than a practitioner or a mid-level practitioner; 2nd and subs. offense</v>
      </c>
      <c r="D1044" s="49" t="str">
        <f t="shared" si="3"/>
        <v>21-5708(a)(1)</v>
      </c>
      <c r="E1044" s="11" t="s">
        <v>133</v>
      </c>
      <c r="F1044" s="11">
        <v>3.0</v>
      </c>
      <c r="G1044" s="11">
        <v>3.0</v>
      </c>
      <c r="H1044" s="11">
        <v>3.0</v>
      </c>
      <c r="I1044" s="11">
        <v>3.0</v>
      </c>
    </row>
    <row r="1045">
      <c r="A1045" s="10" t="s">
        <v>7442</v>
      </c>
      <c r="B1045" s="49" t="str">
        <f t="shared" si="1"/>
        <v>Drugs</v>
      </c>
      <c r="C1045" s="49" t="str">
        <f t="shared" si="2"/>
        <v>Drugs; Unlawfully Obtaining a Prescription-only Drug; possession of a prescription order with intent to distribute it and knowing it to have been made, altered or signed by a person other than a practitioner or a mid-level practitioner; 1st offense</v>
      </c>
      <c r="D1045" s="49" t="str">
        <f t="shared" si="3"/>
        <v>21-5708(a)(3)</v>
      </c>
      <c r="E1045" s="11" t="s">
        <v>133</v>
      </c>
      <c r="F1045" s="11">
        <v>3.0</v>
      </c>
      <c r="G1045" s="11">
        <v>3.0</v>
      </c>
      <c r="H1045" s="11">
        <v>3.0</v>
      </c>
      <c r="I1045" s="11">
        <v>3.0</v>
      </c>
    </row>
    <row r="1046">
      <c r="A1046" s="10" t="s">
        <v>7443</v>
      </c>
      <c r="B1046" s="49" t="str">
        <f t="shared" si="1"/>
        <v>Drugs</v>
      </c>
      <c r="C1046" s="49" t="str">
        <f t="shared" si="2"/>
        <v>Drugs; Unlawfully Obtaining a Prescription-only Drug; possession of a prescription order with intent to distribute it and knowing it to have been made, altered or signed by a person other than a practitioner or a mid-level practitioner; 2nd and subs. offense</v>
      </c>
      <c r="D1046" s="49" t="str">
        <f t="shared" si="3"/>
        <v>21-5708(a)(3)</v>
      </c>
      <c r="E1046" s="11" t="s">
        <v>133</v>
      </c>
      <c r="F1046" s="11">
        <v>3.0</v>
      </c>
      <c r="G1046" s="11">
        <v>3.0</v>
      </c>
      <c r="H1046" s="11">
        <v>3.0</v>
      </c>
      <c r="I1046" s="11">
        <v>3.0</v>
      </c>
    </row>
    <row r="1047">
      <c r="A1047" s="10" t="s">
        <v>7444</v>
      </c>
      <c r="B1047" s="49" t="str">
        <f t="shared" si="1"/>
        <v>Drugs</v>
      </c>
      <c r="C1047" s="49" t="str">
        <f t="shared" si="2"/>
        <v>Drugs; Unlawfully Obtaining a Prescription-only Drug; possession of a prescription-only drug knowing it to have been obtained pursuant to a prescription order made, altered or signed by a person other than a practitioner or a mid-level practitioner; 1st offense</v>
      </c>
      <c r="D1047" s="49" t="str">
        <f t="shared" si="3"/>
        <v>21-5708(a)(4)</v>
      </c>
      <c r="E1047" s="11" t="s">
        <v>133</v>
      </c>
      <c r="F1047" s="11">
        <v>3.0</v>
      </c>
      <c r="G1047" s="11">
        <v>3.0</v>
      </c>
      <c r="H1047" s="11">
        <v>3.0</v>
      </c>
      <c r="I1047" s="11">
        <v>3.0</v>
      </c>
    </row>
    <row r="1048">
      <c r="A1048" s="10" t="s">
        <v>7445</v>
      </c>
      <c r="B1048" s="49" t="str">
        <f t="shared" si="1"/>
        <v>Drugs</v>
      </c>
      <c r="C1048" s="49" t="str">
        <f t="shared" si="2"/>
        <v>Drugs; Unlawfully Obtaining a Prescription-only Drug; possession of a prescription-only drug knowing it to have been obtained pursuant to a prescription order made, altered or signed by a person other than a practitioner or a mid-level practitioner; 2nd and subs. offense</v>
      </c>
      <c r="D1048" s="49" t="str">
        <f t="shared" si="3"/>
        <v>21-5708(a)(4)</v>
      </c>
      <c r="E1048" s="11" t="s">
        <v>133</v>
      </c>
      <c r="F1048" s="11">
        <v>3.0</v>
      </c>
      <c r="G1048" s="11">
        <v>3.0</v>
      </c>
      <c r="H1048" s="11">
        <v>3.0</v>
      </c>
      <c r="I1048" s="11">
        <v>3.0</v>
      </c>
    </row>
    <row r="1049">
      <c r="A1049" s="10" t="s">
        <v>7446</v>
      </c>
      <c r="B1049" s="49" t="str">
        <f t="shared" si="1"/>
        <v>Drugs</v>
      </c>
      <c r="C1049" s="49" t="str">
        <f t="shared" si="2"/>
        <v>Drugs; Unlawfully Obtaining a Prescription-only Drug; providing false information with intent to deceive to a practitioner or mid-level practitioner for the purpose of obtaining a prescription-only drug; 1st offense</v>
      </c>
      <c r="D1049" s="49" t="str">
        <f t="shared" si="3"/>
        <v>21-5708(a)(5)</v>
      </c>
      <c r="E1049" s="11" t="s">
        <v>133</v>
      </c>
      <c r="F1049" s="11">
        <v>3.0</v>
      </c>
      <c r="G1049" s="11">
        <v>3.0</v>
      </c>
      <c r="H1049" s="11">
        <v>3.0</v>
      </c>
      <c r="I1049" s="11">
        <v>3.0</v>
      </c>
    </row>
    <row r="1050">
      <c r="A1050" s="10" t="s">
        <v>7447</v>
      </c>
      <c r="B1050" s="49" t="str">
        <f t="shared" si="1"/>
        <v>Drugs</v>
      </c>
      <c r="C1050" s="49" t="str">
        <f t="shared" si="2"/>
        <v>Drugs; Unlawfully Obtaining a Prescription-only Drug; providing false information with intent to deceive to a practitioner or mid-level practitioner for the purpose of obtaining a prescription-only drug; 2nd and subs. offense</v>
      </c>
      <c r="D1050" s="49" t="str">
        <f t="shared" si="3"/>
        <v>21-5708(a)(5)</v>
      </c>
      <c r="E1050" s="11" t="s">
        <v>133</v>
      </c>
      <c r="F1050" s="11">
        <v>3.0</v>
      </c>
      <c r="G1050" s="11">
        <v>3.0</v>
      </c>
      <c r="H1050" s="11">
        <v>3.0</v>
      </c>
      <c r="I1050" s="11">
        <v>3.0</v>
      </c>
    </row>
    <row r="1051">
      <c r="A1051" s="10" t="s">
        <v>7448</v>
      </c>
      <c r="B1051" s="49" t="str">
        <f t="shared" si="1"/>
        <v>Drugs</v>
      </c>
      <c r="C1051" s="49" t="str">
        <f t="shared" si="2"/>
        <v>Drugs; Unlawfully Selling a Prescription-only Drug; obtaining and offering for sale the prescription-only drug so obtained</v>
      </c>
      <c r="D1051" s="49" t="str">
        <f t="shared" si="3"/>
        <v>21-5708(b)(2)</v>
      </c>
      <c r="E1051" s="11" t="s">
        <v>133</v>
      </c>
      <c r="F1051" s="11">
        <v>3.0</v>
      </c>
      <c r="G1051" s="11">
        <v>3.0</v>
      </c>
      <c r="H1051" s="11">
        <v>3.0</v>
      </c>
      <c r="I1051" s="11">
        <v>3.0</v>
      </c>
    </row>
    <row r="1052">
      <c r="A1052" s="10" t="s">
        <v>7449</v>
      </c>
      <c r="B1052" s="49" t="str">
        <f t="shared" si="1"/>
        <v>Drugs</v>
      </c>
      <c r="C1052" s="49" t="str">
        <f t="shared" si="2"/>
        <v>Drugs; Unlawfully Selling a Prescription-only Drug; obtaining and possessing with intent to sell the prescription-only drug so obtained</v>
      </c>
      <c r="D1052" s="49" t="str">
        <f t="shared" si="3"/>
        <v>21-5708(b)(3)</v>
      </c>
      <c r="E1052" s="11" t="s">
        <v>133</v>
      </c>
      <c r="F1052" s="11">
        <v>3.0</v>
      </c>
      <c r="G1052" s="11">
        <v>3.0</v>
      </c>
      <c r="H1052" s="11">
        <v>3.0</v>
      </c>
      <c r="I1052" s="11">
        <v>3.0</v>
      </c>
    </row>
    <row r="1053">
      <c r="A1053" s="10" t="s">
        <v>7450</v>
      </c>
      <c r="B1053" s="49" t="str">
        <f t="shared" si="1"/>
        <v>Drugs</v>
      </c>
      <c r="C1053" s="49" t="str">
        <f t="shared" si="2"/>
        <v>Drugs; Unlawfully Selling a Prescription-only Drug; obtaining and selling the prescription-only drug so obtained</v>
      </c>
      <c r="D1053" s="49" t="str">
        <f t="shared" si="3"/>
        <v>21-5708(b)(1)</v>
      </c>
      <c r="E1053" s="11" t="s">
        <v>133</v>
      </c>
      <c r="F1053" s="11">
        <v>3.0</v>
      </c>
      <c r="G1053" s="11">
        <v>3.0</v>
      </c>
      <c r="H1053" s="11">
        <v>3.0</v>
      </c>
      <c r="I1053" s="11">
        <v>3.0</v>
      </c>
    </row>
    <row r="1054">
      <c r="A1054" s="10" t="s">
        <v>7451</v>
      </c>
      <c r="B1054" s="49" t="str">
        <f t="shared" si="1"/>
        <v>Drugs</v>
      </c>
      <c r="C1054" s="49" t="str">
        <f t="shared" si="2"/>
        <v>Drugs; Use or possess with intent to use any simulated controlled substance</v>
      </c>
      <c r="D1054" s="49" t="str">
        <f t="shared" si="3"/>
        <v>21-5713(b)</v>
      </c>
      <c r="E1054" s="11" t="s">
        <v>133</v>
      </c>
      <c r="F1054" s="11">
        <v>3.0</v>
      </c>
      <c r="G1054" s="11">
        <v>3.0</v>
      </c>
      <c r="H1054" s="11">
        <v>3.0</v>
      </c>
      <c r="I1054" s="11">
        <v>3.0</v>
      </c>
    </row>
    <row r="1055">
      <c r="A1055" s="10" t="s">
        <v>7452</v>
      </c>
      <c r="B1055" s="49" t="str">
        <f t="shared" si="1"/>
        <v>Drugs</v>
      </c>
      <c r="C1055" s="49" t="str">
        <f t="shared" si="2"/>
        <v>Drugs; Use or possess with intent to use drug paraphernalia to store, contain, conceal, inject, ingest, inhale or otherwise introduce a controlled substance into the human body</v>
      </c>
      <c r="D1055" s="49" t="str">
        <f t="shared" si="3"/>
        <v>21-5709(b)(2)</v>
      </c>
      <c r="E1055" s="11" t="s">
        <v>133</v>
      </c>
      <c r="F1055" s="11">
        <v>3.0</v>
      </c>
      <c r="G1055" s="11">
        <v>3.0</v>
      </c>
      <c r="H1055" s="11">
        <v>3.0</v>
      </c>
      <c r="I1055" s="11">
        <v>3.0</v>
      </c>
    </row>
    <row r="1056">
      <c r="A1056" s="10" t="s">
        <v>7453</v>
      </c>
      <c r="B1056" s="49" t="str">
        <f t="shared" si="1"/>
        <v>Drugs</v>
      </c>
      <c r="C1056" s="49" t="str">
        <f t="shared" si="2"/>
        <v>Drugs; Use or possession of paraphernalia with intent to use to manufacture, cultivate, plant, propagate, harvest, test, analyze or distribute a controlled substance; used to cultivate five or more marijuana plants</v>
      </c>
      <c r="D1056" s="49" t="str">
        <f t="shared" si="3"/>
        <v>21-5709(b)(1)</v>
      </c>
      <c r="E1056" s="11" t="s">
        <v>133</v>
      </c>
      <c r="F1056" s="11">
        <v>3.0</v>
      </c>
      <c r="G1056" s="11">
        <v>3.0</v>
      </c>
      <c r="H1056" s="11">
        <v>3.0</v>
      </c>
      <c r="I1056" s="11">
        <v>3.0</v>
      </c>
    </row>
    <row r="1057">
      <c r="A1057" s="10" t="s">
        <v>7454</v>
      </c>
      <c r="B1057" s="49" t="str">
        <f t="shared" si="1"/>
        <v>Drugs</v>
      </c>
      <c r="C1057" s="49" t="str">
        <f t="shared" si="2"/>
        <v>Drugs; Use or possession of paraphernalia with intent to use to manufacture, cultivate, plant, propagate, harvest, test, analyze or distribute a controlled substance; used to cultivated fewer than five marijuana plants</v>
      </c>
      <c r="D1057" s="49" t="str">
        <f t="shared" si="3"/>
        <v>21-5709(b)(1)</v>
      </c>
      <c r="E1057" s="11" t="s">
        <v>133</v>
      </c>
      <c r="F1057" s="11">
        <v>3.0</v>
      </c>
      <c r="G1057" s="11">
        <v>3.0</v>
      </c>
      <c r="H1057" s="11">
        <v>3.0</v>
      </c>
      <c r="I1057" s="11">
        <v>3.0</v>
      </c>
    </row>
    <row r="1058">
      <c r="A1058" s="10" t="s">
        <v>7455</v>
      </c>
      <c r="B1058" s="49" t="str">
        <f t="shared" si="1"/>
        <v>DUI Provisions</v>
      </c>
      <c r="C1058" s="49" t="str">
        <f t="shared" si="2"/>
        <v>DUI Provisions; Blow into ignition interlock device to allow person required to operate vehicle with device to pass</v>
      </c>
      <c r="D1058" s="49" t="str">
        <f t="shared" si="3"/>
        <v>8-1017(a)(3)</v>
      </c>
      <c r="E1058" s="11" t="s">
        <v>133</v>
      </c>
      <c r="F1058" s="11">
        <v>3.0</v>
      </c>
      <c r="G1058" s="11">
        <v>3.0</v>
      </c>
      <c r="H1058" s="11">
        <v>3.0</v>
      </c>
      <c r="I1058" s="11">
        <v>3.0</v>
      </c>
    </row>
    <row r="1059">
      <c r="A1059" s="10" t="s">
        <v>7456</v>
      </c>
      <c r="B1059" s="49" t="str">
        <f t="shared" si="1"/>
        <v>DUI Provisions</v>
      </c>
      <c r="C1059" s="49" t="str">
        <f t="shared" si="2"/>
        <v>DUI Provisions; Operate vehicle with no ignition interlock device during restrictive period</v>
      </c>
      <c r="D1059" s="49" t="str">
        <f t="shared" si="3"/>
        <v>8-1017(a)(4)</v>
      </c>
      <c r="E1059" s="11" t="s">
        <v>133</v>
      </c>
      <c r="F1059" s="11">
        <v>3.0</v>
      </c>
      <c r="G1059" s="11">
        <v>3.0</v>
      </c>
      <c r="H1059" s="11">
        <v>3.0</v>
      </c>
      <c r="I1059" s="11">
        <v>3.0</v>
      </c>
    </row>
    <row r="1060">
      <c r="A1060" s="10" t="s">
        <v>7457</v>
      </c>
      <c r="B1060" s="49" t="str">
        <f t="shared" si="1"/>
        <v>DUI Provisions</v>
      </c>
      <c r="C1060" s="49" t="str">
        <f t="shared" si="2"/>
        <v>DUI Provisions; Permitting operation of vehicle by one whose license is suspended pursuant to 8-1014 (refusal / failure of DUI test)</v>
      </c>
      <c r="D1060" s="49" t="str">
        <f t="shared" si="3"/>
        <v>8-1022(a)</v>
      </c>
      <c r="E1060" s="11" t="s">
        <v>133</v>
      </c>
      <c r="F1060" s="11">
        <v>3.0</v>
      </c>
      <c r="G1060" s="11">
        <v>3.0</v>
      </c>
      <c r="H1060" s="11">
        <v>3.0</v>
      </c>
      <c r="I1060" s="11">
        <v>3.0</v>
      </c>
    </row>
    <row r="1061">
      <c r="A1061" s="10" t="s">
        <v>7458</v>
      </c>
      <c r="B1061" s="49" t="str">
        <f t="shared" si="1"/>
        <v>DUI Provisions</v>
      </c>
      <c r="C1061" s="49" t="str">
        <f t="shared" si="2"/>
        <v>DUI Provisions; Requesting another to blow into ignition interlock device</v>
      </c>
      <c r="D1061" s="49" t="str">
        <f t="shared" si="3"/>
        <v>8-1017(a)(2)</v>
      </c>
      <c r="E1061" s="11" t="s">
        <v>133</v>
      </c>
      <c r="F1061" s="11">
        <v>3.0</v>
      </c>
      <c r="G1061" s="11">
        <v>3.0</v>
      </c>
      <c r="H1061" s="11">
        <v>3.0</v>
      </c>
      <c r="I1061" s="11">
        <v>3.0</v>
      </c>
    </row>
    <row r="1062">
      <c r="A1062" s="10" t="s">
        <v>7459</v>
      </c>
      <c r="B1062" s="49" t="str">
        <f t="shared" si="1"/>
        <v>DUI Provisions</v>
      </c>
      <c r="C1062" s="49" t="str">
        <f t="shared" si="2"/>
        <v>DUI Provisions; Tampering with an ignition interlock device</v>
      </c>
      <c r="D1062" s="49" t="str">
        <f t="shared" si="3"/>
        <v>8-1017(a)(1)</v>
      </c>
      <c r="E1062" s="11" t="s">
        <v>133</v>
      </c>
      <c r="F1062" s="11">
        <v>3.0</v>
      </c>
      <c r="G1062" s="11">
        <v>3.0</v>
      </c>
      <c r="H1062" s="11">
        <v>3.0</v>
      </c>
      <c r="I1062" s="11">
        <v>3.0</v>
      </c>
    </row>
    <row r="1063">
      <c r="A1063" s="10" t="s">
        <v>7460</v>
      </c>
      <c r="B1063" s="49" t="str">
        <f t="shared" si="1"/>
        <v>DUI Provisions</v>
      </c>
      <c r="C1063" s="49" t="str">
        <f t="shared" si="2"/>
        <v>DUI Provisions; Test Refusal or Failure; signing a certification submitted to the division knowing it contains a false statement</v>
      </c>
      <c r="D1063" s="49" t="str">
        <f t="shared" si="3"/>
        <v>8-1002(b)</v>
      </c>
      <c r="E1063" s="11" t="s">
        <v>133</v>
      </c>
      <c r="F1063" s="11">
        <v>3.0</v>
      </c>
      <c r="G1063" s="11">
        <v>3.0</v>
      </c>
      <c r="H1063" s="11">
        <v>3.0</v>
      </c>
      <c r="I1063" s="11">
        <v>3.0</v>
      </c>
    </row>
    <row r="1064">
      <c r="A1064" s="10" t="s">
        <v>7461</v>
      </c>
      <c r="B1064" s="49" t="str">
        <f t="shared" si="1"/>
        <v>DUI Provisions</v>
      </c>
      <c r="C1064" s="49" t="str">
        <f t="shared" si="2"/>
        <v>DUI Provisions; Tests for Alcohol or Drugs; signing a certification submitted to the division knowing it contains a false statement</v>
      </c>
      <c r="D1064" s="49" t="str">
        <f t="shared" si="3"/>
        <v>8-2,145(d)</v>
      </c>
      <c r="E1064" s="11" t="s">
        <v>133</v>
      </c>
      <c r="F1064" s="11">
        <v>3.0</v>
      </c>
      <c r="G1064" s="11">
        <v>3.0</v>
      </c>
      <c r="H1064" s="11">
        <v>3.0</v>
      </c>
      <c r="I1064" s="11">
        <v>3.0</v>
      </c>
    </row>
    <row r="1065">
      <c r="A1065" s="10" t="s">
        <v>7462</v>
      </c>
      <c r="B1065" s="49" t="str">
        <f t="shared" si="1"/>
        <v>Egg Law</v>
      </c>
      <c r="C1065" s="49" t="str">
        <f t="shared" si="2"/>
        <v>Egg Law; Advertise eggs in a manner indicating price without also indicating the designation of size and quality</v>
      </c>
      <c r="D1065" s="49" t="str">
        <f t="shared" si="3"/>
        <v>2-2503(e)</v>
      </c>
      <c r="E1065" s="11" t="s">
        <v>133</v>
      </c>
      <c r="F1065" s="11">
        <v>3.0</v>
      </c>
      <c r="G1065" s="11">
        <v>3.0</v>
      </c>
      <c r="H1065" s="11">
        <v>3.0</v>
      </c>
      <c r="I1065" s="11">
        <v>3.0</v>
      </c>
    </row>
    <row r="1066">
      <c r="A1066" s="10" t="s">
        <v>7463</v>
      </c>
      <c r="B1066" s="49" t="str">
        <f t="shared" si="1"/>
        <v>Egg Law</v>
      </c>
      <c r="C1066" s="49" t="str">
        <f t="shared" si="2"/>
        <v>Egg Law; Engage in the business of purchasing eggs without conspicuously posting in such place of business the prices which are being paid for each of the various grades of eggs</v>
      </c>
      <c r="D1066" s="49" t="str">
        <f t="shared" si="3"/>
        <v>2-2503(l)</v>
      </c>
      <c r="E1066" s="11" t="s">
        <v>133</v>
      </c>
      <c r="F1066" s="11">
        <v>3.0</v>
      </c>
      <c r="G1066" s="11">
        <v>3.0</v>
      </c>
      <c r="H1066" s="11">
        <v>3.0</v>
      </c>
      <c r="I1066" s="11">
        <v>3.0</v>
      </c>
    </row>
    <row r="1067">
      <c r="A1067" s="10" t="s">
        <v>7464</v>
      </c>
      <c r="B1067" s="49" t="str">
        <f t="shared" si="1"/>
        <v>Egg Law</v>
      </c>
      <c r="C1067" s="49" t="str">
        <f t="shared" si="2"/>
        <v>Egg Law; Fail or neglect to file the quarterly inspection fee report and pay the inspection fee due; file a false quarterly inspection fee report of the quantity of eggs sold during any period</v>
      </c>
      <c r="D1067" s="49" t="str">
        <f t="shared" si="3"/>
        <v>2-2503(j)</v>
      </c>
      <c r="E1067" s="11" t="s">
        <v>133</v>
      </c>
      <c r="F1067" s="11">
        <v>3.0</v>
      </c>
      <c r="G1067" s="11">
        <v>3.0</v>
      </c>
      <c r="H1067" s="11">
        <v>3.0</v>
      </c>
      <c r="I1067" s="11">
        <v>3.0</v>
      </c>
    </row>
    <row r="1068">
      <c r="A1068" s="10" t="s">
        <v>7465</v>
      </c>
      <c r="B1068" s="49" t="str">
        <f t="shared" si="1"/>
        <v>Egg Law</v>
      </c>
      <c r="C1068" s="49" t="str">
        <f t="shared" si="2"/>
        <v>Egg Law; Fail to mark all containers with official United States or Kansas grade AA, A or B identification with label to indicate that refrigeration is required</v>
      </c>
      <c r="D1068" s="49" t="str">
        <f t="shared" si="3"/>
        <v>2-2503(n)</v>
      </c>
      <c r="E1068" s="11" t="s">
        <v>133</v>
      </c>
      <c r="F1068" s="11">
        <v>3.0</v>
      </c>
      <c r="G1068" s="11">
        <v>3.0</v>
      </c>
      <c r="H1068" s="11">
        <v>3.0</v>
      </c>
      <c r="I1068" s="11">
        <v>3.0</v>
      </c>
    </row>
    <row r="1069">
      <c r="A1069" s="10" t="s">
        <v>7466</v>
      </c>
      <c r="B1069" s="49" t="str">
        <f t="shared" si="1"/>
        <v>Egg Law</v>
      </c>
      <c r="C1069" s="49" t="str">
        <f t="shared" si="2"/>
        <v>Egg Law; Falsely or deceptively label, advertise or invoice eggs</v>
      </c>
      <c r="D1069" s="49" t="str">
        <f t="shared" si="3"/>
        <v>2-2503(d)</v>
      </c>
      <c r="E1069" s="11" t="s">
        <v>133</v>
      </c>
      <c r="F1069" s="11">
        <v>3.0</v>
      </c>
      <c r="G1069" s="11">
        <v>3.0</v>
      </c>
      <c r="H1069" s="11">
        <v>3.0</v>
      </c>
      <c r="I1069" s="11">
        <v>3.0</v>
      </c>
    </row>
    <row r="1070">
      <c r="A1070" s="10" t="s">
        <v>7467</v>
      </c>
      <c r="B1070" s="49" t="str">
        <f t="shared" si="1"/>
        <v>Egg Law</v>
      </c>
      <c r="C1070" s="49" t="str">
        <f t="shared" si="2"/>
        <v>Egg Law; Grade eggs for size and quality for subs. resale to food purveyors, retailers or consumers without registering such purveyor's, retailer's or consumer's place of business</v>
      </c>
      <c r="D1070" s="49" t="str">
        <f t="shared" si="3"/>
        <v>2-2503(i)</v>
      </c>
      <c r="E1070" s="11" t="s">
        <v>133</v>
      </c>
      <c r="F1070" s="11">
        <v>3.0</v>
      </c>
      <c r="G1070" s="11">
        <v>3.0</v>
      </c>
      <c r="H1070" s="11">
        <v>3.0</v>
      </c>
      <c r="I1070" s="11">
        <v>3.0</v>
      </c>
    </row>
    <row r="1071">
      <c r="A1071" s="10" t="s">
        <v>7468</v>
      </c>
      <c r="B1071" s="49" t="str">
        <f t="shared" si="1"/>
        <v>Egg Law</v>
      </c>
      <c r="C1071" s="49" t="str">
        <f t="shared" si="2"/>
        <v>Egg Law; Hold eggs for human consumption at an ambient temperature higher than 45 degrees Fahrenheit after being received at the point of first purchase or assembly</v>
      </c>
      <c r="D1071" s="49" t="str">
        <f t="shared" si="3"/>
        <v>2-2503(f)</v>
      </c>
      <c r="E1071" s="11" t="s">
        <v>133</v>
      </c>
      <c r="F1071" s="11">
        <v>3.0</v>
      </c>
      <c r="G1071" s="11">
        <v>3.0</v>
      </c>
      <c r="H1071" s="11">
        <v>3.0</v>
      </c>
      <c r="I1071" s="11">
        <v>3.0</v>
      </c>
    </row>
    <row r="1072">
      <c r="A1072" s="10" t="s">
        <v>7469</v>
      </c>
      <c r="B1072" s="49" t="str">
        <f t="shared" si="1"/>
        <v>Egg Law</v>
      </c>
      <c r="C1072" s="49" t="str">
        <f t="shared" si="2"/>
        <v>Egg Law; Offer eggs for sale that have not been candled and graded</v>
      </c>
      <c r="D1072" s="49" t="str">
        <f t="shared" si="3"/>
        <v>2-2503(m)</v>
      </c>
      <c r="E1072" s="11" t="s">
        <v>133</v>
      </c>
      <c r="F1072" s="11">
        <v>3.0</v>
      </c>
      <c r="G1072" s="11">
        <v>3.0</v>
      </c>
      <c r="H1072" s="11">
        <v>3.0</v>
      </c>
      <c r="I1072" s="11">
        <v>3.0</v>
      </c>
    </row>
    <row r="1073">
      <c r="A1073" s="10" t="s">
        <v>7470</v>
      </c>
      <c r="B1073" s="49" t="str">
        <f t="shared" si="1"/>
        <v>Egg Law</v>
      </c>
      <c r="C1073" s="49" t="str">
        <f t="shared" si="2"/>
        <v>Egg Law; Refuse entry to any authorized inspector or employee of the department for the purpose of making inspections under the provisions of this act</v>
      </c>
      <c r="D1073" s="49" t="str">
        <f t="shared" si="3"/>
        <v>2-2503(k)</v>
      </c>
      <c r="E1073" s="11" t="s">
        <v>133</v>
      </c>
      <c r="F1073" s="11">
        <v>3.0</v>
      </c>
      <c r="G1073" s="11">
        <v>3.0</v>
      </c>
      <c r="H1073" s="11">
        <v>3.0</v>
      </c>
      <c r="I1073" s="11">
        <v>3.0</v>
      </c>
    </row>
    <row r="1074">
      <c r="A1074" s="10" t="s">
        <v>7471</v>
      </c>
      <c r="B1074" s="49" t="str">
        <f t="shared" si="1"/>
        <v>Egg Law</v>
      </c>
      <c r="C1074" s="49" t="str">
        <f t="shared" si="2"/>
        <v>Egg Law; Sale of eggs below the quality of "Grade B" to food purveyors or consumers</v>
      </c>
      <c r="D1074" s="49" t="str">
        <f t="shared" si="3"/>
        <v>2-2503(a)</v>
      </c>
      <c r="E1074" s="11" t="s">
        <v>133</v>
      </c>
      <c r="F1074" s="11">
        <v>3.0</v>
      </c>
      <c r="G1074" s="11">
        <v>3.0</v>
      </c>
      <c r="H1074" s="11">
        <v>3.0</v>
      </c>
      <c r="I1074" s="11">
        <v>3.0</v>
      </c>
    </row>
    <row r="1075">
      <c r="A1075" s="10" t="s">
        <v>7472</v>
      </c>
      <c r="B1075" s="49" t="str">
        <f t="shared" si="1"/>
        <v>Egg Law</v>
      </c>
      <c r="C1075" s="49" t="str">
        <f t="shared" si="2"/>
        <v>Egg Law; Sale of eggs to food purveyors/ consumers if not labeled to indicate size/quality</v>
      </c>
      <c r="D1075" s="49" t="str">
        <f t="shared" si="3"/>
        <v>2-2503(b)</v>
      </c>
      <c r="E1075" s="11" t="s">
        <v>133</v>
      </c>
      <c r="F1075" s="11">
        <v>3.0</v>
      </c>
      <c r="G1075" s="11">
        <v>3.0</v>
      </c>
      <c r="H1075" s="11">
        <v>3.0</v>
      </c>
      <c r="I1075" s="11">
        <v>3.0</v>
      </c>
    </row>
    <row r="1076">
      <c r="A1076" s="10" t="s">
        <v>7473</v>
      </c>
      <c r="B1076" s="49" t="str">
        <f t="shared" si="1"/>
        <v>Egg Law</v>
      </c>
      <c r="C1076" s="49" t="str">
        <f t="shared" si="2"/>
        <v>Egg Law; Sell eggs to food purveyors/ consumers without indicating on the container, the name of either dealer, retailer, food purveyor or agent by or for whom the eggs were graded or labeled</v>
      </c>
      <c r="D1076" s="49" t="str">
        <f t="shared" si="3"/>
        <v>2-2503(c)</v>
      </c>
      <c r="E1076" s="11" t="s">
        <v>133</v>
      </c>
      <c r="F1076" s="11">
        <v>3.0</v>
      </c>
      <c r="G1076" s="11">
        <v>3.0</v>
      </c>
      <c r="H1076" s="11">
        <v>3.0</v>
      </c>
      <c r="I1076" s="11">
        <v>3.0</v>
      </c>
    </row>
    <row r="1077">
      <c r="A1077" s="10" t="s">
        <v>7474</v>
      </c>
      <c r="B1077" s="49" t="str">
        <f t="shared" si="1"/>
        <v>Egg Law</v>
      </c>
      <c r="C1077" s="49" t="str">
        <f t="shared" si="2"/>
        <v>Egg Law; Sell to food purveyors/consumers eggs in a container not bearing an inspection fee stamp showing that the inspection fee has been paid thereon, unless exempt</v>
      </c>
      <c r="D1077" s="49" t="str">
        <f t="shared" si="3"/>
        <v>2-2503(g)</v>
      </c>
      <c r="E1077" s="11" t="s">
        <v>133</v>
      </c>
      <c r="F1077" s="11">
        <v>3.0</v>
      </c>
      <c r="G1077" s="11">
        <v>3.0</v>
      </c>
      <c r="H1077" s="11">
        <v>3.0</v>
      </c>
      <c r="I1077" s="11">
        <v>3.0</v>
      </c>
    </row>
    <row r="1078">
      <c r="A1078" s="10" t="s">
        <v>7475</v>
      </c>
      <c r="B1078" s="49" t="str">
        <f t="shared" si="1"/>
        <v>Egg Law</v>
      </c>
      <c r="C1078" s="49" t="str">
        <f t="shared" si="2"/>
        <v>Egg Law; Use an inspection fee stamp more than once; use of a counterfeit inspection fee stamp</v>
      </c>
      <c r="D1078" s="49" t="str">
        <f t="shared" si="3"/>
        <v>2-2503(h)</v>
      </c>
      <c r="E1078" s="11" t="s">
        <v>133</v>
      </c>
      <c r="F1078" s="11">
        <v>3.0</v>
      </c>
      <c r="G1078" s="11">
        <v>3.0</v>
      </c>
      <c r="H1078" s="11">
        <v>3.0</v>
      </c>
      <c r="I1078" s="11">
        <v>3.0</v>
      </c>
    </row>
    <row r="1079">
      <c r="A1079" s="10" t="s">
        <v>7476</v>
      </c>
      <c r="B1079" s="49" t="str">
        <f t="shared" si="1"/>
        <v>Elections</v>
      </c>
      <c r="C1079" s="49" t="str">
        <f t="shared" si="2"/>
        <v>Elections; Advance voting suppression; knowingly acting in a prohibited manner with intent to impede, obstruct or exert undue influence on the election process</v>
      </c>
      <c r="D1079" s="49" t="str">
        <f t="shared" si="3"/>
        <v>25-2433</v>
      </c>
      <c r="E1079" s="11" t="s">
        <v>133</v>
      </c>
      <c r="F1079" s="11">
        <v>3.0</v>
      </c>
      <c r="G1079" s="11">
        <v>3.0</v>
      </c>
      <c r="H1079" s="11">
        <v>3.0</v>
      </c>
      <c r="I1079" s="11">
        <v>3.0</v>
      </c>
    </row>
    <row r="1080">
      <c r="A1080" s="10" t="s">
        <v>7477</v>
      </c>
      <c r="B1080" s="49" t="str">
        <f t="shared" si="1"/>
        <v>Elections</v>
      </c>
      <c r="C1080" s="49" t="str">
        <f t="shared" si="2"/>
        <v>Elections; Authorized poll agent; any violation of this section</v>
      </c>
      <c r="D1080" s="49" t="str">
        <f t="shared" si="3"/>
        <v>25-3005a</v>
      </c>
      <c r="E1080" s="11" t="s">
        <v>133</v>
      </c>
      <c r="F1080" s="11">
        <v>3.0</v>
      </c>
      <c r="G1080" s="11">
        <v>3.0</v>
      </c>
      <c r="H1080" s="11">
        <v>3.0</v>
      </c>
      <c r="I1080" s="11">
        <v>3.0</v>
      </c>
    </row>
    <row r="1081">
      <c r="A1081" s="10" t="s">
        <v>7478</v>
      </c>
      <c r="B1081" s="49" t="str">
        <f t="shared" si="1"/>
        <v>Elections</v>
      </c>
      <c r="C1081" s="49" t="str">
        <f t="shared" si="2"/>
        <v>Elections; Bribe acceptance by an election official</v>
      </c>
      <c r="D1081" s="49" t="str">
        <f t="shared" si="3"/>
        <v>25-2418</v>
      </c>
      <c r="E1081" s="11" t="s">
        <v>133</v>
      </c>
      <c r="F1081" s="11">
        <v>3.0</v>
      </c>
      <c r="G1081" s="11">
        <v>3.0</v>
      </c>
      <c r="H1081" s="11">
        <v>3.0</v>
      </c>
      <c r="I1081" s="11">
        <v>3.0</v>
      </c>
    </row>
    <row r="1082">
      <c r="A1082" s="10" t="s">
        <v>7479</v>
      </c>
      <c r="B1082" s="49" t="str">
        <f t="shared" si="1"/>
        <v>Elections</v>
      </c>
      <c r="C1082" s="49" t="str">
        <f t="shared" si="2"/>
        <v>Elections; Bribery of an election official</v>
      </c>
      <c r="D1082" s="49" t="str">
        <f t="shared" si="3"/>
        <v>25-2417</v>
      </c>
      <c r="E1082" s="11" t="s">
        <v>133</v>
      </c>
      <c r="F1082" s="11">
        <v>3.0</v>
      </c>
      <c r="G1082" s="11">
        <v>3.0</v>
      </c>
      <c r="H1082" s="11">
        <v>3.0</v>
      </c>
      <c r="I1082" s="11">
        <v>3.0</v>
      </c>
    </row>
    <row r="1083">
      <c r="A1083" s="10" t="s">
        <v>7480</v>
      </c>
      <c r="B1083" s="49" t="str">
        <f t="shared" si="1"/>
        <v>Elections</v>
      </c>
      <c r="C1083" s="49" t="str">
        <f t="shared" si="2"/>
        <v>Elections; Bribery to induce signing of nomination papers; knowingly accepting any benefit, property or thing of value, as consideration for signing any nomination paper</v>
      </c>
      <c r="D1083" s="49" t="str">
        <f t="shared" si="3"/>
        <v>25-2410(b)</v>
      </c>
      <c r="E1083" s="11" t="s">
        <v>133</v>
      </c>
      <c r="F1083" s="11">
        <v>3.0</v>
      </c>
      <c r="G1083" s="11">
        <v>3.0</v>
      </c>
      <c r="H1083" s="11">
        <v>3.0</v>
      </c>
      <c r="I1083" s="11">
        <v>3.0</v>
      </c>
    </row>
    <row r="1084">
      <c r="A1084" s="10" t="s">
        <v>7481</v>
      </c>
      <c r="B1084" s="49" t="str">
        <f t="shared" si="1"/>
        <v>Elections</v>
      </c>
      <c r="C1084" s="49" t="str">
        <f t="shared" si="2"/>
        <v>Elections; Bribery to induce signing of nomination papers; knowingly offering any benefit, property or thing of value to any person to induce him to sign any nomination paper</v>
      </c>
      <c r="D1084" s="49" t="str">
        <f t="shared" si="3"/>
        <v>25-2410(a)</v>
      </c>
      <c r="E1084" s="11" t="s">
        <v>133</v>
      </c>
      <c r="F1084" s="11">
        <v>3.0</v>
      </c>
      <c r="G1084" s="11">
        <v>3.0</v>
      </c>
      <c r="H1084" s="11">
        <v>3.0</v>
      </c>
      <c r="I1084" s="11">
        <v>3.0</v>
      </c>
    </row>
    <row r="1085">
      <c r="A1085" s="10" t="s">
        <v>7482</v>
      </c>
      <c r="B1085" s="49" t="str">
        <f t="shared" si="1"/>
        <v>Elections</v>
      </c>
      <c r="C1085" s="49" t="str">
        <f t="shared" si="2"/>
        <v>Elections; Bribery; confer, offer or agree to confer, or solicit, accept or agree to accept any benefit as consideration to or from any person either to vote or withhold any person's vote, or to vote for or against any candidate or question submitted at any public election</v>
      </c>
      <c r="D1085" s="49" t="str">
        <f t="shared" si="3"/>
        <v>25-2409</v>
      </c>
      <c r="E1085" s="11" t="s">
        <v>133</v>
      </c>
      <c r="F1085" s="11">
        <v>3.0</v>
      </c>
      <c r="G1085" s="11">
        <v>3.0</v>
      </c>
      <c r="H1085" s="11">
        <v>3.0</v>
      </c>
      <c r="I1085" s="11">
        <v>3.0</v>
      </c>
    </row>
    <row r="1086">
      <c r="A1086" s="10" t="s">
        <v>7483</v>
      </c>
      <c r="B1086" s="49" t="str">
        <f t="shared" si="1"/>
        <v>Elections</v>
      </c>
      <c r="C1086" s="49" t="str">
        <f t="shared" si="2"/>
        <v>Elections; Candidate's receiving and expending less than $500, affidavit of intent; candidates exceeding $500 limit, report; report of contributions exceeding $50 and statement of expenditures and obligations incurred</v>
      </c>
      <c r="D1086" s="49" t="str">
        <f t="shared" si="3"/>
        <v>25-904</v>
      </c>
      <c r="E1086" s="11" t="s">
        <v>133</v>
      </c>
      <c r="F1086" s="11">
        <v>3.0</v>
      </c>
      <c r="G1086" s="11">
        <v>3.0</v>
      </c>
      <c r="H1086" s="11">
        <v>3.0</v>
      </c>
      <c r="I1086" s="11">
        <v>3.0</v>
      </c>
    </row>
    <row r="1087">
      <c r="A1087" s="10" t="s">
        <v>7484</v>
      </c>
      <c r="B1087" s="49" t="str">
        <f t="shared" si="1"/>
        <v>Elections</v>
      </c>
      <c r="C1087" s="49" t="str">
        <f t="shared" si="2"/>
        <v>Elections; Corrupt political advertising; broadcast by radio or TV any paid matter designed to aid, injure or defeat any candidate for nomination or election to public office, without including that it was an advertisement and the name of the chairman of the organization or the person responsible therefor</v>
      </c>
      <c r="D1087" s="49" t="str">
        <f t="shared" si="3"/>
        <v>25-2407(a)(2)</v>
      </c>
      <c r="E1087" s="11" t="s">
        <v>133</v>
      </c>
      <c r="F1087" s="11">
        <v>3.0</v>
      </c>
      <c r="G1087" s="11">
        <v>3.0</v>
      </c>
      <c r="H1087" s="11">
        <v>3.0</v>
      </c>
      <c r="I1087" s="11">
        <v>3.0</v>
      </c>
    </row>
    <row r="1088">
      <c r="A1088" s="10" t="s">
        <v>7485</v>
      </c>
      <c r="B1088" s="49" t="str">
        <f t="shared" si="1"/>
        <v>Elections</v>
      </c>
      <c r="C1088" s="49" t="str">
        <f t="shared" si="2"/>
        <v>Elections; Corrupt political advertising; broadcast by radio or TV any paid matter intended to influence the vote of any person or persons for or against any question submitted for a proposition to amend the constitution or to authorize the issuance of bonds or any other question submitted at an election, without including that it was an advertisement and the name of the chairman of the organization or the person responsible therefor</v>
      </c>
      <c r="D1088" s="49" t="str">
        <f t="shared" si="3"/>
        <v>25-2407(a)(4)</v>
      </c>
      <c r="E1088" s="11" t="s">
        <v>133</v>
      </c>
      <c r="F1088" s="11">
        <v>3.0</v>
      </c>
      <c r="G1088" s="11">
        <v>3.0</v>
      </c>
      <c r="H1088" s="11">
        <v>3.0</v>
      </c>
      <c r="I1088" s="11">
        <v>3.0</v>
      </c>
    </row>
    <row r="1089">
      <c r="A1089" s="10" t="s">
        <v>7486</v>
      </c>
      <c r="B1089" s="49" t="str">
        <f t="shared" si="1"/>
        <v>Elections</v>
      </c>
      <c r="C1089" s="49" t="str">
        <f t="shared" si="2"/>
        <v>Elections; Corrupt political advertising; Publish in a newspaper or other periodical any paid matter intended to influence the vote of any person or persons for or against any question submitted for a proposition to amend the constitution or to authorize the issuance of bonds or any other question submitted at an election, without including "advertisement" or "adv." with the name of the chairman of the organization or the person responsible therefor</v>
      </c>
      <c r="D1089" s="49" t="str">
        <f t="shared" si="3"/>
        <v>25-2407(a)(3)</v>
      </c>
      <c r="E1089" s="11" t="s">
        <v>133</v>
      </c>
      <c r="F1089" s="11">
        <v>3.0</v>
      </c>
      <c r="G1089" s="11">
        <v>3.0</v>
      </c>
      <c r="H1089" s="11">
        <v>3.0</v>
      </c>
      <c r="I1089" s="11">
        <v>3.0</v>
      </c>
    </row>
    <row r="1090">
      <c r="A1090" s="10" t="s">
        <v>7487</v>
      </c>
      <c r="B1090" s="49" t="str">
        <f t="shared" si="1"/>
        <v>Elections</v>
      </c>
      <c r="C1090" s="49" t="str">
        <f t="shared" si="2"/>
        <v>Elections; Corrupt political advertising; publish in a newspaper or other periodical, any paid matter designed to aid, injure or defeat any candidate for nomination or election to public office, without including "advertisement" or "adv." with the name of the chairman of the organization or the person responsible therefor</v>
      </c>
      <c r="D1090" s="49" t="str">
        <f t="shared" si="3"/>
        <v>25-2407(a)(1)</v>
      </c>
      <c r="E1090" s="11" t="s">
        <v>133</v>
      </c>
      <c r="F1090" s="11">
        <v>3.0</v>
      </c>
      <c r="G1090" s="11">
        <v>3.0</v>
      </c>
      <c r="H1090" s="11">
        <v>3.0</v>
      </c>
      <c r="I1090" s="11">
        <v>3.0</v>
      </c>
    </row>
    <row r="1091">
      <c r="A1091" s="10" t="s">
        <v>7488</v>
      </c>
      <c r="B1091" s="49" t="str">
        <f t="shared" si="1"/>
        <v>Elections</v>
      </c>
      <c r="C1091" s="49" t="str">
        <f t="shared" si="2"/>
        <v>Elections; Corrupt political advertising; publishing any brochure, flier or fact sheet intended to influence the vote of any person or persons for or against any question submitted for a proposition to amend the constitution or to authorize the issuance of bonds or any other question submitted at an election, without including that it was an advertisement and the name of the chairman of the organization or the person responsible therefor</v>
      </c>
      <c r="D1091" s="49" t="str">
        <f t="shared" si="3"/>
        <v>25-2407(a)(5)</v>
      </c>
      <c r="E1091" s="11" t="s">
        <v>133</v>
      </c>
      <c r="F1091" s="11">
        <v>3.0</v>
      </c>
      <c r="G1091" s="11">
        <v>3.0</v>
      </c>
      <c r="H1091" s="11">
        <v>3.0</v>
      </c>
      <c r="I1091" s="11">
        <v>3.0</v>
      </c>
    </row>
    <row r="1092">
      <c r="A1092" s="10" t="s">
        <v>7489</v>
      </c>
      <c r="B1092" s="49" t="str">
        <f t="shared" si="1"/>
        <v>Elections</v>
      </c>
      <c r="C1092" s="49" t="str">
        <f t="shared" si="2"/>
        <v>Elections; Destruction of Election Papers; destroy any certificate of nomination or nomination papers or any letter of withdrawal of a candidate</v>
      </c>
      <c r="D1092" s="49" t="str">
        <f t="shared" si="3"/>
        <v>25-2429</v>
      </c>
      <c r="E1092" s="11" t="s">
        <v>133</v>
      </c>
      <c r="F1092" s="11">
        <v>3.0</v>
      </c>
      <c r="G1092" s="11">
        <v>3.0</v>
      </c>
      <c r="H1092" s="11">
        <v>3.0</v>
      </c>
      <c r="I1092" s="11">
        <v>3.0</v>
      </c>
    </row>
    <row r="1093">
      <c r="A1093" s="10" t="s">
        <v>7490</v>
      </c>
      <c r="B1093" s="49" t="str">
        <f t="shared" si="1"/>
        <v>Elections</v>
      </c>
      <c r="C1093" s="49" t="str">
        <f t="shared" si="2"/>
        <v>Elections; Destruction of Election Supplies; destroy or deface any list of candidates, card of instruction, sample ballot or any election supplies</v>
      </c>
      <c r="D1093" s="49" t="str">
        <f t="shared" si="3"/>
        <v>25-2428</v>
      </c>
      <c r="E1093" s="11" t="s">
        <v>133</v>
      </c>
      <c r="F1093" s="11">
        <v>3.0</v>
      </c>
      <c r="G1093" s="11">
        <v>3.0</v>
      </c>
      <c r="H1093" s="11">
        <v>3.0</v>
      </c>
      <c r="I1093" s="11">
        <v>3.0</v>
      </c>
    </row>
    <row r="1094">
      <c r="A1094" s="10" t="s">
        <v>7491</v>
      </c>
      <c r="B1094" s="49" t="str">
        <f t="shared" si="1"/>
        <v>Elections</v>
      </c>
      <c r="C1094" s="49" t="str">
        <f t="shared" si="2"/>
        <v>Elections; Disorderly conduct; willfully approach or remain closer than 3 feet to any voting booth, voting machine or table being used by an election board</v>
      </c>
      <c r="D1094" s="49" t="str">
        <f t="shared" si="3"/>
        <v>25-2413(c)</v>
      </c>
      <c r="E1094" s="11" t="s">
        <v>133</v>
      </c>
      <c r="F1094" s="11">
        <v>3.0</v>
      </c>
      <c r="G1094" s="11">
        <v>3.0</v>
      </c>
      <c r="H1094" s="11">
        <v>3.0</v>
      </c>
      <c r="I1094" s="11">
        <v>3.0</v>
      </c>
    </row>
    <row r="1095">
      <c r="A1095" s="10" t="s">
        <v>7492</v>
      </c>
      <c r="B1095" s="49" t="str">
        <f t="shared" si="1"/>
        <v>Elections</v>
      </c>
      <c r="C1095" s="49" t="str">
        <f t="shared" si="2"/>
        <v>Elections; Disorderly conduct; willfully conduct advisory elections other than those specifically authorized by law within 250 feet from the entrance of a polling place during the hours the polls are open on election day</v>
      </c>
      <c r="D1095" s="49" t="str">
        <f t="shared" si="3"/>
        <v>25-2413(e)(2)</v>
      </c>
      <c r="E1095" s="11" t="s">
        <v>133</v>
      </c>
      <c r="F1095" s="11">
        <v>3.0</v>
      </c>
      <c r="G1095" s="11">
        <v>3.0</v>
      </c>
      <c r="H1095" s="11">
        <v>3.0</v>
      </c>
      <c r="I1095" s="11">
        <v>3.0</v>
      </c>
    </row>
    <row r="1096">
      <c r="A1096" s="10" t="s">
        <v>7493</v>
      </c>
      <c r="B1096" s="49" t="str">
        <f t="shared" si="1"/>
        <v>Elections</v>
      </c>
      <c r="C1096" s="49" t="str">
        <f t="shared" si="2"/>
        <v>Elections; Disorderly conduct; willfully disturb the peace in or about any voting place on election day</v>
      </c>
      <c r="D1096" s="49" t="str">
        <f t="shared" si="3"/>
        <v>25-2413(a)</v>
      </c>
      <c r="E1096" s="11" t="s">
        <v>133</v>
      </c>
      <c r="F1096" s="11">
        <v>3.0</v>
      </c>
      <c r="G1096" s="11">
        <v>3.0</v>
      </c>
      <c r="H1096" s="11">
        <v>3.0</v>
      </c>
      <c r="I1096" s="11">
        <v>3.0</v>
      </c>
    </row>
    <row r="1097">
      <c r="A1097" s="10" t="s">
        <v>7494</v>
      </c>
      <c r="B1097" s="49" t="str">
        <f t="shared" si="1"/>
        <v>Elections</v>
      </c>
      <c r="C1097" s="49" t="str">
        <f t="shared" si="2"/>
        <v>Elections; Disorderly conduct; willfully interrupt / hinder / obstruct a person approaching a voting place to vote</v>
      </c>
      <c r="D1097" s="49" t="str">
        <f t="shared" si="3"/>
        <v>25-2413(d)</v>
      </c>
      <c r="E1097" s="11" t="s">
        <v>133</v>
      </c>
      <c r="F1097" s="11">
        <v>3.0</v>
      </c>
      <c r="G1097" s="11">
        <v>3.0</v>
      </c>
      <c r="H1097" s="11">
        <v>3.0</v>
      </c>
      <c r="I1097" s="11">
        <v>3.0</v>
      </c>
    </row>
    <row r="1098">
      <c r="A1098" s="10" t="s">
        <v>7495</v>
      </c>
      <c r="B1098" s="49" t="str">
        <f t="shared" si="1"/>
        <v>Elections</v>
      </c>
      <c r="C1098" s="49" t="str">
        <f t="shared" si="2"/>
        <v>Elections; Disorderly conduct; willfully leave or attempt to leave a voting place in possession of any ballot</v>
      </c>
      <c r="D1098" s="49" t="str">
        <f t="shared" si="3"/>
        <v>25-2413(b)</v>
      </c>
      <c r="E1098" s="11" t="s">
        <v>133</v>
      </c>
      <c r="F1098" s="11">
        <v>3.0</v>
      </c>
      <c r="G1098" s="11">
        <v>3.0</v>
      </c>
      <c r="H1098" s="11">
        <v>3.0</v>
      </c>
      <c r="I1098" s="11">
        <v>3.0</v>
      </c>
    </row>
    <row r="1099">
      <c r="A1099" s="10" t="s">
        <v>7496</v>
      </c>
      <c r="B1099" s="49" t="str">
        <f t="shared" si="1"/>
        <v>Elections</v>
      </c>
      <c r="C1099" s="49" t="str">
        <f t="shared" si="2"/>
        <v>Elections; Disorderly conduct; willfully solicit contributions within 250 feet from the entrance of a polling place during the hours the polls are open on election day</v>
      </c>
      <c r="D1099" s="49" t="str">
        <f t="shared" si="3"/>
        <v>25-2413(e)(1)</v>
      </c>
      <c r="E1099" s="11" t="s">
        <v>133</v>
      </c>
      <c r="F1099" s="11">
        <v>3.0</v>
      </c>
      <c r="G1099" s="11">
        <v>3.0</v>
      </c>
      <c r="H1099" s="11">
        <v>3.0</v>
      </c>
      <c r="I1099" s="11">
        <v>3.0</v>
      </c>
    </row>
    <row r="1100">
      <c r="A1100" s="10" t="s">
        <v>7497</v>
      </c>
      <c r="B1100" s="49" t="str">
        <f t="shared" si="1"/>
        <v>Elections</v>
      </c>
      <c r="C1100" s="49" t="str">
        <f t="shared" si="2"/>
        <v>Elections; Election Campaign Finance; all receipts required to be forwarded to treasurer</v>
      </c>
      <c r="D1100" s="49" t="str">
        <f t="shared" si="3"/>
        <v>25-4147(d)</v>
      </c>
      <c r="E1100" s="11" t="s">
        <v>133</v>
      </c>
      <c r="F1100" s="11">
        <v>3.0</v>
      </c>
      <c r="G1100" s="11">
        <v>3.0</v>
      </c>
      <c r="H1100" s="11">
        <v>3.0</v>
      </c>
      <c r="I1100" s="11">
        <v>3.0</v>
      </c>
    </row>
    <row r="1101">
      <c r="A1101" s="10" t="s">
        <v>7498</v>
      </c>
      <c r="B1101" s="49" t="str">
        <f t="shared" si="1"/>
        <v>Elections</v>
      </c>
      <c r="C1101" s="49" t="str">
        <f t="shared" si="2"/>
        <v>Elections; Election Campaign Finance; appointment of campaign treasurer or candidate committee</v>
      </c>
      <c r="D1101" s="49" t="str">
        <f t="shared" si="3"/>
        <v>25-4144</v>
      </c>
      <c r="E1101" s="11" t="s">
        <v>133</v>
      </c>
      <c r="F1101" s="11">
        <v>3.0</v>
      </c>
      <c r="G1101" s="11">
        <v>3.0</v>
      </c>
      <c r="H1101" s="11">
        <v>3.0</v>
      </c>
      <c r="I1101" s="11">
        <v>3.0</v>
      </c>
    </row>
    <row r="1102">
      <c r="A1102" s="10" t="s">
        <v>7499</v>
      </c>
      <c r="B1102" s="49" t="str">
        <f t="shared" si="1"/>
        <v>Elections</v>
      </c>
      <c r="C1102" s="49" t="str">
        <f t="shared" si="2"/>
        <v>Elections; Election Campaign Finance; broadcasting or causing to be broadcast by radio or television any paid matter which expressly advocates the nomination, election or defeat of a clearly identified candidate for a state or local office, without "Paid for" or "Sponsored by" the name of the sponsoring organization and the name of the chairperson or treasurer of the political or other organization sponsoring the same or the name of the individual who is responsible therefore</v>
      </c>
      <c r="D1102" s="49" t="str">
        <f t="shared" si="3"/>
        <v>25-4156(b)(1)(B)</v>
      </c>
      <c r="E1102" s="11" t="s">
        <v>133</v>
      </c>
      <c r="F1102" s="11">
        <v>3.0</v>
      </c>
      <c r="G1102" s="11">
        <v>3.0</v>
      </c>
      <c r="H1102" s="11">
        <v>3.0</v>
      </c>
      <c r="I1102" s="11">
        <v>3.0</v>
      </c>
    </row>
    <row r="1103">
      <c r="A1103" s="10" t="s">
        <v>7500</v>
      </c>
      <c r="B1103" s="49" t="str">
        <f t="shared" si="1"/>
        <v>Elections</v>
      </c>
      <c r="C1103" s="49" t="str">
        <f t="shared" si="2"/>
        <v>Elections; Election Campaign Finance; candidate or candidate committee accepting from another candidate or candidate committee, moneys received by such candidate or candidate committee as a campaign contribution</v>
      </c>
      <c r="D1103" s="49" t="str">
        <f t="shared" si="3"/>
        <v>25-4157a(c)</v>
      </c>
      <c r="E1103" s="11" t="s">
        <v>133</v>
      </c>
      <c r="F1103" s="11">
        <v>3.0</v>
      </c>
      <c r="G1103" s="11">
        <v>3.0</v>
      </c>
      <c r="H1103" s="11">
        <v>3.0</v>
      </c>
      <c r="I1103" s="11">
        <v>3.0</v>
      </c>
    </row>
    <row r="1104">
      <c r="A1104" s="10" t="s">
        <v>7501</v>
      </c>
      <c r="B1104" s="49" t="str">
        <f t="shared" si="1"/>
        <v>Elections</v>
      </c>
      <c r="C1104" s="49" t="str">
        <f t="shared" si="2"/>
        <v>Elections; Election Campaign Finance; candidate or candidate committee of any candidate using moneys received as a contribution to pay interest or any other finance charges upon moneys loaned to the campaign by such candidate or the spouse of such candidate</v>
      </c>
      <c r="D1104" s="49" t="str">
        <f t="shared" si="3"/>
        <v>25-4157a(b)</v>
      </c>
      <c r="E1104" s="11" t="s">
        <v>133</v>
      </c>
      <c r="F1104" s="11">
        <v>3.0</v>
      </c>
      <c r="G1104" s="11">
        <v>3.0</v>
      </c>
      <c r="H1104" s="11">
        <v>3.0</v>
      </c>
      <c r="I1104" s="11">
        <v>3.0</v>
      </c>
    </row>
    <row r="1105">
      <c r="A1105" s="10" t="s">
        <v>7502</v>
      </c>
      <c r="B1105" s="49" t="str">
        <f t="shared" si="1"/>
        <v>Elections</v>
      </c>
      <c r="C1105" s="49" t="str">
        <f t="shared" si="2"/>
        <v>Elections; Election Campaign Finance; commingling of campaign and personal funds prohibited</v>
      </c>
      <c r="D1105" s="49" t="str">
        <f t="shared" si="3"/>
        <v>25-4147(e)</v>
      </c>
      <c r="E1105" s="11" t="s">
        <v>133</v>
      </c>
      <c r="F1105" s="11">
        <v>3.0</v>
      </c>
      <c r="G1105" s="11">
        <v>3.0</v>
      </c>
      <c r="H1105" s="11">
        <v>3.0</v>
      </c>
      <c r="I1105" s="11">
        <v>3.0</v>
      </c>
    </row>
    <row r="1106">
      <c r="A1106" s="10" t="s">
        <v>7503</v>
      </c>
      <c r="B1106" s="49" t="str">
        <f t="shared" si="1"/>
        <v>Elections</v>
      </c>
      <c r="C1106" s="49" t="str">
        <f t="shared" si="2"/>
        <v>Elections; Election Campaign Finance; commission records; confidentiality; release to certain persons</v>
      </c>
      <c r="D1106" s="49" t="str">
        <f t="shared" si="3"/>
        <v>25-4165</v>
      </c>
      <c r="E1106" s="11" t="s">
        <v>133</v>
      </c>
      <c r="F1106" s="11">
        <v>3.0</v>
      </c>
      <c r="G1106" s="11">
        <v>3.0</v>
      </c>
      <c r="H1106" s="11">
        <v>3.0</v>
      </c>
      <c r="I1106" s="11">
        <v>3.0</v>
      </c>
    </row>
    <row r="1107">
      <c r="A1107" s="10" t="s">
        <v>7504</v>
      </c>
      <c r="B1107" s="49" t="str">
        <f t="shared" si="1"/>
        <v>Elections</v>
      </c>
      <c r="C1107" s="49" t="str">
        <f t="shared" si="2"/>
        <v>Elections; Election Campaign Finance; contributions from political committees to be accompanied by name or description of interest group with which affiliated</v>
      </c>
      <c r="D1107" s="49" t="str">
        <f t="shared" si="3"/>
        <v>25-4147(f)</v>
      </c>
      <c r="E1107" s="11" t="s">
        <v>133</v>
      </c>
      <c r="F1107" s="11">
        <v>3.0</v>
      </c>
      <c r="G1107" s="11">
        <v>3.0</v>
      </c>
      <c r="H1107" s="11">
        <v>3.0</v>
      </c>
      <c r="I1107" s="11">
        <v>3.0</v>
      </c>
    </row>
    <row r="1108">
      <c r="A1108" s="10" t="s">
        <v>7505</v>
      </c>
      <c r="B1108" s="49" t="str">
        <f t="shared" si="1"/>
        <v>Elections</v>
      </c>
      <c r="C1108" s="49" t="str">
        <f t="shared" si="2"/>
        <v>Elections; Election Campaign Finance; contributions; candidate or candidate committee of any candidate using moneys received as a contribution or be making such available for the personal use of the candidate or the candidate committee of such candidate unless authorized herein</v>
      </c>
      <c r="D1108" s="49" t="str">
        <f t="shared" si="3"/>
        <v>25-4157a(a)</v>
      </c>
      <c r="E1108" s="11" t="s">
        <v>133</v>
      </c>
      <c r="F1108" s="11">
        <v>3.0</v>
      </c>
      <c r="G1108" s="11">
        <v>3.0</v>
      </c>
      <c r="H1108" s="11">
        <v>3.0</v>
      </c>
      <c r="I1108" s="11">
        <v>3.0</v>
      </c>
    </row>
    <row r="1109">
      <c r="A1109" s="10" t="s">
        <v>7506</v>
      </c>
      <c r="B1109" s="49" t="str">
        <f t="shared" si="1"/>
        <v>Elections</v>
      </c>
      <c r="C1109" s="49" t="str">
        <f t="shared" si="2"/>
        <v>Elections; Election Campaign Finance; copying any name of a contributor from any report or statement filed under the campaign finance act to use for any commercial purpose; use of any name for a commercial purpose knowing that such name was obtained solely by copying information relating to contributions contained in any report or statement filed under the campaign finance act</v>
      </c>
      <c r="D1109" s="49" t="str">
        <f t="shared" si="3"/>
        <v>25-4154(d)</v>
      </c>
      <c r="E1109" s="11" t="s">
        <v>133</v>
      </c>
      <c r="F1109" s="11">
        <v>3.0</v>
      </c>
      <c r="G1109" s="11">
        <v>3.0</v>
      </c>
      <c r="H1109" s="11">
        <v>3.0</v>
      </c>
      <c r="I1109" s="11">
        <v>3.0</v>
      </c>
    </row>
    <row r="1110">
      <c r="A1110" s="10" t="s">
        <v>7507</v>
      </c>
      <c r="B1110" s="49" t="str">
        <f t="shared" si="1"/>
        <v>Elections</v>
      </c>
      <c r="C1110" s="49" t="str">
        <f t="shared" si="2"/>
        <v>Elections; Election Campaign Finance; copying name of a contributor from any report filed under this section and using such name for any commercial purpose; using a name for a commercial purpose with knowledge that such name was obtained solely by copying information relating to contributions contained in any report filed under this section</v>
      </c>
      <c r="D1110" s="49" t="str">
        <f t="shared" si="3"/>
        <v>25-4186(f)</v>
      </c>
      <c r="E1110" s="11" t="s">
        <v>133</v>
      </c>
      <c r="F1110" s="11">
        <v>3.0</v>
      </c>
      <c r="G1110" s="11">
        <v>3.0</v>
      </c>
      <c r="H1110" s="11">
        <v>3.0</v>
      </c>
      <c r="I1110" s="11">
        <v>3.0</v>
      </c>
    </row>
    <row r="1111">
      <c r="A1111" s="10" t="s">
        <v>7508</v>
      </c>
      <c r="B1111" s="49" t="str">
        <f t="shared" si="1"/>
        <v>Elections</v>
      </c>
      <c r="C1111" s="49" t="str">
        <f t="shared" si="2"/>
        <v>Elections; Election Campaign Finance; excessive campaign contributions; intentionally accepting any contribution made in violation of any provision of K.S.A. 25-4153</v>
      </c>
      <c r="D1111" s="49" t="str">
        <f t="shared" si="3"/>
        <v>25-4170(b)</v>
      </c>
      <c r="E1111" s="11" t="s">
        <v>133</v>
      </c>
      <c r="F1111" s="11">
        <v>3.0</v>
      </c>
      <c r="G1111" s="11">
        <v>3.0</v>
      </c>
      <c r="H1111" s="11">
        <v>3.0</v>
      </c>
      <c r="I1111" s="11">
        <v>3.0</v>
      </c>
    </row>
    <row r="1112">
      <c r="A1112" s="10" t="s">
        <v>7509</v>
      </c>
      <c r="B1112" s="49" t="str">
        <f t="shared" si="1"/>
        <v>Elections</v>
      </c>
      <c r="C1112" s="49" t="str">
        <f t="shared" si="2"/>
        <v>Elections; Election Campaign Finance; excessive campaign contributions; intentionally making any contribution in violation of any provision of K.S.A. 25-4153</v>
      </c>
      <c r="D1112" s="49" t="str">
        <f t="shared" si="3"/>
        <v>25-4170(a)</v>
      </c>
      <c r="E1112" s="11" t="s">
        <v>133</v>
      </c>
      <c r="F1112" s="11">
        <v>3.0</v>
      </c>
      <c r="G1112" s="11">
        <v>3.0</v>
      </c>
      <c r="H1112" s="11">
        <v>3.0</v>
      </c>
      <c r="I1112" s="11">
        <v>3.0</v>
      </c>
    </row>
    <row r="1113">
      <c r="A1113" s="10" t="s">
        <v>7510</v>
      </c>
      <c r="B1113" s="49" t="str">
        <f t="shared" si="1"/>
        <v>Elections</v>
      </c>
      <c r="C1113" s="49" t="str">
        <f t="shared" si="2"/>
        <v>Elections; Election Campaign Finance; excessive charges for space in newspapers/periodicals</v>
      </c>
      <c r="D1113" s="49" t="str">
        <f t="shared" si="3"/>
        <v>25-4156(a)(1)</v>
      </c>
      <c r="E1113" s="11" t="s">
        <v>133</v>
      </c>
      <c r="F1113" s="11">
        <v>3.0</v>
      </c>
      <c r="G1113" s="11">
        <v>3.0</v>
      </c>
      <c r="H1113" s="11">
        <v>3.0</v>
      </c>
      <c r="I1113" s="11">
        <v>3.0</v>
      </c>
    </row>
    <row r="1114">
      <c r="A1114" s="10" t="s">
        <v>7511</v>
      </c>
      <c r="B1114" s="49" t="str">
        <f t="shared" si="1"/>
        <v>Elections</v>
      </c>
      <c r="C1114" s="49" t="str">
        <f t="shared" si="2"/>
        <v>Elections; Election Campaign Finance; fail to file affidavit of intent as required in K.S.A. 25-4173 or 25-4175 or failure to file the reports required after a change in intent as required by K.S.A. 25-4174 or 25-4176</v>
      </c>
      <c r="D1114" s="49" t="str">
        <f t="shared" si="3"/>
        <v>25-4177</v>
      </c>
      <c r="E1114" s="11" t="s">
        <v>133</v>
      </c>
      <c r="F1114" s="11">
        <v>3.0</v>
      </c>
      <c r="G1114" s="11">
        <v>3.0</v>
      </c>
      <c r="H1114" s="11">
        <v>3.0</v>
      </c>
      <c r="I1114" s="11">
        <v>3.0</v>
      </c>
    </row>
    <row r="1115">
      <c r="A1115" s="10" t="s">
        <v>7512</v>
      </c>
      <c r="B1115" s="49" t="str">
        <f t="shared" si="1"/>
        <v>Elections</v>
      </c>
      <c r="C1115" s="49" t="str">
        <f t="shared" si="2"/>
        <v>Elections; Election Campaign Finance; fail to file campaign finance report; intentional failure of any person required to make any report, amended report or statement by the campaign finance act to file the same with the secretary of state or county election officer at the time specified in the campaign finance act</v>
      </c>
      <c r="D1115" s="49" t="str">
        <f t="shared" si="3"/>
        <v>25-4167(a)</v>
      </c>
      <c r="E1115" s="11" t="s">
        <v>133</v>
      </c>
      <c r="F1115" s="11">
        <v>3.0</v>
      </c>
      <c r="G1115" s="11">
        <v>3.0</v>
      </c>
      <c r="H1115" s="11">
        <v>3.0</v>
      </c>
      <c r="I1115" s="11">
        <v>3.0</v>
      </c>
    </row>
    <row r="1116">
      <c r="A1116" s="10" t="s">
        <v>7513</v>
      </c>
      <c r="B1116" s="49" t="str">
        <f t="shared" si="1"/>
        <v>Elections</v>
      </c>
      <c r="C1116" s="49" t="str">
        <f t="shared" si="2"/>
        <v>Elections; Election Campaign Finance; fail to file financial reports of constitutional campaigns</v>
      </c>
      <c r="D1116" s="49" t="str">
        <f t="shared" si="3"/>
        <v>25-4180(a)</v>
      </c>
      <c r="E1116" s="11" t="s">
        <v>133</v>
      </c>
      <c r="F1116" s="11">
        <v>3.0</v>
      </c>
      <c r="G1116" s="11">
        <v>3.0</v>
      </c>
      <c r="H1116" s="11">
        <v>3.0</v>
      </c>
      <c r="I1116" s="11">
        <v>3.0</v>
      </c>
    </row>
    <row r="1117">
      <c r="A1117" s="10" t="s">
        <v>7514</v>
      </c>
      <c r="B1117" s="49" t="str">
        <f t="shared" si="1"/>
        <v>Elections</v>
      </c>
      <c r="C1117" s="49" t="str">
        <f t="shared" si="2"/>
        <v>Elections; Election Campaign Finance; fail to preserve accounts of any treasurer for inspection as required</v>
      </c>
      <c r="D1117" s="49" t="str">
        <f t="shared" si="3"/>
        <v>25-4147(b)</v>
      </c>
      <c r="E1117" s="11" t="s">
        <v>133</v>
      </c>
      <c r="F1117" s="11">
        <v>3.0</v>
      </c>
      <c r="G1117" s="11">
        <v>3.0</v>
      </c>
      <c r="H1117" s="11">
        <v>3.0</v>
      </c>
      <c r="I1117" s="11">
        <v>3.0</v>
      </c>
    </row>
    <row r="1118">
      <c r="A1118" s="10" t="s">
        <v>7515</v>
      </c>
      <c r="B1118" s="49" t="str">
        <f t="shared" si="1"/>
        <v>Elections</v>
      </c>
      <c r="C1118" s="49" t="str">
        <f t="shared" si="2"/>
        <v>Elections; Election Campaign Finance; failure of treasurer to keep detailed accounts of all contributions and other receipts received and all expenditures made</v>
      </c>
      <c r="D1118" s="49" t="str">
        <f t="shared" si="3"/>
        <v>25-4147(a)</v>
      </c>
      <c r="E1118" s="11" t="s">
        <v>133</v>
      </c>
      <c r="F1118" s="11">
        <v>3.0</v>
      </c>
      <c r="G1118" s="11">
        <v>3.0</v>
      </c>
      <c r="H1118" s="11">
        <v>3.0</v>
      </c>
      <c r="I1118" s="11">
        <v>3.0</v>
      </c>
    </row>
    <row r="1119">
      <c r="A1119" s="10" t="s">
        <v>7516</v>
      </c>
      <c r="B1119" s="49" t="str">
        <f t="shared" si="1"/>
        <v>Elections</v>
      </c>
      <c r="C1119" s="49" t="str">
        <f t="shared" si="2"/>
        <v>Elections; Election Campaign Finance; failure to contribute residual funds not otherwise obligated for the payment of expenses incurred in the campaign or the holding of office to appropriate party at termination of any campaign and prior to filing a termination report in accordance with K.S.A. 25-4157</v>
      </c>
      <c r="D1119" s="49" t="str">
        <f t="shared" si="3"/>
        <v>25-4157a(d)</v>
      </c>
      <c r="E1119" s="11" t="s">
        <v>133</v>
      </c>
      <c r="F1119" s="11">
        <v>3.0</v>
      </c>
      <c r="G1119" s="11">
        <v>3.0</v>
      </c>
      <c r="H1119" s="11">
        <v>3.0</v>
      </c>
      <c r="I1119" s="11">
        <v>3.0</v>
      </c>
    </row>
    <row r="1120">
      <c r="A1120" s="10" t="s">
        <v>7517</v>
      </c>
      <c r="B1120" s="49" t="str">
        <f t="shared" si="1"/>
        <v>Elections</v>
      </c>
      <c r="C1120" s="49" t="str">
        <f t="shared" si="2"/>
        <v>Elections; Election Campaign Finance; failure to file campaign finance report; intentional failure of any person required by K.S.A. 25-4172, and amendments thereto, to submit a statement to a treasurer to submit the same</v>
      </c>
      <c r="D1120" s="49" t="str">
        <f t="shared" si="3"/>
        <v>25-4167(b)</v>
      </c>
      <c r="E1120" s="11" t="s">
        <v>133</v>
      </c>
      <c r="F1120" s="11">
        <v>3.0</v>
      </c>
      <c r="G1120" s="11">
        <v>3.0</v>
      </c>
      <c r="H1120" s="11">
        <v>3.0</v>
      </c>
      <c r="I1120" s="11">
        <v>3.0</v>
      </c>
    </row>
    <row r="1121">
      <c r="A1121" s="10" t="s">
        <v>7518</v>
      </c>
      <c r="B1121" s="49" t="str">
        <f t="shared" si="1"/>
        <v>Elections</v>
      </c>
      <c r="C1121" s="49" t="str">
        <f t="shared" si="2"/>
        <v>Elections; Election Campaign Finance; fraudulent campaign finance reporting</v>
      </c>
      <c r="D1121" s="49" t="str">
        <f t="shared" si="3"/>
        <v>25-4168</v>
      </c>
      <c r="E1121" s="11" t="s">
        <v>133</v>
      </c>
      <c r="F1121" s="11">
        <v>3.0</v>
      </c>
      <c r="G1121" s="11">
        <v>3.0</v>
      </c>
      <c r="H1121" s="11">
        <v>3.0</v>
      </c>
      <c r="I1121" s="11">
        <v>3.0</v>
      </c>
    </row>
    <row r="1122">
      <c r="A1122" s="10" t="s">
        <v>7519</v>
      </c>
      <c r="B1122" s="49" t="str">
        <f t="shared" si="1"/>
        <v>Elections</v>
      </c>
      <c r="C1122" s="49" t="str">
        <f t="shared" si="2"/>
        <v>Elections; Election Campaign Finance; give or accept any contribution in excess of $10 without making the name and address of the contributor known to the individual receiving the contribution</v>
      </c>
      <c r="D1122" s="49" t="str">
        <f t="shared" si="3"/>
        <v>25-4154(b)</v>
      </c>
      <c r="E1122" s="11" t="s">
        <v>133</v>
      </c>
      <c r="F1122" s="11">
        <v>3.0</v>
      </c>
      <c r="G1122" s="11">
        <v>3.0</v>
      </c>
      <c r="H1122" s="11">
        <v>3.0</v>
      </c>
      <c r="I1122" s="11">
        <v>3.0</v>
      </c>
    </row>
    <row r="1123">
      <c r="A1123" s="10" t="s">
        <v>7520</v>
      </c>
      <c r="B1123" s="49" t="str">
        <f t="shared" si="1"/>
        <v>Elections</v>
      </c>
      <c r="C1123" s="49" t="str">
        <f t="shared" si="2"/>
        <v>Elections; Election Campaign Finance; making a contribution in the name of another person; accepting contribution knowing such to have been made by one person in the name of another</v>
      </c>
      <c r="D1123" s="49" t="str">
        <f t="shared" si="3"/>
        <v>25-4154(a)</v>
      </c>
      <c r="E1123" s="11" t="s">
        <v>133</v>
      </c>
      <c r="F1123" s="11">
        <v>3.0</v>
      </c>
      <c r="G1123" s="11">
        <v>3.0</v>
      </c>
      <c r="H1123" s="11">
        <v>3.0</v>
      </c>
      <c r="I1123" s="11">
        <v>3.0</v>
      </c>
    </row>
    <row r="1124">
      <c r="A1124" s="10" t="s">
        <v>7521</v>
      </c>
      <c r="B1124" s="49" t="str">
        <f t="shared" si="1"/>
        <v>Elections</v>
      </c>
      <c r="C1124" s="49" t="str">
        <f t="shared" si="2"/>
        <v>Elections; Election Campaign Finance; making or causing to be made any website, e-mail or other types of internet communication which expressly advocates the nomination, election or defeat of a clearly identified candidate for a state or local office, without the name of the chairperson or treasurer of the political or other organization sponsoring the same or the name of the individual who is responsible therefore; made by candidate, candidate's committee, political committee, or party committee and viewed by or disseminated to at least 25 individuals</v>
      </c>
      <c r="D1124" s="49" t="str">
        <f t="shared" si="3"/>
        <v>25-4156(b)(1)(E)</v>
      </c>
      <c r="E1124" s="11" t="s">
        <v>133</v>
      </c>
      <c r="F1124" s="11">
        <v>3.0</v>
      </c>
      <c r="G1124" s="11">
        <v>3.0</v>
      </c>
      <c r="H1124" s="11">
        <v>3.0</v>
      </c>
      <c r="I1124" s="11">
        <v>3.0</v>
      </c>
    </row>
    <row r="1125">
      <c r="A1125" s="10" t="s">
        <v>7522</v>
      </c>
      <c r="B1125" s="49" t="str">
        <f t="shared" si="1"/>
        <v>Elections</v>
      </c>
      <c r="C1125" s="49" t="str">
        <f t="shared" si="2"/>
        <v>Elections; Election Campaign Finance; moneys received by any inaugural treasurer used or made available for the personal use of the governor-elect or governor;  moneys used by such governor-elect or governor for purposes other than legitimate gubernatorial inauguration expenses</v>
      </c>
      <c r="D1125" s="49" t="str">
        <f t="shared" si="3"/>
        <v>25-4186(h)</v>
      </c>
      <c r="E1125" s="11" t="s">
        <v>133</v>
      </c>
      <c r="F1125" s="11">
        <v>3.0</v>
      </c>
      <c r="G1125" s="11">
        <v>3.0</v>
      </c>
      <c r="H1125" s="11">
        <v>3.0</v>
      </c>
      <c r="I1125" s="11">
        <v>3.0</v>
      </c>
    </row>
    <row r="1126">
      <c r="A1126" s="10" t="s">
        <v>7523</v>
      </c>
      <c r="B1126" s="49" t="str">
        <f t="shared" si="1"/>
        <v>Elections</v>
      </c>
      <c r="C1126" s="49" t="str">
        <f t="shared" si="2"/>
        <v>Elections; Election Campaign Finance; publishing or causing to be published any brochure, flier or other political fact sheet which expressly advocates the nomination, election or defeat of a clearly identified candidate for a state or local office, without the name of the chairperson or treasurer of the political or other organization sponsoring the same or the name of the individual who is responsible therefore</v>
      </c>
      <c r="D1126" s="49" t="str">
        <f t="shared" si="3"/>
        <v>25-4156(b)(1)(D)</v>
      </c>
      <c r="E1126" s="11" t="s">
        <v>133</v>
      </c>
      <c r="F1126" s="11">
        <v>3.0</v>
      </c>
      <c r="G1126" s="11">
        <v>3.0</v>
      </c>
      <c r="H1126" s="11">
        <v>3.0</v>
      </c>
      <c r="I1126" s="11">
        <v>3.0</v>
      </c>
    </row>
    <row r="1127">
      <c r="A1127" s="10" t="s">
        <v>7524</v>
      </c>
      <c r="B1127" s="49" t="str">
        <f t="shared" si="1"/>
        <v>Elections</v>
      </c>
      <c r="C1127" s="49" t="str">
        <f t="shared" si="2"/>
        <v>Elections; Election Campaign Finance; publishing or causing to be published in a newspaper or periodical any paid matter which expressly advocates the nomination, election or defeat of a clearly identified candidate for a state or local office, without the word "advertisement" or "adv." with the name of the chairperson or treasurer of the organization sponsoring the same or the name of the individual who is responsible therefore</v>
      </c>
      <c r="D1127" s="49" t="str">
        <f t="shared" si="3"/>
        <v>25-4156(b)(1)(A)</v>
      </c>
      <c r="E1127" s="11" t="s">
        <v>133</v>
      </c>
      <c r="F1127" s="11">
        <v>3.0</v>
      </c>
      <c r="G1127" s="11">
        <v>3.0</v>
      </c>
      <c r="H1127" s="11">
        <v>3.0</v>
      </c>
      <c r="I1127" s="11">
        <v>3.0</v>
      </c>
    </row>
    <row r="1128">
      <c r="A1128" s="10" t="s">
        <v>7525</v>
      </c>
      <c r="B1128" s="49" t="str">
        <f t="shared" si="1"/>
        <v>Elections</v>
      </c>
      <c r="C1128" s="49" t="str">
        <f t="shared" si="2"/>
        <v>Elections; Election Campaign Finance; removal of treasurer or chairperson; notification to Secretary of State</v>
      </c>
      <c r="D1128" s="49" t="str">
        <f t="shared" si="3"/>
        <v>25-4146</v>
      </c>
      <c r="E1128" s="11" t="s">
        <v>133</v>
      </c>
      <c r="F1128" s="11">
        <v>3.0</v>
      </c>
      <c r="G1128" s="11">
        <v>3.0</v>
      </c>
      <c r="H1128" s="11">
        <v>3.0</v>
      </c>
      <c r="I1128" s="11">
        <v>3.0</v>
      </c>
    </row>
    <row r="1129">
      <c r="A1129" s="10" t="s">
        <v>7526</v>
      </c>
      <c r="B1129" s="49" t="str">
        <f t="shared" si="1"/>
        <v>Elections</v>
      </c>
      <c r="C1129" s="49" t="str">
        <f t="shared" si="2"/>
        <v>Elections; Election Campaign Finance; reports; declaration of correctness; late filing</v>
      </c>
      <c r="D1129" s="49" t="str">
        <f t="shared" si="3"/>
        <v>25-4151</v>
      </c>
      <c r="E1129" s="11" t="s">
        <v>133</v>
      </c>
      <c r="F1129" s="11">
        <v>3.0</v>
      </c>
      <c r="G1129" s="11">
        <v>3.0</v>
      </c>
      <c r="H1129" s="11">
        <v>3.0</v>
      </c>
      <c r="I1129" s="11">
        <v>3.0</v>
      </c>
    </row>
    <row r="1130">
      <c r="A1130" s="10" t="s">
        <v>7527</v>
      </c>
      <c r="B1130" s="49" t="str">
        <f t="shared" si="1"/>
        <v>Elections</v>
      </c>
      <c r="C1130" s="49" t="str">
        <f t="shared" si="2"/>
        <v>Elections; Election Campaign Finance; statements of organization; contents and supplemental statements</v>
      </c>
      <c r="D1130" s="49" t="str">
        <f t="shared" si="3"/>
        <v>25-4145</v>
      </c>
      <c r="E1130" s="11" t="s">
        <v>133</v>
      </c>
      <c r="F1130" s="11">
        <v>3.0</v>
      </c>
      <c r="G1130" s="11">
        <v>3.0</v>
      </c>
      <c r="H1130" s="11">
        <v>3.0</v>
      </c>
      <c r="I1130" s="11">
        <v>3.0</v>
      </c>
    </row>
    <row r="1131">
      <c r="A1131" s="10" t="s">
        <v>7528</v>
      </c>
      <c r="B1131" s="49" t="str">
        <f t="shared" si="1"/>
        <v>Elections</v>
      </c>
      <c r="C1131" s="49" t="str">
        <f t="shared" si="2"/>
        <v>Elections; Election Campaign Finance; telephoning or causing to be contacted by telephonic means any paid matter which expressly advocates the nomination, election or defeat of a clearly identified candidate for a state or local office, without "Paid for" or "Sponsored by" the name of the sponsoring organization and the name of the chairperson or treasurer of the political or other organization sponsoring the same or the name of the individual who is responsible therefore</v>
      </c>
      <c r="D1131" s="49" t="str">
        <f t="shared" si="3"/>
        <v>25-4156(b)(1)(C)</v>
      </c>
      <c r="E1131" s="11" t="s">
        <v>133</v>
      </c>
      <c r="F1131" s="11">
        <v>3.0</v>
      </c>
      <c r="G1131" s="11">
        <v>3.0</v>
      </c>
      <c r="H1131" s="11">
        <v>3.0</v>
      </c>
      <c r="I1131" s="11">
        <v>3.0</v>
      </c>
    </row>
    <row r="1132">
      <c r="A1132" s="10" t="s">
        <v>7529</v>
      </c>
      <c r="B1132" s="49" t="str">
        <f t="shared" si="1"/>
        <v>Elections</v>
      </c>
      <c r="C1132" s="49" t="str">
        <f t="shared" si="2"/>
        <v>Elections; Election Campaign Finance; the aggregate amount contributed, in kind or otherwise, by any person for a gubernatorial inauguration shall not exceed $2,000; make such a contribution in the name of another person; knowingly accept a contribution made by one person in the name of another; give or accept any contribution in excess of $10 without knowing the name and address of the contributor; the aggregate of contributions for which the name and address of the contributor is not known shall not exceed 50% of the amount one person may contribute</v>
      </c>
      <c r="D1132" s="49" t="str">
        <f t="shared" si="3"/>
        <v>25-4186(e)</v>
      </c>
      <c r="E1132" s="11" t="s">
        <v>133</v>
      </c>
      <c r="F1132" s="11">
        <v>3.0</v>
      </c>
      <c r="G1132" s="11">
        <v>3.0</v>
      </c>
      <c r="H1132" s="11">
        <v>3.0</v>
      </c>
      <c r="I1132" s="11">
        <v>3.0</v>
      </c>
    </row>
    <row r="1133">
      <c r="A1133" s="10" t="s">
        <v>7530</v>
      </c>
      <c r="B1133" s="49" t="str">
        <f t="shared" si="1"/>
        <v>Elections</v>
      </c>
      <c r="C1133" s="49" t="str">
        <f t="shared" si="2"/>
        <v>Elections; Election Campaign Finance; the aggregate of contributions for which the name and address of the contributor is not reported under K.S.A. 25-4148 shall not exceed 50% of the amount one individual (other than the candidate or spouse) may contribute to or for a candidate's campaign</v>
      </c>
      <c r="D1133" s="49" t="str">
        <f t="shared" si="3"/>
        <v>25-4154(c)</v>
      </c>
      <c r="E1133" s="11" t="s">
        <v>133</v>
      </c>
      <c r="F1133" s="11">
        <v>3.0</v>
      </c>
      <c r="G1133" s="11">
        <v>3.0</v>
      </c>
      <c r="H1133" s="11">
        <v>3.0</v>
      </c>
      <c r="I1133" s="11">
        <v>3.0</v>
      </c>
    </row>
    <row r="1134">
      <c r="A1134" s="10" t="s">
        <v>7531</v>
      </c>
      <c r="B1134" s="49" t="str">
        <f t="shared" si="1"/>
        <v>Elections</v>
      </c>
      <c r="C1134" s="49" t="str">
        <f t="shared" si="2"/>
        <v>Elections; Election Campaign Finance; unauthorized disclosure of confidential information pertaining to an alleged violation of a provision of the campaign finance act</v>
      </c>
      <c r="D1134" s="49" t="str">
        <f t="shared" si="3"/>
        <v>25-4161(b)</v>
      </c>
      <c r="E1134" s="11" t="s">
        <v>133</v>
      </c>
      <c r="F1134" s="11">
        <v>3.0</v>
      </c>
      <c r="G1134" s="11">
        <v>3.0</v>
      </c>
      <c r="H1134" s="11">
        <v>3.0</v>
      </c>
      <c r="I1134" s="11">
        <v>3.0</v>
      </c>
    </row>
    <row r="1135">
      <c r="A1135" s="10" t="s">
        <v>7532</v>
      </c>
      <c r="B1135" s="49" t="str">
        <f t="shared" si="1"/>
        <v>Elections</v>
      </c>
      <c r="C1135" s="49" t="str">
        <f t="shared" si="2"/>
        <v>Elections; Election Campaign Finance; use of public funds, vehicles, machinery, equipment and supplies and time of certain officers and employees to influence nomination or election of candidate prohibited</v>
      </c>
      <c r="D1135" s="49" t="str">
        <f t="shared" si="3"/>
        <v>25-4169a(a)</v>
      </c>
      <c r="E1135" s="11" t="s">
        <v>133</v>
      </c>
      <c r="F1135" s="11">
        <v>3.0</v>
      </c>
      <c r="G1135" s="11">
        <v>3.0</v>
      </c>
      <c r="H1135" s="11">
        <v>3.0</v>
      </c>
      <c r="I1135" s="11">
        <v>3.0</v>
      </c>
    </row>
    <row r="1136">
      <c r="A1136" s="10" t="s">
        <v>7533</v>
      </c>
      <c r="B1136" s="49" t="str">
        <f t="shared" si="1"/>
        <v>Elections</v>
      </c>
      <c r="C1136" s="49" t="str">
        <f t="shared" si="2"/>
        <v>Elections; Election Tampering; while being charged with no election duty, make or change any election record</v>
      </c>
      <c r="D1136" s="49" t="str">
        <f t="shared" si="3"/>
        <v>25-2423(a)</v>
      </c>
      <c r="E1136" s="11" t="s">
        <v>133</v>
      </c>
      <c r="F1136" s="11">
        <v>3.0</v>
      </c>
      <c r="G1136" s="11">
        <v>3.0</v>
      </c>
      <c r="H1136" s="11">
        <v>3.0</v>
      </c>
      <c r="I1136" s="11">
        <v>3.0</v>
      </c>
    </row>
    <row r="1137">
      <c r="A1137" s="10" t="s">
        <v>7534</v>
      </c>
      <c r="B1137" s="49" t="str">
        <f t="shared" si="1"/>
        <v>Elections</v>
      </c>
      <c r="C1137" s="49" t="str">
        <f t="shared" si="2"/>
        <v>Elections; Electioneering</v>
      </c>
      <c r="D1137" s="49" t="str">
        <f t="shared" si="3"/>
        <v>25-2430(a)</v>
      </c>
      <c r="E1137" s="11" t="s">
        <v>133</v>
      </c>
      <c r="F1137" s="11">
        <v>3.0</v>
      </c>
      <c r="G1137" s="11">
        <v>3.0</v>
      </c>
      <c r="H1137" s="11">
        <v>3.0</v>
      </c>
      <c r="I1137" s="11">
        <v>3.0</v>
      </c>
    </row>
    <row r="1138">
      <c r="A1138" s="10" t="s">
        <v>7535</v>
      </c>
      <c r="B1138" s="49" t="str">
        <f t="shared" si="1"/>
        <v>Elections</v>
      </c>
      <c r="C1138" s="49" t="str">
        <f t="shared" si="2"/>
        <v>Elections; Electronic Voting System Fraud; intentionally tamper with, alter, disarrange, deface, impair or destroy any electronic or electromechanical system or component part thereof, or any ballot used by such systems</v>
      </c>
      <c r="D1138" s="49" t="str">
        <f t="shared" si="3"/>
        <v>25-4414(b)</v>
      </c>
      <c r="E1138" s="11" t="s">
        <v>133</v>
      </c>
      <c r="F1138" s="11">
        <v>3.0</v>
      </c>
      <c r="G1138" s="11">
        <v>3.0</v>
      </c>
      <c r="H1138" s="11">
        <v>3.0</v>
      </c>
      <c r="I1138" s="11">
        <v>3.0</v>
      </c>
    </row>
    <row r="1139">
      <c r="A1139" s="10" t="s">
        <v>7536</v>
      </c>
      <c r="B1139" s="49" t="str">
        <f t="shared" si="1"/>
        <v>Elections</v>
      </c>
      <c r="C1139" s="49" t="str">
        <f t="shared" si="2"/>
        <v>Elections; Electronic Voting System Fraud; unlawful or unauthorized possession of voting equipment, computer programs, operating systems, firmware, software or ballots</v>
      </c>
      <c r="D1139" s="49" t="str">
        <f t="shared" si="3"/>
        <v>25-4414(a)</v>
      </c>
      <c r="E1139" s="11" t="s">
        <v>133</v>
      </c>
      <c r="F1139" s="11">
        <v>3.0</v>
      </c>
      <c r="G1139" s="11">
        <v>3.0</v>
      </c>
      <c r="H1139" s="11">
        <v>3.0</v>
      </c>
      <c r="I1139" s="11">
        <v>3.0</v>
      </c>
    </row>
    <row r="1140">
      <c r="A1140" s="10" t="s">
        <v>7537</v>
      </c>
      <c r="B1140" s="49" t="str">
        <f t="shared" si="1"/>
        <v>Elections</v>
      </c>
      <c r="C1140" s="49" t="str">
        <f t="shared" si="2"/>
        <v>Elections; False impersonation as a party official</v>
      </c>
      <c r="D1140" s="49" t="str">
        <f t="shared" si="3"/>
        <v>25-2424</v>
      </c>
      <c r="E1140" s="11" t="s">
        <v>133</v>
      </c>
      <c r="F1140" s="11">
        <v>3.0</v>
      </c>
      <c r="G1140" s="11">
        <v>3.0</v>
      </c>
      <c r="H1140" s="11">
        <v>3.0</v>
      </c>
      <c r="I1140" s="11">
        <v>3.0</v>
      </c>
    </row>
    <row r="1141">
      <c r="A1141" s="10" t="s">
        <v>7538</v>
      </c>
      <c r="B1141" s="49" t="str">
        <f t="shared" si="1"/>
        <v>Elections</v>
      </c>
      <c r="C1141" s="49" t="str">
        <f t="shared" si="2"/>
        <v>Elections; False Impersonation of a Voter; representing oneself as another and then voting or attempting such</v>
      </c>
      <c r="D1141" s="49" t="str">
        <f t="shared" si="3"/>
        <v>25-2431(a)</v>
      </c>
      <c r="E1141" s="11" t="s">
        <v>133</v>
      </c>
      <c r="F1141" s="11">
        <v>3.0</v>
      </c>
      <c r="G1141" s="11">
        <v>3.0</v>
      </c>
      <c r="H1141" s="11">
        <v>3.0</v>
      </c>
      <c r="I1141" s="11">
        <v>3.0</v>
      </c>
    </row>
    <row r="1142">
      <c r="A1142" s="10" t="s">
        <v>7539</v>
      </c>
      <c r="B1142" s="49" t="str">
        <f t="shared" si="1"/>
        <v>Elections</v>
      </c>
      <c r="C1142" s="49" t="str">
        <f t="shared" si="2"/>
        <v>Elections; False statement on an advanced voting application for ballot</v>
      </c>
      <c r="D1142" s="49" t="str">
        <f t="shared" si="3"/>
        <v>25-1122d</v>
      </c>
      <c r="E1142" s="11" t="s">
        <v>133</v>
      </c>
      <c r="F1142" s="11">
        <v>3.0</v>
      </c>
      <c r="G1142" s="11">
        <v>3.0</v>
      </c>
      <c r="H1142" s="11">
        <v>3.0</v>
      </c>
      <c r="I1142" s="11">
        <v>3.0</v>
      </c>
    </row>
    <row r="1143">
      <c r="A1143" s="10" t="s">
        <v>7540</v>
      </c>
      <c r="B1143" s="49" t="str">
        <f t="shared" si="1"/>
        <v>Elections</v>
      </c>
      <c r="C1143" s="49" t="str">
        <f t="shared" si="2"/>
        <v>Elections; Forgery; knowingly, with intent to induce official action, sign or affix any name other than one's own to a certificate of nomination, nomination paper or any petition under the election laws of this state</v>
      </c>
      <c r="D1143" s="49" t="str">
        <f t="shared" si="3"/>
        <v>25-2412(a)</v>
      </c>
      <c r="E1143" s="11" t="s">
        <v>133</v>
      </c>
      <c r="F1143" s="11">
        <v>3.0</v>
      </c>
      <c r="G1143" s="11">
        <v>3.0</v>
      </c>
      <c r="H1143" s="11">
        <v>3.0</v>
      </c>
      <c r="I1143" s="11">
        <v>3.0</v>
      </c>
    </row>
    <row r="1144">
      <c r="A1144" s="10" t="s">
        <v>7541</v>
      </c>
      <c r="B1144" s="49" t="str">
        <f t="shared" si="1"/>
        <v>Elections</v>
      </c>
      <c r="C1144" s="49" t="str">
        <f t="shared" si="2"/>
        <v>Elections; Forgery; mark any other person's ballot contrary to the directions of such person</v>
      </c>
      <c r="D1144" s="49" t="str">
        <f t="shared" si="3"/>
        <v>25-2412(c)</v>
      </c>
      <c r="E1144" s="11" t="s">
        <v>133</v>
      </c>
      <c r="F1144" s="11">
        <v>3.0</v>
      </c>
      <c r="G1144" s="11">
        <v>3.0</v>
      </c>
      <c r="H1144" s="11">
        <v>3.0</v>
      </c>
      <c r="I1144" s="11">
        <v>3.0</v>
      </c>
    </row>
    <row r="1145">
      <c r="A1145" s="10" t="s">
        <v>7542</v>
      </c>
      <c r="B1145" s="49" t="str">
        <f t="shared" si="1"/>
        <v>Elections</v>
      </c>
      <c r="C1145" s="49" t="str">
        <f t="shared" si="2"/>
        <v>Elections; Forgery; mark any other person's ballot without such person's consent</v>
      </c>
      <c r="D1145" s="49" t="str">
        <f t="shared" si="3"/>
        <v>25-2412(b)</v>
      </c>
      <c r="E1145" s="11" t="s">
        <v>133</v>
      </c>
      <c r="F1145" s="11">
        <v>3.0</v>
      </c>
      <c r="G1145" s="11">
        <v>3.0</v>
      </c>
      <c r="H1145" s="11">
        <v>3.0</v>
      </c>
      <c r="I1145" s="11">
        <v>3.0</v>
      </c>
    </row>
    <row r="1146">
      <c r="A1146" s="10" t="s">
        <v>7543</v>
      </c>
      <c r="B1146" s="49" t="str">
        <f t="shared" si="1"/>
        <v>Elections</v>
      </c>
      <c r="C1146" s="49" t="str">
        <f t="shared" si="2"/>
        <v>Elections; Fraud by election officer; declare or otherwise proclaim election result based upon fraudulent, fictitious or illegal votes</v>
      </c>
      <c r="D1146" s="49" t="str">
        <f t="shared" si="3"/>
        <v>25-2420(g)</v>
      </c>
      <c r="E1146" s="11" t="s">
        <v>133</v>
      </c>
      <c r="F1146" s="11">
        <v>3.0</v>
      </c>
      <c r="G1146" s="11">
        <v>3.0</v>
      </c>
      <c r="H1146" s="11">
        <v>3.0</v>
      </c>
      <c r="I1146" s="11">
        <v>3.0</v>
      </c>
    </row>
    <row r="1147">
      <c r="A1147" s="10" t="s">
        <v>7544</v>
      </c>
      <c r="B1147" s="49" t="str">
        <f t="shared" si="1"/>
        <v>Elections</v>
      </c>
      <c r="C1147" s="49" t="str">
        <f t="shared" si="2"/>
        <v>Elections; Fraud by election officer; declare or otherwise proclaim false election result</v>
      </c>
      <c r="D1147" s="49" t="str">
        <f t="shared" si="3"/>
        <v>25-2420(f)</v>
      </c>
      <c r="E1147" s="11" t="s">
        <v>133</v>
      </c>
      <c r="F1147" s="11">
        <v>3.0</v>
      </c>
      <c r="G1147" s="11">
        <v>3.0</v>
      </c>
      <c r="H1147" s="11">
        <v>3.0</v>
      </c>
      <c r="I1147" s="11">
        <v>3.0</v>
      </c>
    </row>
    <row r="1148">
      <c r="A1148" s="10" t="s">
        <v>7545</v>
      </c>
      <c r="B1148" s="49" t="str">
        <f t="shared" si="1"/>
        <v>Elections</v>
      </c>
      <c r="C1148" s="49" t="str">
        <f t="shared" si="2"/>
        <v>Elections; Fraud by election officer; enter in poll book, registration book or party affiliation list the name of a person not qualified to vote</v>
      </c>
      <c r="D1148" s="49" t="str">
        <f t="shared" si="3"/>
        <v>25-2420(h)</v>
      </c>
      <c r="E1148" s="11" t="s">
        <v>133</v>
      </c>
      <c r="F1148" s="11">
        <v>3.0</v>
      </c>
      <c r="G1148" s="11">
        <v>3.0</v>
      </c>
      <c r="H1148" s="11">
        <v>3.0</v>
      </c>
      <c r="I1148" s="11">
        <v>3.0</v>
      </c>
    </row>
    <row r="1149">
      <c r="A1149" s="10" t="s">
        <v>7546</v>
      </c>
      <c r="B1149" s="49" t="str">
        <f t="shared" si="1"/>
        <v>Elections</v>
      </c>
      <c r="C1149" s="49" t="str">
        <f t="shared" si="2"/>
        <v>Elections; Fraud by election officer; enter in poll book, registration book or party affiliation list the name of a person who has not voted when in fact such person has not voted</v>
      </c>
      <c r="D1149" s="49" t="str">
        <f t="shared" si="3"/>
        <v>25-2420(i)</v>
      </c>
      <c r="E1149" s="11" t="s">
        <v>133</v>
      </c>
      <c r="F1149" s="11">
        <v>3.0</v>
      </c>
      <c r="G1149" s="11">
        <v>3.0</v>
      </c>
      <c r="H1149" s="11">
        <v>3.0</v>
      </c>
      <c r="I1149" s="11">
        <v>3.0</v>
      </c>
    </row>
    <row r="1150">
      <c r="A1150" s="10" t="s">
        <v>7547</v>
      </c>
      <c r="B1150" s="49" t="str">
        <f t="shared" si="1"/>
        <v>Elections</v>
      </c>
      <c r="C1150" s="49" t="str">
        <f t="shared" si="2"/>
        <v>Elections; Fraud by election officer; issue, grant, mail or deliver any false, fraudulent or illegal certificate of nomination or certificate of election</v>
      </c>
      <c r="D1150" s="49" t="str">
        <f t="shared" si="3"/>
        <v>25-2420(e)</v>
      </c>
      <c r="E1150" s="11" t="s">
        <v>133</v>
      </c>
      <c r="F1150" s="11">
        <v>3.0</v>
      </c>
      <c r="G1150" s="11">
        <v>3.0</v>
      </c>
      <c r="H1150" s="11">
        <v>3.0</v>
      </c>
      <c r="I1150" s="11">
        <v>3.0</v>
      </c>
    </row>
    <row r="1151">
      <c r="A1151" s="10" t="s">
        <v>7548</v>
      </c>
      <c r="B1151" s="49" t="str">
        <f t="shared" si="1"/>
        <v>Elections</v>
      </c>
      <c r="C1151" s="49" t="str">
        <f t="shared" si="2"/>
        <v>Elections; Fraud by election officer; possess falsely made, altered, forged or counterfeit poll books, registration books, party affiliation lists, election abstracts or returns or any other election papers</v>
      </c>
      <c r="D1151" s="49" t="str">
        <f t="shared" si="3"/>
        <v>25-2420(c)</v>
      </c>
      <c r="E1151" s="11" t="s">
        <v>133</v>
      </c>
      <c r="F1151" s="11">
        <v>3.0</v>
      </c>
      <c r="G1151" s="11">
        <v>3.0</v>
      </c>
      <c r="H1151" s="11">
        <v>3.0</v>
      </c>
      <c r="I1151" s="11">
        <v>3.0</v>
      </c>
    </row>
    <row r="1152">
      <c r="A1152" s="10" t="s">
        <v>7549</v>
      </c>
      <c r="B1152" s="49" t="str">
        <f t="shared" si="1"/>
        <v>Elections</v>
      </c>
      <c r="C1152" s="49" t="str">
        <f t="shared" si="2"/>
        <v>Elections; Fraud by election officer; receive vote by a person not registered otherwise not qualified to vote</v>
      </c>
      <c r="D1152" s="49" t="str">
        <f t="shared" si="3"/>
        <v>25-2420(a)</v>
      </c>
      <c r="E1152" s="11" t="s">
        <v>133</v>
      </c>
      <c r="F1152" s="11">
        <v>3.0</v>
      </c>
      <c r="G1152" s="11">
        <v>3.0</v>
      </c>
      <c r="H1152" s="11">
        <v>3.0</v>
      </c>
      <c r="I1152" s="11">
        <v>3.0</v>
      </c>
    </row>
    <row r="1153">
      <c r="A1153" s="10" t="s">
        <v>7550</v>
      </c>
      <c r="B1153" s="49" t="str">
        <f t="shared" si="1"/>
        <v>Elections</v>
      </c>
      <c r="C1153" s="49" t="str">
        <f t="shared" si="2"/>
        <v>Elections; Fraud by election officer; receive vote offered by a person who voted previously in same election</v>
      </c>
      <c r="D1153" s="49" t="str">
        <f t="shared" si="3"/>
        <v>25-2420(b)</v>
      </c>
      <c r="E1153" s="11" t="s">
        <v>133</v>
      </c>
      <c r="F1153" s="11">
        <v>3.0</v>
      </c>
      <c r="G1153" s="11">
        <v>3.0</v>
      </c>
      <c r="H1153" s="11">
        <v>3.0</v>
      </c>
      <c r="I1153" s="11">
        <v>3.0</v>
      </c>
    </row>
    <row r="1154">
      <c r="A1154" s="10" t="s">
        <v>7551</v>
      </c>
      <c r="B1154" s="49" t="str">
        <f t="shared" si="1"/>
        <v>Elections</v>
      </c>
      <c r="C1154" s="49" t="str">
        <f t="shared" si="2"/>
        <v>Elections; Fraud by election officer; receive, canvass, count or tally any ballots, votes or election returns which are fraudulent, forged, counterfeited or illegal</v>
      </c>
      <c r="D1154" s="49" t="str">
        <f t="shared" si="3"/>
        <v>25-2420(d)</v>
      </c>
      <c r="E1154" s="11" t="s">
        <v>133</v>
      </c>
      <c r="F1154" s="11">
        <v>3.0</v>
      </c>
      <c r="G1154" s="11">
        <v>3.0</v>
      </c>
      <c r="H1154" s="11">
        <v>3.0</v>
      </c>
      <c r="I1154" s="11">
        <v>3.0</v>
      </c>
    </row>
    <row r="1155">
      <c r="A1155" s="10" t="s">
        <v>7552</v>
      </c>
      <c r="B1155" s="49" t="str">
        <f t="shared" si="1"/>
        <v>Elections</v>
      </c>
      <c r="C1155" s="49" t="str">
        <f t="shared" si="2"/>
        <v>Elections; Intentionally inducing or aiding any person to vote in more than one jurisdiction in United States in election held on  particular date</v>
      </c>
      <c r="D1155" s="49" t="str">
        <f t="shared" si="3"/>
        <v>25-2434(a)(4)</v>
      </c>
      <c r="E1155" s="11" t="s">
        <v>133</v>
      </c>
      <c r="F1155" s="11">
        <v>3.0</v>
      </c>
      <c r="G1155" s="11">
        <v>3.0</v>
      </c>
      <c r="H1155" s="11">
        <v>3.0</v>
      </c>
      <c r="I1155" s="11">
        <v>3.0</v>
      </c>
    </row>
    <row r="1156">
      <c r="A1156" s="10" t="s">
        <v>7553</v>
      </c>
      <c r="B1156" s="49" t="str">
        <f t="shared" si="1"/>
        <v>Elections</v>
      </c>
      <c r="C1156" s="49" t="str">
        <f t="shared" si="2"/>
        <v>Elections; Intentionally inducing or aiding any person to vote more than once in same jurisdiction in election held on particular date</v>
      </c>
      <c r="D1156" s="49" t="str">
        <f t="shared" si="3"/>
        <v>25-2434(a)(3)</v>
      </c>
      <c r="E1156" s="11" t="s">
        <v>133</v>
      </c>
      <c r="F1156" s="11">
        <v>3.0</v>
      </c>
      <c r="G1156" s="11">
        <v>3.0</v>
      </c>
      <c r="H1156" s="11">
        <v>3.0</v>
      </c>
      <c r="I1156" s="11">
        <v>3.0</v>
      </c>
    </row>
    <row r="1157">
      <c r="A1157" s="10" t="s">
        <v>7554</v>
      </c>
      <c r="B1157" s="49" t="str">
        <f t="shared" si="1"/>
        <v>Elections</v>
      </c>
      <c r="C1157" s="49" t="str">
        <f t="shared" si="2"/>
        <v>Elections; Intentionally obstructing an employee in his or her exercise of voting privilege or imposing a penalty upon an employee exercising his or her voting privilege</v>
      </c>
      <c r="D1157" s="49" t="str">
        <f t="shared" si="3"/>
        <v>25-418</v>
      </c>
      <c r="E1157" s="11" t="s">
        <v>133</v>
      </c>
      <c r="F1157" s="11">
        <v>3.0</v>
      </c>
      <c r="G1157" s="11">
        <v>3.0</v>
      </c>
      <c r="H1157" s="11">
        <v>3.0</v>
      </c>
      <c r="I1157" s="11">
        <v>3.0</v>
      </c>
    </row>
    <row r="1158">
      <c r="A1158" s="10" t="s">
        <v>7555</v>
      </c>
      <c r="B1158" s="49" t="str">
        <f t="shared" si="1"/>
        <v>Elections</v>
      </c>
      <c r="C1158" s="49" t="str">
        <f t="shared" si="2"/>
        <v>Elections; Intentionally voting or attempting to vote in more than one jurisdiction in United States in election held on particular date</v>
      </c>
      <c r="D1158" s="49" t="str">
        <f t="shared" si="3"/>
        <v>25-2434(a)(2)</v>
      </c>
      <c r="E1158" s="11" t="s">
        <v>133</v>
      </c>
      <c r="F1158" s="11">
        <v>3.0</v>
      </c>
      <c r="G1158" s="11">
        <v>3.0</v>
      </c>
      <c r="H1158" s="11">
        <v>3.0</v>
      </c>
      <c r="I1158" s="11">
        <v>3.0</v>
      </c>
    </row>
    <row r="1159">
      <c r="A1159" s="10" t="s">
        <v>7556</v>
      </c>
      <c r="B1159" s="49" t="str">
        <f t="shared" si="1"/>
        <v>Elections</v>
      </c>
      <c r="C1159" s="49" t="str">
        <f t="shared" si="2"/>
        <v>Elections; Intentionally voting or attempting to vote more than once in same jurisdiction in election held on particular date</v>
      </c>
      <c r="D1159" s="49" t="str">
        <f t="shared" si="3"/>
        <v>25-2434(a)(1)</v>
      </c>
      <c r="E1159" s="11" t="s">
        <v>133</v>
      </c>
      <c r="F1159" s="11">
        <v>3.0</v>
      </c>
      <c r="G1159" s="11">
        <v>3.0</v>
      </c>
      <c r="H1159" s="11">
        <v>3.0</v>
      </c>
      <c r="I1159" s="11">
        <v>3.0</v>
      </c>
    </row>
    <row r="1160">
      <c r="A1160" s="10" t="s">
        <v>7557</v>
      </c>
      <c r="B1160" s="49" t="str">
        <f t="shared" si="1"/>
        <v>Elections</v>
      </c>
      <c r="C1160" s="49" t="str">
        <f t="shared" si="2"/>
        <v>Elections; Intercepting, interfering with, or delaying the transmission of advance voting ballots from the county election officer to the voter</v>
      </c>
      <c r="D1160" s="49" t="str">
        <f t="shared" si="3"/>
        <v>25-1128(d)</v>
      </c>
      <c r="E1160" s="11" t="s">
        <v>133</v>
      </c>
      <c r="F1160" s="11">
        <v>3.0</v>
      </c>
      <c r="G1160" s="11">
        <v>3.0</v>
      </c>
      <c r="H1160" s="11">
        <v>3.0</v>
      </c>
      <c r="I1160" s="11">
        <v>3.0</v>
      </c>
    </row>
    <row r="1161">
      <c r="A1161" s="10" t="s">
        <v>7558</v>
      </c>
      <c r="B1161" s="49" t="str">
        <f t="shared" si="1"/>
        <v>Elections</v>
      </c>
      <c r="C1161" s="49" t="str">
        <f t="shared" si="2"/>
        <v>Elections; Interfering with/delaying the transmission of any advance voting ballot application to the county election officer, or mailing, faxing or sending the application to a place other than the county election office</v>
      </c>
      <c r="D1161" s="49" t="str">
        <f t="shared" si="3"/>
        <v>25-1128(b)</v>
      </c>
      <c r="E1161" s="11" t="s">
        <v>133</v>
      </c>
      <c r="F1161" s="11">
        <v>3.0</v>
      </c>
      <c r="G1161" s="11">
        <v>3.0</v>
      </c>
      <c r="H1161" s="11">
        <v>3.0</v>
      </c>
      <c r="I1161" s="11">
        <v>3.0</v>
      </c>
    </row>
    <row r="1162">
      <c r="A1162" s="10" t="s">
        <v>7559</v>
      </c>
      <c r="B1162" s="49" t="str">
        <f t="shared" si="1"/>
        <v>Elections</v>
      </c>
      <c r="C1162" s="49" t="str">
        <f t="shared" si="2"/>
        <v>Elections; Intimidation of voters</v>
      </c>
      <c r="D1162" s="49" t="str">
        <f t="shared" si="3"/>
        <v>25-2415(a)(1)</v>
      </c>
      <c r="E1162" s="11" t="s">
        <v>133</v>
      </c>
      <c r="F1162" s="11">
        <v>3.0</v>
      </c>
      <c r="G1162" s="11">
        <v>3.0</v>
      </c>
      <c r="H1162" s="11">
        <v>3.0</v>
      </c>
      <c r="I1162" s="11">
        <v>3.0</v>
      </c>
    </row>
    <row r="1163">
      <c r="A1163" s="10" t="s">
        <v>7560</v>
      </c>
      <c r="B1163" s="49" t="str">
        <f t="shared" si="1"/>
        <v>Elections</v>
      </c>
      <c r="C1163" s="49" t="str">
        <f t="shared" si="2"/>
        <v>Elections; Intimidation of voters using media for false information</v>
      </c>
      <c r="D1163" s="49" t="str">
        <f t="shared" si="3"/>
        <v>25-2415(a)(2)</v>
      </c>
      <c r="E1163" s="11" t="s">
        <v>133</v>
      </c>
      <c r="F1163" s="11">
        <v>3.0</v>
      </c>
      <c r="G1163" s="11">
        <v>3.0</v>
      </c>
      <c r="H1163" s="11">
        <v>3.0</v>
      </c>
      <c r="I1163" s="11">
        <v>3.0</v>
      </c>
    </row>
    <row r="1164">
      <c r="A1164" s="10" t="s">
        <v>7561</v>
      </c>
      <c r="B1164" s="49" t="str">
        <f t="shared" si="1"/>
        <v>Elections</v>
      </c>
      <c r="C1164" s="49" t="str">
        <f t="shared" si="2"/>
        <v>Elections; Knowingly and falsely affirm, declare or subscribe to material fact in affirmation form for advance voting ballot</v>
      </c>
      <c r="D1164" s="49" t="str">
        <f t="shared" si="3"/>
        <v>25-1128(f)</v>
      </c>
      <c r="E1164" s="11" t="s">
        <v>133</v>
      </c>
      <c r="F1164" s="11">
        <v>3.0</v>
      </c>
      <c r="G1164" s="11">
        <v>3.0</v>
      </c>
      <c r="H1164" s="11">
        <v>3.0</v>
      </c>
      <c r="I1164" s="11">
        <v>3.0</v>
      </c>
    </row>
    <row r="1165">
      <c r="A1165" s="10" t="s">
        <v>7562</v>
      </c>
      <c r="B1165" s="49" t="str">
        <f t="shared" si="1"/>
        <v>Elections</v>
      </c>
      <c r="C1165" s="49" t="str">
        <f t="shared" si="2"/>
        <v>Elections; Marking ballots to identify</v>
      </c>
      <c r="D1165" s="49" t="str">
        <f t="shared" si="3"/>
        <v>25-2427</v>
      </c>
      <c r="E1165" s="11" t="s">
        <v>133</v>
      </c>
      <c r="F1165" s="11">
        <v>3.0</v>
      </c>
      <c r="G1165" s="11">
        <v>3.0</v>
      </c>
      <c r="H1165" s="11">
        <v>3.0</v>
      </c>
      <c r="I1165" s="11">
        <v>3.0</v>
      </c>
    </row>
    <row r="1166">
      <c r="A1166" s="10" t="s">
        <v>7563</v>
      </c>
      <c r="B1166" s="49" t="str">
        <f t="shared" si="1"/>
        <v>Elections</v>
      </c>
      <c r="C1166" s="49" t="str">
        <f t="shared" si="2"/>
        <v>Elections; Marking or transmitting to the county election officer more than one advance voting ballot</v>
      </c>
      <c r="D1166" s="49" t="str">
        <f t="shared" si="3"/>
        <v>25-1128(a)</v>
      </c>
      <c r="E1166" s="11" t="s">
        <v>133</v>
      </c>
      <c r="F1166" s="11">
        <v>3.0</v>
      </c>
      <c r="G1166" s="11">
        <v>3.0</v>
      </c>
      <c r="H1166" s="11">
        <v>3.0</v>
      </c>
      <c r="I1166" s="11">
        <v>3.0</v>
      </c>
    </row>
    <row r="1167">
      <c r="A1167" s="10" t="s">
        <v>7564</v>
      </c>
      <c r="B1167" s="49" t="str">
        <f t="shared" si="1"/>
        <v>Elections</v>
      </c>
      <c r="C1167" s="49" t="str">
        <f t="shared" si="2"/>
        <v>Elections; Misconduct of an election officer; being grossly neglectful in election duties</v>
      </c>
      <c r="D1167" s="49" t="str">
        <f t="shared" si="3"/>
        <v>25-2419(a)</v>
      </c>
      <c r="E1167" s="11" t="s">
        <v>133</v>
      </c>
      <c r="F1167" s="11">
        <v>3.0</v>
      </c>
      <c r="G1167" s="11">
        <v>3.0</v>
      </c>
      <c r="H1167" s="11">
        <v>3.0</v>
      </c>
      <c r="I1167" s="11">
        <v>3.0</v>
      </c>
    </row>
    <row r="1168">
      <c r="A1168" s="10" t="s">
        <v>7565</v>
      </c>
      <c r="B1168" s="49" t="str">
        <f t="shared" si="1"/>
        <v>Elections</v>
      </c>
      <c r="C1168" s="49" t="str">
        <f t="shared" si="2"/>
        <v>Elections; Misconduct of an election officer; changing the ballot of a voter</v>
      </c>
      <c r="D1168" s="49" t="str">
        <f t="shared" si="3"/>
        <v>25-2419(c)</v>
      </c>
      <c r="E1168" s="11" t="s">
        <v>133</v>
      </c>
      <c r="F1168" s="11">
        <v>3.0</v>
      </c>
      <c r="G1168" s="11">
        <v>3.0</v>
      </c>
      <c r="H1168" s="11">
        <v>3.0</v>
      </c>
      <c r="I1168" s="11">
        <v>3.0</v>
      </c>
    </row>
    <row r="1169">
      <c r="A1169" s="10" t="s">
        <v>7566</v>
      </c>
      <c r="B1169" s="49" t="str">
        <f t="shared" si="1"/>
        <v>Elections</v>
      </c>
      <c r="C1169" s="49" t="str">
        <f t="shared" si="2"/>
        <v>Elections; Misconduct of an election officer; furnish a voter with a ballot/informing such voter that any of its contents are different from that which appear thereon with intent to induce such voter to vote contrary to such voter's inclinations</v>
      </c>
      <c r="D1169" s="49" t="str">
        <f t="shared" si="3"/>
        <v>25-2419(b)</v>
      </c>
      <c r="E1169" s="11" t="s">
        <v>133</v>
      </c>
      <c r="F1169" s="11">
        <v>3.0</v>
      </c>
      <c r="G1169" s="11">
        <v>3.0</v>
      </c>
      <c r="H1169" s="11">
        <v>3.0</v>
      </c>
      <c r="I1169" s="11">
        <v>3.0</v>
      </c>
    </row>
    <row r="1170">
      <c r="A1170" s="10" t="s">
        <v>7567</v>
      </c>
      <c r="B1170" s="49" t="str">
        <f t="shared" si="1"/>
        <v>Elections</v>
      </c>
      <c r="C1170" s="49" t="str">
        <f t="shared" si="2"/>
        <v>Elections; Misconduct of an election officer; preventing a qualified elector from voting</v>
      </c>
      <c r="D1170" s="49" t="str">
        <f t="shared" si="3"/>
        <v>25-2419(e)</v>
      </c>
      <c r="E1170" s="11" t="s">
        <v>133</v>
      </c>
      <c r="F1170" s="11">
        <v>3.0</v>
      </c>
      <c r="G1170" s="11">
        <v>3.0</v>
      </c>
      <c r="H1170" s="11">
        <v>3.0</v>
      </c>
      <c r="I1170" s="11">
        <v>3.0</v>
      </c>
    </row>
    <row r="1171">
      <c r="A1171" s="10" t="s">
        <v>7568</v>
      </c>
      <c r="B1171" s="49" t="str">
        <f t="shared" si="1"/>
        <v>Elections</v>
      </c>
      <c r="C1171" s="49" t="str">
        <f t="shared" si="2"/>
        <v>Elections; Misconduct of an election officer; refusing to receive vote of a qualified elector when duly offered</v>
      </c>
      <c r="D1171" s="49" t="str">
        <f t="shared" si="3"/>
        <v>25-2419(f)</v>
      </c>
      <c r="E1171" s="11" t="s">
        <v>133</v>
      </c>
      <c r="F1171" s="11">
        <v>3.0</v>
      </c>
      <c r="G1171" s="11">
        <v>3.0</v>
      </c>
      <c r="H1171" s="11">
        <v>3.0</v>
      </c>
      <c r="I1171" s="11">
        <v>3.0</v>
      </c>
    </row>
    <row r="1172">
      <c r="A1172" s="10" t="s">
        <v>7569</v>
      </c>
      <c r="B1172" s="49" t="str">
        <f t="shared" si="1"/>
        <v>Elections</v>
      </c>
      <c r="C1172" s="49" t="str">
        <f t="shared" si="2"/>
        <v>Elections; Misconduct of an election officer; willfully permit any person to testify as a witness or make an affidavit contrary to law</v>
      </c>
      <c r="D1172" s="49" t="str">
        <f t="shared" si="3"/>
        <v>25-2419(d)</v>
      </c>
      <c r="E1172" s="11" t="s">
        <v>133</v>
      </c>
      <c r="F1172" s="11">
        <v>3.0</v>
      </c>
      <c r="G1172" s="11">
        <v>3.0</v>
      </c>
      <c r="H1172" s="11">
        <v>3.0</v>
      </c>
      <c r="I1172" s="11">
        <v>3.0</v>
      </c>
    </row>
    <row r="1173">
      <c r="A1173" s="10" t="s">
        <v>7570</v>
      </c>
      <c r="B1173" s="49" t="str">
        <f t="shared" si="1"/>
        <v>Elections</v>
      </c>
      <c r="C1173" s="49" t="str">
        <f t="shared" si="2"/>
        <v>Elections; Optical Scanning Equipment Fraud; intentionally tamper with, alter, disarrange, deface, impair or destroy any optical scanning equipment or component part thereof, or any ballot, operating system, firmware or software used by such system</v>
      </c>
      <c r="D1173" s="49" t="str">
        <f t="shared" si="3"/>
        <v>25-4612(b)</v>
      </c>
      <c r="E1173" s="11" t="s">
        <v>133</v>
      </c>
      <c r="F1173" s="11">
        <v>3.0</v>
      </c>
      <c r="G1173" s="11">
        <v>3.0</v>
      </c>
      <c r="H1173" s="11">
        <v>3.0</v>
      </c>
      <c r="I1173" s="11">
        <v>3.0</v>
      </c>
    </row>
    <row r="1174">
      <c r="A1174" s="10" t="s">
        <v>7571</v>
      </c>
      <c r="B1174" s="49" t="str">
        <f t="shared" si="1"/>
        <v>Elections</v>
      </c>
      <c r="C1174" s="49" t="str">
        <f t="shared" si="2"/>
        <v>Elections; Optical Scanning Equipment Fraud; unlawful or unauthorized possession of ballots, optical scanning equipment, computer programs, operating systems, firmware or software</v>
      </c>
      <c r="D1174" s="49" t="str">
        <f t="shared" si="3"/>
        <v>25-4612(a)</v>
      </c>
      <c r="E1174" s="11" t="s">
        <v>133</v>
      </c>
      <c r="F1174" s="11">
        <v>3.0</v>
      </c>
      <c r="G1174" s="11">
        <v>3.0</v>
      </c>
      <c r="H1174" s="11">
        <v>3.0</v>
      </c>
      <c r="I1174" s="11">
        <v>3.0</v>
      </c>
    </row>
    <row r="1175">
      <c r="A1175" s="10" t="s">
        <v>7572</v>
      </c>
      <c r="B1175" s="49" t="str">
        <f t="shared" si="1"/>
        <v>Elections</v>
      </c>
      <c r="C1175" s="49" t="str">
        <f t="shared" si="2"/>
        <v>Elections; Organizations promoting or opposing candidates or propositions required to have treasurer and keep accounts of receipts and expenditures and file annual statements</v>
      </c>
      <c r="D1175" s="49" t="str">
        <f t="shared" si="3"/>
        <v>25-901</v>
      </c>
      <c r="E1175" s="11" t="s">
        <v>133</v>
      </c>
      <c r="F1175" s="11">
        <v>3.0</v>
      </c>
      <c r="G1175" s="11">
        <v>3.0</v>
      </c>
      <c r="H1175" s="11">
        <v>3.0</v>
      </c>
      <c r="I1175" s="11">
        <v>3.0</v>
      </c>
    </row>
    <row r="1176">
      <c r="A1176" s="10" t="s">
        <v>7573</v>
      </c>
      <c r="B1176" s="49" t="str">
        <f t="shared" si="1"/>
        <v>Elections</v>
      </c>
      <c r="C1176" s="49" t="str">
        <f t="shared" si="2"/>
        <v>Elections; Perjury; falsely swearing, affirming, declaring or subscribing; statements in an affidavit prescribed by chapter 25 of the K.S.A. or other election law of the state, or by the secretary of state or county election officer under election laws of this state</v>
      </c>
      <c r="D1176" s="49" t="str">
        <f t="shared" si="3"/>
        <v>25-2411(c)</v>
      </c>
      <c r="E1176" s="11" t="s">
        <v>133</v>
      </c>
      <c r="F1176" s="11">
        <v>3.0</v>
      </c>
      <c r="G1176" s="11">
        <v>3.0</v>
      </c>
      <c r="H1176" s="11">
        <v>3.0</v>
      </c>
      <c r="I1176" s="11">
        <v>3.0</v>
      </c>
    </row>
    <row r="1177">
      <c r="A1177" s="10" t="s">
        <v>7574</v>
      </c>
      <c r="B1177" s="49" t="str">
        <f t="shared" si="1"/>
        <v>Elections</v>
      </c>
      <c r="C1177" s="49" t="str">
        <f t="shared" si="2"/>
        <v>Elections; Perjury; falsely swearing, affirming, declaring or subscribing; statements in answer to questions by a county election officer or deputy county election officer relating to application for voter registration of a person</v>
      </c>
      <c r="D1177" s="49" t="str">
        <f t="shared" si="3"/>
        <v>25-2411(d)</v>
      </c>
      <c r="E1177" s="11" t="s">
        <v>133</v>
      </c>
      <c r="F1177" s="11">
        <v>3.0</v>
      </c>
      <c r="G1177" s="11">
        <v>3.0</v>
      </c>
      <c r="H1177" s="11">
        <v>3.0</v>
      </c>
      <c r="I1177" s="11">
        <v>3.0</v>
      </c>
    </row>
    <row r="1178">
      <c r="A1178" s="10" t="s">
        <v>7575</v>
      </c>
      <c r="B1178" s="49" t="str">
        <f t="shared" si="1"/>
        <v>Elections</v>
      </c>
      <c r="C1178" s="49" t="str">
        <f t="shared" si="2"/>
        <v>Elections; Perjury; falsely swearing, affirming, declaring or subscribing; statements in answer to questions by an election board member to a person asking for voter assistance</v>
      </c>
      <c r="D1178" s="49" t="str">
        <f t="shared" si="3"/>
        <v>25-2411(e)</v>
      </c>
      <c r="E1178" s="11" t="s">
        <v>133</v>
      </c>
      <c r="F1178" s="11">
        <v>3.0</v>
      </c>
      <c r="G1178" s="11">
        <v>3.0</v>
      </c>
      <c r="H1178" s="11">
        <v>3.0</v>
      </c>
      <c r="I1178" s="11">
        <v>3.0</v>
      </c>
    </row>
    <row r="1179">
      <c r="A1179" s="10" t="s">
        <v>7576</v>
      </c>
      <c r="B1179" s="49" t="str">
        <f t="shared" si="1"/>
        <v>Elections</v>
      </c>
      <c r="C1179" s="49" t="str">
        <f t="shared" si="2"/>
        <v>Elections; Perjury; falsely swearing, affirming, declaring or subscribing; statements in answer to questions of a person challenged as unqualified to vote</v>
      </c>
      <c r="D1179" s="49" t="str">
        <f t="shared" si="3"/>
        <v>25-2411(a)</v>
      </c>
      <c r="E1179" s="11" t="s">
        <v>133</v>
      </c>
      <c r="F1179" s="11">
        <v>3.0</v>
      </c>
      <c r="G1179" s="11">
        <v>3.0</v>
      </c>
      <c r="H1179" s="11">
        <v>3.0</v>
      </c>
      <c r="I1179" s="11">
        <v>3.0</v>
      </c>
    </row>
    <row r="1180">
      <c r="A1180" s="10" t="s">
        <v>7577</v>
      </c>
      <c r="B1180" s="49" t="str">
        <f t="shared" si="1"/>
        <v>Elections</v>
      </c>
      <c r="C1180" s="49" t="str">
        <f t="shared" si="2"/>
        <v>Elections; Perjury; falsely swearing, affirming, declaring or subscribing; statements in answer to questions of a witness concerning the qualifications of a person to vote</v>
      </c>
      <c r="D1180" s="49" t="str">
        <f t="shared" si="3"/>
        <v>25-2411(b)</v>
      </c>
      <c r="E1180" s="11" t="s">
        <v>133</v>
      </c>
      <c r="F1180" s="11">
        <v>3.0</v>
      </c>
      <c r="G1180" s="11">
        <v>3.0</v>
      </c>
      <c r="H1180" s="11">
        <v>3.0</v>
      </c>
      <c r="I1180" s="11">
        <v>3.0</v>
      </c>
    </row>
    <row r="1181">
      <c r="A1181" s="10" t="s">
        <v>7578</v>
      </c>
      <c r="B1181" s="49" t="str">
        <f t="shared" si="1"/>
        <v>Elections</v>
      </c>
      <c r="C1181" s="49" t="str">
        <f t="shared" si="2"/>
        <v>Elections; Perjury; falsely swearing, affirming, declaring or subscribing; statements of any witness at an election contest</v>
      </c>
      <c r="D1181" s="49" t="str">
        <f t="shared" si="3"/>
        <v>25-2411(f)</v>
      </c>
      <c r="E1181" s="11" t="s">
        <v>133</v>
      </c>
      <c r="F1181" s="11">
        <v>3.0</v>
      </c>
      <c r="G1181" s="11">
        <v>3.0</v>
      </c>
      <c r="H1181" s="11">
        <v>3.0</v>
      </c>
      <c r="I1181" s="11">
        <v>3.0</v>
      </c>
    </row>
    <row r="1182">
      <c r="A1182" s="10" t="s">
        <v>7579</v>
      </c>
      <c r="B1182" s="49" t="str">
        <f t="shared" si="1"/>
        <v>Elections</v>
      </c>
      <c r="C1182" s="49" t="str">
        <f t="shared" si="2"/>
        <v>Elections; Person assisting a sick, physically disabled or illiterate voter in applying for or marking an advance voting ballot; knowingly and willfully fail to sign and submit the statement required by this section or who exercises undue influence on the voting decision of such voter</v>
      </c>
      <c r="D1182" s="49" t="str">
        <f t="shared" si="3"/>
        <v>25-1124</v>
      </c>
      <c r="E1182" s="11" t="s">
        <v>133</v>
      </c>
      <c r="F1182" s="11">
        <v>3.0</v>
      </c>
      <c r="G1182" s="11">
        <v>3.0</v>
      </c>
      <c r="H1182" s="11">
        <v>3.0</v>
      </c>
      <c r="I1182" s="11">
        <v>3.0</v>
      </c>
    </row>
    <row r="1183">
      <c r="A1183" s="10" t="s">
        <v>7580</v>
      </c>
      <c r="B1183" s="49" t="str">
        <f t="shared" si="1"/>
        <v>Elections</v>
      </c>
      <c r="C1183" s="49" t="str">
        <f t="shared" si="2"/>
        <v>Elections; Person other than the voter, marking, signing or transmitting any advance voting ballot or advance voting ballot envelope to the county election officer</v>
      </c>
      <c r="D1183" s="49" t="str">
        <f t="shared" si="3"/>
        <v>25-1128(c)</v>
      </c>
      <c r="E1183" s="11" t="s">
        <v>133</v>
      </c>
      <c r="F1183" s="11">
        <v>3.0</v>
      </c>
      <c r="G1183" s="11">
        <v>3.0</v>
      </c>
      <c r="H1183" s="11">
        <v>3.0</v>
      </c>
      <c r="I1183" s="11">
        <v>3.0</v>
      </c>
    </row>
    <row r="1184">
      <c r="A1184" s="10" t="s">
        <v>7581</v>
      </c>
      <c r="B1184" s="49" t="str">
        <f t="shared" si="1"/>
        <v>Elections</v>
      </c>
      <c r="C1184" s="49" t="str">
        <f t="shared" si="2"/>
        <v>Elections; Possess false or forged election supplies</v>
      </c>
      <c r="D1184" s="49" t="str">
        <f t="shared" si="3"/>
        <v>25-2414</v>
      </c>
      <c r="E1184" s="11" t="s">
        <v>133</v>
      </c>
      <c r="F1184" s="11">
        <v>3.0</v>
      </c>
      <c r="G1184" s="11">
        <v>3.0</v>
      </c>
      <c r="H1184" s="11">
        <v>3.0</v>
      </c>
      <c r="I1184" s="11">
        <v>3.0</v>
      </c>
    </row>
    <row r="1185">
      <c r="A1185" s="10" t="s">
        <v>7582</v>
      </c>
      <c r="B1185" s="49" t="str">
        <f t="shared" si="1"/>
        <v>Elections</v>
      </c>
      <c r="C1185" s="49" t="str">
        <f t="shared" si="2"/>
        <v>Elections; Printing and circulating sample or imitation ballots</v>
      </c>
      <c r="D1185" s="49" t="str">
        <f t="shared" si="3"/>
        <v>25-2426</v>
      </c>
      <c r="E1185" s="11" t="s">
        <v>133</v>
      </c>
      <c r="F1185" s="11">
        <v>3.0</v>
      </c>
      <c r="G1185" s="11">
        <v>3.0</v>
      </c>
      <c r="H1185" s="11">
        <v>3.0</v>
      </c>
      <c r="I1185" s="11">
        <v>3.0</v>
      </c>
    </row>
    <row r="1186">
      <c r="A1186" s="10" t="s">
        <v>7583</v>
      </c>
      <c r="B1186" s="49" t="str">
        <f t="shared" si="1"/>
        <v>Elections</v>
      </c>
      <c r="C1186" s="49" t="str">
        <f t="shared" si="2"/>
        <v>Elections; Registration of Voters; false swearing to an affidavit given pursuant to K.S.A. 25-2316c</v>
      </c>
      <c r="D1186" s="49" t="str">
        <f t="shared" si="3"/>
        <v>25-2316a</v>
      </c>
      <c r="E1186" s="11" t="s">
        <v>133</v>
      </c>
      <c r="F1186" s="11">
        <v>3.0</v>
      </c>
      <c r="G1186" s="11">
        <v>3.0</v>
      </c>
      <c r="H1186" s="11">
        <v>3.0</v>
      </c>
      <c r="I1186" s="11">
        <v>3.0</v>
      </c>
    </row>
    <row r="1187">
      <c r="A1187" s="10" t="s">
        <v>7584</v>
      </c>
      <c r="B1187" s="49" t="str">
        <f t="shared" si="1"/>
        <v>Elections</v>
      </c>
      <c r="C1187" s="49" t="str">
        <f t="shared" si="2"/>
        <v>Elections; Registration of Voters; use of voter registration lists for commercial purposes</v>
      </c>
      <c r="D1187" s="49" t="str">
        <f t="shared" si="3"/>
        <v>25-2320a</v>
      </c>
      <c r="E1187" s="11" t="s">
        <v>133</v>
      </c>
      <c r="F1187" s="11">
        <v>3.0</v>
      </c>
      <c r="G1187" s="11">
        <v>3.0</v>
      </c>
      <c r="H1187" s="11">
        <v>3.0</v>
      </c>
      <c r="I1187" s="11">
        <v>3.0</v>
      </c>
    </row>
    <row r="1188">
      <c r="A1188" s="10" t="s">
        <v>7585</v>
      </c>
      <c r="B1188" s="49" t="str">
        <f t="shared" si="1"/>
        <v>Elections</v>
      </c>
      <c r="C1188" s="49" t="str">
        <f t="shared" si="2"/>
        <v>Elections; Signing a name other than ones own name to a petition for recall of a local officer, or who knowingly signs more than once for the same proposition at one election, or who signs the petition knowing he or she is not a registered elector</v>
      </c>
      <c r="D1188" s="49" t="str">
        <f t="shared" si="3"/>
        <v>25-4321</v>
      </c>
      <c r="E1188" s="11" t="s">
        <v>133</v>
      </c>
      <c r="F1188" s="11">
        <v>3.0</v>
      </c>
      <c r="G1188" s="11">
        <v>3.0</v>
      </c>
      <c r="H1188" s="11">
        <v>3.0</v>
      </c>
      <c r="I1188" s="11">
        <v>3.0</v>
      </c>
    </row>
    <row r="1189">
      <c r="A1189" s="10" t="s">
        <v>7586</v>
      </c>
      <c r="B1189" s="49" t="str">
        <f t="shared" si="1"/>
        <v>Elections</v>
      </c>
      <c r="C1189" s="49" t="str">
        <f t="shared" si="2"/>
        <v>Elections; Signing a name other than ones own name to a petition for recall of a state officer, or who knowingly signs more than once for the same proposition at one election, or who signs the petition knowing he or she is not a registered elector</v>
      </c>
      <c r="D1189" s="49" t="str">
        <f t="shared" si="3"/>
        <v>25-4309(b)</v>
      </c>
      <c r="E1189" s="11" t="s">
        <v>133</v>
      </c>
      <c r="F1189" s="11">
        <v>3.0</v>
      </c>
      <c r="G1189" s="11">
        <v>3.0</v>
      </c>
      <c r="H1189" s="11">
        <v>3.0</v>
      </c>
      <c r="I1189" s="11">
        <v>3.0</v>
      </c>
    </row>
    <row r="1190">
      <c r="A1190" s="10" t="s">
        <v>7587</v>
      </c>
      <c r="B1190" s="49" t="str">
        <f t="shared" si="1"/>
        <v>Elections</v>
      </c>
      <c r="C1190" s="49" t="str">
        <f t="shared" si="2"/>
        <v>Elections; Suppression; possess of a certificate of nomination, nomination papers or petition for candidacy entitled to be filed under any of the election laws of this state and suppressing, neglecting or failing to file the same at the proper time in the proper office</v>
      </c>
      <c r="D1190" s="49" t="str">
        <f t="shared" si="3"/>
        <v>25-2421(b)</v>
      </c>
      <c r="E1190" s="11" t="s">
        <v>133</v>
      </c>
      <c r="F1190" s="11">
        <v>3.0</v>
      </c>
      <c r="G1190" s="11">
        <v>3.0</v>
      </c>
      <c r="H1190" s="11">
        <v>3.0</v>
      </c>
      <c r="I1190" s="11">
        <v>3.0</v>
      </c>
    </row>
    <row r="1191">
      <c r="A1191" s="10" t="s">
        <v>7588</v>
      </c>
      <c r="B1191" s="49" t="str">
        <f t="shared" si="1"/>
        <v>Elections</v>
      </c>
      <c r="C1191" s="49" t="str">
        <f t="shared" si="2"/>
        <v>Elections; Suppression; suppress a certificate of nomination, nomination papers, petition for nomination or any part thereof which has been duly filed</v>
      </c>
      <c r="D1191" s="49" t="str">
        <f t="shared" si="3"/>
        <v>25-2421(a)</v>
      </c>
      <c r="E1191" s="11" t="s">
        <v>133</v>
      </c>
      <c r="F1191" s="11">
        <v>3.0</v>
      </c>
      <c r="G1191" s="11">
        <v>3.0</v>
      </c>
      <c r="H1191" s="11">
        <v>3.0</v>
      </c>
      <c r="I1191" s="11">
        <v>3.0</v>
      </c>
    </row>
    <row r="1192">
      <c r="A1192" s="10" t="s">
        <v>7589</v>
      </c>
      <c r="B1192" s="49" t="str">
        <f t="shared" si="1"/>
        <v>Elections</v>
      </c>
      <c r="C1192" s="49" t="str">
        <f t="shared" si="2"/>
        <v>Elections; Unauthorized Voting Disclosure; disclose or expose contents of a ballot or manner in which the ballot has been voted</v>
      </c>
      <c r="D1192" s="49" t="str">
        <f t="shared" si="3"/>
        <v>25-2422(a)(1)</v>
      </c>
      <c r="E1192" s="11" t="s">
        <v>133</v>
      </c>
      <c r="F1192" s="11">
        <v>3.0</v>
      </c>
      <c r="G1192" s="11">
        <v>3.0</v>
      </c>
      <c r="H1192" s="11">
        <v>3.0</v>
      </c>
      <c r="I1192" s="11">
        <v>3.0</v>
      </c>
    </row>
    <row r="1193">
      <c r="A1193" s="10" t="s">
        <v>7590</v>
      </c>
      <c r="B1193" s="49" t="str">
        <f t="shared" si="1"/>
        <v>Elections</v>
      </c>
      <c r="C1193" s="49" t="str">
        <f t="shared" si="2"/>
        <v>Elections; Unauthorized Voting Disclosure; endeavor to induce a voter to show how the voter marks or has marked the voter's ballot</v>
      </c>
      <c r="D1193" s="49" t="str">
        <f t="shared" si="3"/>
        <v>25-2422(b)(2)</v>
      </c>
      <c r="E1193" s="11" t="s">
        <v>133</v>
      </c>
      <c r="F1193" s="11">
        <v>3.0</v>
      </c>
      <c r="G1193" s="11">
        <v>3.0</v>
      </c>
      <c r="H1193" s="11">
        <v>3.0</v>
      </c>
      <c r="I1193" s="11">
        <v>3.0</v>
      </c>
    </row>
    <row r="1194">
      <c r="A1194" s="10" t="s">
        <v>7591</v>
      </c>
      <c r="B1194" s="49" t="str">
        <f t="shared" si="1"/>
        <v>Elections</v>
      </c>
      <c r="C1194" s="49" t="str">
        <f t="shared" si="2"/>
        <v>Elections; Voter Registration Suppression; destroy any application for voter registration</v>
      </c>
      <c r="D1194" s="49" t="str">
        <f t="shared" si="3"/>
        <v>25-2421a(a)(1)</v>
      </c>
      <c r="E1194" s="11" t="s">
        <v>133</v>
      </c>
      <c r="F1194" s="11">
        <v>3.0</v>
      </c>
      <c r="G1194" s="11">
        <v>3.0</v>
      </c>
      <c r="H1194" s="11">
        <v>3.0</v>
      </c>
      <c r="I1194" s="11">
        <v>3.0</v>
      </c>
    </row>
    <row r="1195">
      <c r="A1195" s="10" t="s">
        <v>7592</v>
      </c>
      <c r="B1195" s="49" t="str">
        <f t="shared" si="1"/>
        <v>Elections</v>
      </c>
      <c r="C1195" s="49" t="str">
        <f t="shared" si="2"/>
        <v>Elections; Voter Registration Suppression; fail to deliver a signed application for voter registration</v>
      </c>
      <c r="D1195" s="49" t="str">
        <f t="shared" si="3"/>
        <v>25-2421a(a)(3)</v>
      </c>
      <c r="E1195" s="11" t="s">
        <v>133</v>
      </c>
      <c r="F1195" s="11">
        <v>3.0</v>
      </c>
      <c r="G1195" s="11">
        <v>3.0</v>
      </c>
      <c r="H1195" s="11">
        <v>3.0</v>
      </c>
      <c r="I1195" s="11">
        <v>3.0</v>
      </c>
    </row>
    <row r="1196">
      <c r="A1196" s="10" t="s">
        <v>7593</v>
      </c>
      <c r="B1196" s="49" t="str">
        <f t="shared" si="1"/>
        <v>Elections</v>
      </c>
      <c r="C1196" s="49" t="str">
        <f t="shared" si="2"/>
        <v>Elections; Voter Registration Suppression; obstruct delivery of a signed application for voter registration</v>
      </c>
      <c r="D1196" s="49" t="str">
        <f t="shared" si="3"/>
        <v>25-2421a(a)(2)</v>
      </c>
      <c r="E1196" s="11" t="s">
        <v>133</v>
      </c>
      <c r="F1196" s="11">
        <v>3.0</v>
      </c>
      <c r="G1196" s="11">
        <v>3.0</v>
      </c>
      <c r="H1196" s="11">
        <v>3.0</v>
      </c>
      <c r="I1196" s="11">
        <v>3.0</v>
      </c>
    </row>
    <row r="1197">
      <c r="A1197" s="10" t="s">
        <v>7594</v>
      </c>
      <c r="B1197" s="49" t="str">
        <f t="shared" si="1"/>
        <v>Elections</v>
      </c>
      <c r="C1197" s="49" t="str">
        <f t="shared" si="2"/>
        <v>Elections; Voting by new and former residents in presidential elections; knowingly and willfully falsely declaring any material fact in a declaration form provided in K.S.A. 25-1806</v>
      </c>
      <c r="D1197" s="49" t="str">
        <f t="shared" si="3"/>
        <v>25-1806a</v>
      </c>
      <c r="E1197" s="11" t="s">
        <v>133</v>
      </c>
      <c r="F1197" s="11">
        <v>3.0</v>
      </c>
      <c r="G1197" s="11">
        <v>3.0</v>
      </c>
      <c r="H1197" s="11">
        <v>3.0</v>
      </c>
      <c r="I1197" s="11">
        <v>3.0</v>
      </c>
    </row>
    <row r="1198">
      <c r="A1198" s="10" t="s">
        <v>7595</v>
      </c>
      <c r="B1198" s="49" t="str">
        <f t="shared" si="1"/>
        <v>Elections</v>
      </c>
      <c r="C1198" s="49" t="str">
        <f t="shared" si="2"/>
        <v>Elections; Voting Machine Fraud; being in unlawful or unauthorized possession of a voting machine key</v>
      </c>
      <c r="D1198" s="49" t="str">
        <f t="shared" si="3"/>
        <v>25-2425(a)</v>
      </c>
      <c r="E1198" s="11" t="s">
        <v>133</v>
      </c>
      <c r="F1198" s="11">
        <v>3.0</v>
      </c>
      <c r="G1198" s="11">
        <v>3.0</v>
      </c>
      <c r="H1198" s="11">
        <v>3.0</v>
      </c>
      <c r="I1198" s="11">
        <v>3.0</v>
      </c>
    </row>
    <row r="1199">
      <c r="A1199" s="10" t="s">
        <v>7596</v>
      </c>
      <c r="B1199" s="49" t="str">
        <f t="shared" si="1"/>
        <v>Elections</v>
      </c>
      <c r="C1199" s="49" t="str">
        <f t="shared" si="2"/>
        <v>Elections; Voting Machine Fraud; intentionally tamper with, alter, disarrange, deface, impair or destroy any voting machine, automatic ballot, voting machine label or register or record made by a voting machine</v>
      </c>
      <c r="D1199" s="49" t="str">
        <f t="shared" si="3"/>
        <v>25-2425(b)</v>
      </c>
      <c r="E1199" s="11" t="s">
        <v>133</v>
      </c>
      <c r="F1199" s="11">
        <v>3.0</v>
      </c>
      <c r="G1199" s="11">
        <v>3.0</v>
      </c>
      <c r="H1199" s="11">
        <v>3.0</v>
      </c>
      <c r="I1199" s="11">
        <v>3.0</v>
      </c>
    </row>
    <row r="1200">
      <c r="A1200" s="10" t="s">
        <v>7597</v>
      </c>
      <c r="B1200" s="49" t="str">
        <f t="shared" si="1"/>
        <v>Elections</v>
      </c>
      <c r="C1200" s="49" t="str">
        <f t="shared" si="2"/>
        <v>Elections; Voting without being qualified; knowingly voting or attempting to vote at any election by a person not a U.S. citizen</v>
      </c>
      <c r="D1200" s="49" t="str">
        <f t="shared" si="3"/>
        <v>25-2416(a)(2)</v>
      </c>
      <c r="E1200" s="11" t="s">
        <v>133</v>
      </c>
      <c r="F1200" s="11">
        <v>3.0</v>
      </c>
      <c r="G1200" s="11">
        <v>3.0</v>
      </c>
      <c r="H1200" s="11">
        <v>3.0</v>
      </c>
      <c r="I1200" s="11">
        <v>3.0</v>
      </c>
    </row>
    <row r="1201">
      <c r="A1201" s="10" t="s">
        <v>7598</v>
      </c>
      <c r="B1201" s="49" t="str">
        <f t="shared" si="1"/>
        <v>Elections</v>
      </c>
      <c r="C1201" s="49" t="str">
        <f t="shared" si="2"/>
        <v>Elections; Voting without being qualified; knowingly voting or attempting to vote at any election district when not a lawfully registered voter in such election district</v>
      </c>
      <c r="D1201" s="49" t="str">
        <f t="shared" si="3"/>
        <v>25-2416(a)(1)</v>
      </c>
      <c r="E1201" s="11" t="s">
        <v>133</v>
      </c>
      <c r="F1201" s="11">
        <v>3.0</v>
      </c>
      <c r="G1201" s="11">
        <v>3.0</v>
      </c>
      <c r="H1201" s="11">
        <v>3.0</v>
      </c>
      <c r="I1201" s="11">
        <v>3.0</v>
      </c>
    </row>
    <row r="1202">
      <c r="A1202" s="10" t="s">
        <v>7599</v>
      </c>
      <c r="B1202" s="49" t="str">
        <f t="shared" si="1"/>
        <v>Elections</v>
      </c>
      <c r="C1202" s="49" t="str">
        <f t="shared" si="2"/>
        <v>Elections; Willfully and falsely affirm, declare or subscribe to any material fact in an affirmation form for an advance voting ballot or in a declaration form on an advance voting ballot envelope</v>
      </c>
      <c r="D1202" s="49" t="str">
        <f t="shared" si="3"/>
        <v>25-1128(e)</v>
      </c>
      <c r="E1202" s="11" t="s">
        <v>133</v>
      </c>
      <c r="F1202" s="11">
        <v>3.0</v>
      </c>
      <c r="G1202" s="11">
        <v>3.0</v>
      </c>
      <c r="H1202" s="11">
        <v>3.0</v>
      </c>
      <c r="I1202" s="11">
        <v>3.0</v>
      </c>
    </row>
    <row r="1203">
      <c r="A1203" s="10" t="s">
        <v>7600</v>
      </c>
      <c r="B1203" s="49" t="str">
        <f t="shared" si="1"/>
        <v>Electronic Solicitation</v>
      </c>
      <c r="C1203" s="49" t="str">
        <f t="shared" si="2"/>
        <v>Electronic Solicitation; Of child believed to be 14 or more yrs of age but less than 16 yrs of age</v>
      </c>
      <c r="D1203" s="49" t="str">
        <f t="shared" si="3"/>
        <v>21-5509(a)</v>
      </c>
      <c r="E1203" s="11" t="s">
        <v>133</v>
      </c>
      <c r="F1203" s="11">
        <v>3.0</v>
      </c>
      <c r="G1203" s="11">
        <v>3.0</v>
      </c>
      <c r="H1203" s="11">
        <v>3.0</v>
      </c>
      <c r="I1203" s="11">
        <v>3.0</v>
      </c>
    </row>
    <row r="1204">
      <c r="A1204" s="10" t="s">
        <v>7601</v>
      </c>
      <c r="B1204" s="49" t="str">
        <f t="shared" si="1"/>
        <v>Electronic Solicitation</v>
      </c>
      <c r="C1204" s="49" t="str">
        <f t="shared" si="2"/>
        <v>Electronic Solicitation; Of child believed to be less than 14</v>
      </c>
      <c r="D1204" s="49" t="str">
        <f t="shared" si="3"/>
        <v>21-5509(a)</v>
      </c>
      <c r="E1204" s="11" t="s">
        <v>133</v>
      </c>
      <c r="F1204" s="11">
        <v>3.0</v>
      </c>
      <c r="G1204" s="11">
        <v>3.0</v>
      </c>
      <c r="H1204" s="11">
        <v>3.0</v>
      </c>
      <c r="I1204" s="11">
        <v>3.0</v>
      </c>
    </row>
    <row r="1205">
      <c r="A1205" s="10" t="s">
        <v>7602</v>
      </c>
      <c r="B1205" s="49" t="str">
        <f t="shared" si="1"/>
        <v>Embalmers &amp; Funeral Directors</v>
      </c>
      <c r="C1205" s="49" t="str">
        <f t="shared" si="2"/>
        <v>Embalmers &amp; Funeral Directors; Advertise, practice or hold oneself out as practicing the science of embalming without having complied with the provisions of this act</v>
      </c>
      <c r="D1205" s="49" t="str">
        <f t="shared" si="3"/>
        <v>65-1705</v>
      </c>
      <c r="E1205" s="11" t="s">
        <v>133</v>
      </c>
      <c r="F1205" s="11">
        <v>3.0</v>
      </c>
      <c r="G1205" s="11">
        <v>3.0</v>
      </c>
      <c r="H1205" s="11">
        <v>3.0</v>
      </c>
      <c r="I1205" s="11">
        <v>3.0</v>
      </c>
    </row>
    <row r="1206">
      <c r="A1206" s="10" t="s">
        <v>7603</v>
      </c>
      <c r="B1206" s="49" t="str">
        <f t="shared" si="1"/>
        <v>Embalmers &amp; Funeral Directors</v>
      </c>
      <c r="C1206" s="49" t="str">
        <f t="shared" si="2"/>
        <v>Embalmers &amp; Funeral Directors; Crematory license required</v>
      </c>
      <c r="D1206" s="49" t="str">
        <f t="shared" si="3"/>
        <v>65-1768(a)</v>
      </c>
      <c r="E1206" s="11" t="s">
        <v>133</v>
      </c>
      <c r="F1206" s="11">
        <v>3.0</v>
      </c>
      <c r="G1206" s="11">
        <v>3.0</v>
      </c>
      <c r="H1206" s="11">
        <v>3.0</v>
      </c>
      <c r="I1206" s="11">
        <v>3.0</v>
      </c>
    </row>
    <row r="1207">
      <c r="A1207" s="10" t="s">
        <v>7604</v>
      </c>
      <c r="B1207" s="49" t="str">
        <f t="shared" si="1"/>
        <v>Embalmers &amp; Funeral Directors</v>
      </c>
      <c r="C1207" s="49" t="str">
        <f t="shared" si="2"/>
        <v>Embalmers &amp; Funeral Directors; Crematory violations</v>
      </c>
      <c r="D1207" s="49" t="str">
        <f t="shared" si="3"/>
        <v>65-1766</v>
      </c>
      <c r="E1207" s="11" t="s">
        <v>133</v>
      </c>
      <c r="F1207" s="11">
        <v>3.0</v>
      </c>
      <c r="G1207" s="11">
        <v>3.0</v>
      </c>
      <c r="H1207" s="11">
        <v>3.0</v>
      </c>
      <c r="I1207" s="11">
        <v>3.0</v>
      </c>
    </row>
    <row r="1208">
      <c r="A1208" s="10" t="s">
        <v>7605</v>
      </c>
      <c r="B1208" s="49" t="str">
        <f t="shared" si="1"/>
        <v>Embalmers &amp; Funeral Directors</v>
      </c>
      <c r="C1208" s="49" t="str">
        <f t="shared" si="2"/>
        <v>Embalmers &amp; Funeral Directors; Embalming without permission of coroner when suspicion of crime in connection with the cause of death</v>
      </c>
      <c r="D1208" s="49" t="str">
        <f t="shared" si="3"/>
        <v>65-1707</v>
      </c>
      <c r="E1208" s="11" t="s">
        <v>133</v>
      </c>
      <c r="F1208" s="11">
        <v>3.0</v>
      </c>
      <c r="G1208" s="11">
        <v>3.0</v>
      </c>
      <c r="H1208" s="11">
        <v>3.0</v>
      </c>
      <c r="I1208" s="11">
        <v>3.0</v>
      </c>
    </row>
    <row r="1209">
      <c r="A1209" s="10" t="s">
        <v>7606</v>
      </c>
      <c r="B1209" s="49" t="str">
        <f t="shared" si="1"/>
        <v>Embalmers &amp; Funeral Directors</v>
      </c>
      <c r="C1209" s="49" t="str">
        <f t="shared" si="2"/>
        <v>Embalmers &amp; Funeral Directors; Fail, neglect or refuse to pay establishment fee</v>
      </c>
      <c r="D1209" s="49" t="str">
        <f t="shared" si="3"/>
        <v>65-1731</v>
      </c>
      <c r="E1209" s="11" t="s">
        <v>133</v>
      </c>
      <c r="F1209" s="11">
        <v>3.0</v>
      </c>
      <c r="G1209" s="11">
        <v>3.0</v>
      </c>
      <c r="H1209" s="11">
        <v>3.0</v>
      </c>
      <c r="I1209" s="11">
        <v>3.0</v>
      </c>
    </row>
    <row r="1210">
      <c r="A1210" s="10" t="s">
        <v>7607</v>
      </c>
      <c r="B1210" s="49" t="str">
        <f t="shared" si="1"/>
        <v>Embalmers &amp; Funeral Directors</v>
      </c>
      <c r="C1210" s="49" t="str">
        <f t="shared" si="2"/>
        <v>Embalmers &amp; Funeral Directors; Funeral director's license required</v>
      </c>
      <c r="D1210" s="49" t="str">
        <f t="shared" si="3"/>
        <v>65-1714(a)</v>
      </c>
      <c r="E1210" s="11" t="s">
        <v>133</v>
      </c>
      <c r="F1210" s="11">
        <v>3.0</v>
      </c>
      <c r="G1210" s="11">
        <v>3.0</v>
      </c>
      <c r="H1210" s="11">
        <v>3.0</v>
      </c>
      <c r="I1210" s="11">
        <v>3.0</v>
      </c>
    </row>
    <row r="1211">
      <c r="A1211" s="10" t="s">
        <v>7608</v>
      </c>
      <c r="B1211" s="49" t="str">
        <f t="shared" si="1"/>
        <v>Embalmers &amp; Funeral Directors</v>
      </c>
      <c r="C1211" s="49" t="str">
        <f t="shared" si="2"/>
        <v>Embalmers &amp; Funeral Directors; Holding oneself out as an operator in charge of a crematory when not so</v>
      </c>
      <c r="D1211" s="49" t="str">
        <f t="shared" si="3"/>
        <v>65-1768(f)</v>
      </c>
      <c r="E1211" s="11" t="s">
        <v>133</v>
      </c>
      <c r="F1211" s="11">
        <v>3.0</v>
      </c>
      <c r="G1211" s="11">
        <v>3.0</v>
      </c>
      <c r="H1211" s="11">
        <v>3.0</v>
      </c>
      <c r="I1211" s="11">
        <v>3.0</v>
      </c>
    </row>
    <row r="1212">
      <c r="A1212" s="10" t="s">
        <v>7609</v>
      </c>
      <c r="B1212" s="49" t="str">
        <f t="shared" si="1"/>
        <v>Embalmers &amp; Funeral Directors</v>
      </c>
      <c r="C1212" s="49" t="str">
        <f t="shared" si="2"/>
        <v>Embalmers &amp; Funeral Directors; License required to perform embalming</v>
      </c>
      <c r="D1212" s="49" t="str">
        <f t="shared" si="3"/>
        <v>65-1703</v>
      </c>
      <c r="E1212" s="11" t="s">
        <v>133</v>
      </c>
      <c r="F1212" s="11">
        <v>3.0</v>
      </c>
      <c r="G1212" s="11">
        <v>3.0</v>
      </c>
      <c r="H1212" s="11">
        <v>3.0</v>
      </c>
      <c r="I1212" s="11">
        <v>3.0</v>
      </c>
    </row>
    <row r="1213">
      <c r="A1213" s="10" t="s">
        <v>7610</v>
      </c>
      <c r="B1213" s="49" t="str">
        <f t="shared" si="1"/>
        <v>Embalmers &amp; Funeral Directors</v>
      </c>
      <c r="C1213" s="49" t="str">
        <f t="shared" si="2"/>
        <v>Embalmers &amp; Funeral Directors; Licensure of crematory required</v>
      </c>
      <c r="D1213" s="49" t="str">
        <f t="shared" si="3"/>
        <v>65-1761(a)</v>
      </c>
      <c r="E1213" s="11" t="s">
        <v>133</v>
      </c>
      <c r="F1213" s="11">
        <v>3.0</v>
      </c>
      <c r="G1213" s="11">
        <v>3.0</v>
      </c>
      <c r="H1213" s="11">
        <v>3.0</v>
      </c>
      <c r="I1213" s="11">
        <v>3.0</v>
      </c>
    </row>
    <row r="1214">
      <c r="A1214" s="10" t="s">
        <v>7611</v>
      </c>
      <c r="B1214" s="49" t="str">
        <f t="shared" si="1"/>
        <v>Embalmers &amp; Funeral Directors</v>
      </c>
      <c r="C1214" s="49" t="str">
        <f t="shared" si="2"/>
        <v>Embalmers &amp; Funeral Directors; Operate, offer to operate, advertise or represent oneself as operating a funeral or branch establishment without license to do so</v>
      </c>
      <c r="D1214" s="49" t="str">
        <f t="shared" si="3"/>
        <v>65-1729(e)</v>
      </c>
      <c r="E1214" s="11" t="s">
        <v>133</v>
      </c>
      <c r="F1214" s="11">
        <v>3.0</v>
      </c>
      <c r="G1214" s="11">
        <v>3.0</v>
      </c>
      <c r="H1214" s="11">
        <v>3.0</v>
      </c>
      <c r="I1214" s="11">
        <v>3.0</v>
      </c>
    </row>
    <row r="1215">
      <c r="A1215" s="10" t="s">
        <v>7612</v>
      </c>
      <c r="B1215" s="49" t="str">
        <f t="shared" si="1"/>
        <v>Embalmers &amp; Funeral Directors</v>
      </c>
      <c r="C1215" s="49" t="str">
        <f t="shared" si="2"/>
        <v>Embalmers &amp; Funeral Directors; Violate or refuse or neglect to obey rules and regulations pertaining to the practice of embalming and transportation of dead bodies</v>
      </c>
      <c r="D1215" s="49" t="str">
        <f t="shared" si="3"/>
        <v>65-1712</v>
      </c>
      <c r="E1215" s="11" t="s">
        <v>133</v>
      </c>
      <c r="F1215" s="11">
        <v>3.0</v>
      </c>
      <c r="G1215" s="11">
        <v>3.0</v>
      </c>
      <c r="H1215" s="11">
        <v>3.0</v>
      </c>
      <c r="I1215" s="11">
        <v>3.0</v>
      </c>
    </row>
    <row r="1216">
      <c r="A1216" s="10" t="s">
        <v>7613</v>
      </c>
      <c r="B1216" s="49" t="str">
        <f t="shared" si="1"/>
        <v>Emergency Management Act</v>
      </c>
      <c r="C1216" s="49" t="str">
        <f t="shared" si="2"/>
        <v>Emergency Management Act; Violation of act, rules, regulations, orders or proclamations under act</v>
      </c>
      <c r="D1216" s="49" t="str">
        <f t="shared" si="3"/>
        <v>48-939</v>
      </c>
      <c r="E1216" s="11" t="s">
        <v>133</v>
      </c>
      <c r="F1216" s="11">
        <v>3.0</v>
      </c>
      <c r="G1216" s="11">
        <v>3.0</v>
      </c>
      <c r="H1216" s="11">
        <v>3.0</v>
      </c>
      <c r="I1216" s="11">
        <v>3.0</v>
      </c>
    </row>
    <row r="1217">
      <c r="A1217" s="10" t="s">
        <v>7614</v>
      </c>
      <c r="B1217" s="49" t="str">
        <f t="shared" si="1"/>
        <v>Emergency Planning &amp; Community Right-To-Know</v>
      </c>
      <c r="C1217" s="49" t="str">
        <f t="shared" si="2"/>
        <v>Emergency Planning &amp; Community Right-To-Know; Fail to submit lists of chemicals and M.S.D.S sheets</v>
      </c>
      <c r="D1217" s="49" t="str">
        <f t="shared" si="3"/>
        <v>65-5707</v>
      </c>
      <c r="E1217" s="11" t="s">
        <v>133</v>
      </c>
      <c r="F1217" s="11">
        <v>3.0</v>
      </c>
      <c r="G1217" s="11">
        <v>3.0</v>
      </c>
      <c r="H1217" s="11">
        <v>3.0</v>
      </c>
      <c r="I1217" s="11">
        <v>3.0</v>
      </c>
    </row>
    <row r="1218">
      <c r="A1218" s="10" t="s">
        <v>7615</v>
      </c>
      <c r="B1218" s="49" t="str">
        <f t="shared" si="1"/>
        <v>Employment Security Law</v>
      </c>
      <c r="C1218" s="49" t="str">
        <f t="shared" si="2"/>
        <v>Employment Security Law; Knowingly make a false statement or representation or knowingly fail to disclose a material fact, to obtain or increase any benefit or other payment under this act; punished in accordance with K.S.A. 21-3701-Theft; less than $1,000</v>
      </c>
      <c r="D1218" s="49" t="str">
        <f t="shared" si="3"/>
        <v>44-719(a)</v>
      </c>
      <c r="E1218" s="11" t="s">
        <v>133</v>
      </c>
      <c r="F1218" s="11">
        <v>3.0</v>
      </c>
      <c r="G1218" s="11">
        <v>3.0</v>
      </c>
      <c r="H1218" s="11">
        <v>3.0</v>
      </c>
      <c r="I1218" s="11">
        <v>3.0</v>
      </c>
    </row>
    <row r="1219">
      <c r="A1219" s="10" t="s">
        <v>7616</v>
      </c>
      <c r="B1219" s="49" t="str">
        <f t="shared" si="1"/>
        <v>Employment Security Law</v>
      </c>
      <c r="C1219" s="49" t="str">
        <f t="shared" si="2"/>
        <v>Employment Security Law; Knowingly obtain or attempt to obtain a reduced liability for contributions</v>
      </c>
      <c r="D1219" s="49" t="str">
        <f t="shared" si="3"/>
        <v>44-719(f)</v>
      </c>
      <c r="E1219" s="11" t="s">
        <v>133</v>
      </c>
      <c r="F1219" s="11">
        <v>3.0</v>
      </c>
      <c r="G1219" s="11">
        <v>3.0</v>
      </c>
      <c r="H1219" s="11">
        <v>3.0</v>
      </c>
      <c r="I1219" s="11">
        <v>3.0</v>
      </c>
    </row>
    <row r="1220">
      <c r="A1220" s="10" t="s">
        <v>7617</v>
      </c>
      <c r="B1220" s="49" t="str">
        <f t="shared" si="1"/>
        <v>Employment Security Law</v>
      </c>
      <c r="C1220" s="49" t="str">
        <f t="shared" si="2"/>
        <v>Employment Security Law; Make a false statement or representation/fail to disclose a material fact, to obtain or increase any benefit or other payment under this act; $100,000 or more</v>
      </c>
      <c r="D1220" s="49" t="str">
        <f t="shared" si="3"/>
        <v>44-719(a)</v>
      </c>
      <c r="E1220" s="11" t="s">
        <v>133</v>
      </c>
      <c r="F1220" s="11">
        <v>3.0</v>
      </c>
      <c r="G1220" s="11">
        <v>3.0</v>
      </c>
      <c r="H1220" s="11">
        <v>3.0</v>
      </c>
      <c r="I1220" s="11">
        <v>3.0</v>
      </c>
    </row>
    <row r="1221">
      <c r="A1221" s="10" t="s">
        <v>7618</v>
      </c>
      <c r="B1221" s="49" t="str">
        <f t="shared" si="1"/>
        <v>Employment Security Law</v>
      </c>
      <c r="C1221" s="49" t="str">
        <f t="shared" si="2"/>
        <v>Employment Security Law; Make a false statement or representation/fail to disclose a material fact, to obtain or increase any benefit or other payment under this act; at least $1,000 but less than $25,000</v>
      </c>
      <c r="D1221" s="49" t="str">
        <f t="shared" si="3"/>
        <v>44-719(a)</v>
      </c>
      <c r="E1221" s="11" t="s">
        <v>133</v>
      </c>
      <c r="F1221" s="11">
        <v>3.0</v>
      </c>
      <c r="G1221" s="11">
        <v>3.0</v>
      </c>
      <c r="H1221" s="11">
        <v>3.0</v>
      </c>
      <c r="I1221" s="11">
        <v>3.0</v>
      </c>
    </row>
    <row r="1222">
      <c r="A1222" s="10" t="s">
        <v>7619</v>
      </c>
      <c r="B1222" s="49" t="str">
        <f t="shared" si="1"/>
        <v>Employment Security Law</v>
      </c>
      <c r="C1222" s="49" t="str">
        <f t="shared" si="2"/>
        <v>Employment Security Law; Make a false statement or representation/fail to disclose a material fact, to obtain or increase any benefit or other payment under this act; at least $25,000 but less than $100,000</v>
      </c>
      <c r="D1222" s="49" t="str">
        <f t="shared" si="3"/>
        <v>44-719(a)</v>
      </c>
      <c r="E1222" s="11" t="s">
        <v>133</v>
      </c>
      <c r="F1222" s="11">
        <v>3.0</v>
      </c>
      <c r="G1222" s="11">
        <v>3.0</v>
      </c>
      <c r="H1222" s="11">
        <v>3.0</v>
      </c>
      <c r="I1222" s="11">
        <v>3.0</v>
      </c>
    </row>
    <row r="1223">
      <c r="A1223" s="10" t="s">
        <v>7620</v>
      </c>
      <c r="B1223" s="49" t="str">
        <f t="shared" si="1"/>
        <v>Employment Security Law</v>
      </c>
      <c r="C1223" s="49" t="str">
        <f t="shared" si="2"/>
        <v>Employment Security Law; Make a false statement or representation/fail to disclose a material fact, to obtain or increase any benefit or other payment under this act; value less than $1,000 by a person with 2 or more prior theft convictions</v>
      </c>
      <c r="D1223" s="49" t="str">
        <f t="shared" si="3"/>
        <v>44-719(a)</v>
      </c>
      <c r="E1223" s="11" t="s">
        <v>133</v>
      </c>
      <c r="F1223" s="11">
        <v>3.0</v>
      </c>
      <c r="G1223" s="11">
        <v>3.0</v>
      </c>
      <c r="H1223" s="11">
        <v>3.0</v>
      </c>
      <c r="I1223" s="11">
        <v>3.0</v>
      </c>
    </row>
    <row r="1224">
      <c r="A1224" s="10" t="s">
        <v>7621</v>
      </c>
      <c r="B1224" s="49" t="str">
        <f t="shared" si="1"/>
        <v>Employment Systems</v>
      </c>
      <c r="C1224" s="49" t="str">
        <f t="shared" si="2"/>
        <v>Employment Systems; Penalty for any violation of act</v>
      </c>
      <c r="D1224" s="49" t="str">
        <f t="shared" si="3"/>
        <v>19-4331</v>
      </c>
      <c r="E1224" s="11" t="s">
        <v>133</v>
      </c>
      <c r="F1224" s="11">
        <v>3.0</v>
      </c>
      <c r="G1224" s="11">
        <v>3.0</v>
      </c>
      <c r="H1224" s="11">
        <v>3.0</v>
      </c>
      <c r="I1224" s="11">
        <v>3.0</v>
      </c>
    </row>
    <row r="1225">
      <c r="A1225" s="10" t="s">
        <v>7622</v>
      </c>
      <c r="B1225" s="49" t="str">
        <f t="shared" si="1"/>
        <v>Employment Systems</v>
      </c>
      <c r="C1225" s="49" t="str">
        <f t="shared" si="2"/>
        <v>Employment Systems; Use of one's authority/official influence to compel any officer/employee covered by the this act to apply for membership in or become a member of any organization</v>
      </c>
      <c r="D1225" s="49" t="str">
        <f t="shared" si="3"/>
        <v>19-4330</v>
      </c>
      <c r="E1225" s="11" t="s">
        <v>133</v>
      </c>
      <c r="F1225" s="11">
        <v>3.0</v>
      </c>
      <c r="G1225" s="11">
        <v>3.0</v>
      </c>
      <c r="H1225" s="11">
        <v>3.0</v>
      </c>
      <c r="I1225" s="11">
        <v>3.0</v>
      </c>
    </row>
    <row r="1226">
      <c r="A1226" s="10" t="s">
        <v>7623</v>
      </c>
      <c r="B1226" s="49" t="str">
        <f t="shared" si="1"/>
        <v>EMS</v>
      </c>
      <c r="C1226" s="49" t="str">
        <f t="shared" si="2"/>
        <v>EMS; Represent oneself as an attendant or instructor-coordinator without holding a valid certificate</v>
      </c>
      <c r="D1226" s="49" t="str">
        <f t="shared" si="3"/>
        <v>65-6150(a)</v>
      </c>
      <c r="E1226" s="11" t="s">
        <v>133</v>
      </c>
      <c r="F1226" s="11">
        <v>3.0</v>
      </c>
      <c r="G1226" s="11">
        <v>3.0</v>
      </c>
      <c r="H1226" s="11">
        <v>3.0</v>
      </c>
      <c r="I1226" s="11">
        <v>3.0</v>
      </c>
    </row>
    <row r="1227">
      <c r="A1227" s="10" t="s">
        <v>7624</v>
      </c>
      <c r="B1227" s="49" t="str">
        <f t="shared" si="1"/>
        <v>EMS</v>
      </c>
      <c r="C1227" s="49" t="str">
        <f t="shared" si="2"/>
        <v>EMS; Unlawful to operate ambulance service without a permit</v>
      </c>
      <c r="D1227" s="49" t="str">
        <f t="shared" si="3"/>
        <v>65-6125</v>
      </c>
      <c r="E1227" s="11" t="s">
        <v>133</v>
      </c>
      <c r="F1227" s="11">
        <v>3.0</v>
      </c>
      <c r="G1227" s="11">
        <v>3.0</v>
      </c>
      <c r="H1227" s="11">
        <v>3.0</v>
      </c>
      <c r="I1227" s="11">
        <v>3.0</v>
      </c>
    </row>
    <row r="1228">
      <c r="A1228" s="10" t="s">
        <v>7625</v>
      </c>
      <c r="B1228" s="49" t="str">
        <f t="shared" si="1"/>
        <v>EMS</v>
      </c>
      <c r="C1228" s="49" t="str">
        <f t="shared" si="2"/>
        <v>EMS; Violation of act, rule or regulation</v>
      </c>
      <c r="D1228" s="49" t="str">
        <f t="shared" si="3"/>
        <v>65-6137</v>
      </c>
      <c r="E1228" s="11" t="s">
        <v>133</v>
      </c>
      <c r="F1228" s="11">
        <v>3.0</v>
      </c>
      <c r="G1228" s="11">
        <v>3.0</v>
      </c>
      <c r="H1228" s="11">
        <v>3.0</v>
      </c>
      <c r="I1228" s="11">
        <v>3.0</v>
      </c>
    </row>
    <row r="1229">
      <c r="A1229" s="10" t="s">
        <v>7626</v>
      </c>
      <c r="B1229" s="49" t="str">
        <f t="shared" si="1"/>
        <v>Endangering the Food Supply</v>
      </c>
      <c r="C1229" s="49" t="str">
        <f t="shared" si="2"/>
        <v>Endangering the Food Supply; Knowingly bring into this state any domestic animal which is affected with or exposed to any contagious or infectious disease</v>
      </c>
      <c r="D1229" s="49" t="str">
        <f t="shared" si="3"/>
        <v>21-6317(a)(1)</v>
      </c>
      <c r="E1229" s="11" t="s">
        <v>133</v>
      </c>
      <c r="F1229" s="11">
        <v>3.0</v>
      </c>
      <c r="G1229" s="11">
        <v>3.0</v>
      </c>
      <c r="H1229" s="11">
        <v>3.0</v>
      </c>
      <c r="I1229" s="11">
        <v>3.0</v>
      </c>
    </row>
    <row r="1230">
      <c r="A1230" s="10" t="s">
        <v>7627</v>
      </c>
      <c r="B1230" s="49" t="str">
        <f t="shared" si="1"/>
        <v>Endangering the Food Supply</v>
      </c>
      <c r="C1230" s="49" t="str">
        <f t="shared" si="2"/>
        <v>Endangering the Food Supply; Knowingly bring into this state any domestic animal which is infected with or exposed to foot-and-mouth disease</v>
      </c>
      <c r="D1230" s="49" t="str">
        <f t="shared" si="3"/>
        <v>21-6317(a)(1)</v>
      </c>
      <c r="E1230" s="11" t="s">
        <v>133</v>
      </c>
      <c r="F1230" s="11">
        <v>3.0</v>
      </c>
      <c r="G1230" s="11">
        <v>3.0</v>
      </c>
      <c r="H1230" s="11">
        <v>3.0</v>
      </c>
      <c r="I1230" s="11">
        <v>3.0</v>
      </c>
    </row>
    <row r="1231">
      <c r="A1231" s="10" t="s">
        <v>7628</v>
      </c>
      <c r="B1231" s="49" t="str">
        <f t="shared" si="1"/>
        <v>Endangering the Food Supply</v>
      </c>
      <c r="C1231" s="49" t="str">
        <f t="shared" si="2"/>
        <v>Endangering the Food Supply; Knowingly bring or release into this state any plant pest or expose any plant to a plant pest</v>
      </c>
      <c r="D1231" s="49" t="str">
        <f t="shared" si="3"/>
        <v>21-6317(a)(3)</v>
      </c>
      <c r="E1231" s="11" t="s">
        <v>133</v>
      </c>
      <c r="F1231" s="11">
        <v>3.0</v>
      </c>
      <c r="G1231" s="11">
        <v>3.0</v>
      </c>
      <c r="H1231" s="11">
        <v>3.0</v>
      </c>
      <c r="I1231" s="11">
        <v>3.0</v>
      </c>
    </row>
    <row r="1232">
      <c r="A1232" s="10" t="s">
        <v>7629</v>
      </c>
      <c r="B1232" s="49" t="str">
        <f t="shared" si="1"/>
        <v>Endangering the Food Supply</v>
      </c>
      <c r="C1232" s="49" t="str">
        <f t="shared" si="2"/>
        <v>Endangering the Food Supply; Knowingly expose any animal in this state to any contagious or infectious disease</v>
      </c>
      <c r="D1232" s="49" t="str">
        <f t="shared" si="3"/>
        <v>21-6317(a)(2)</v>
      </c>
      <c r="E1232" s="11" t="s">
        <v>133</v>
      </c>
      <c r="F1232" s="11">
        <v>3.0</v>
      </c>
      <c r="G1232" s="11">
        <v>3.0</v>
      </c>
      <c r="H1232" s="11">
        <v>3.0</v>
      </c>
      <c r="I1232" s="11">
        <v>3.0</v>
      </c>
    </row>
    <row r="1233">
      <c r="A1233" s="10" t="s">
        <v>7630</v>
      </c>
      <c r="B1233" s="49" t="str">
        <f t="shared" si="1"/>
        <v>Endangering the Food Supply</v>
      </c>
      <c r="C1233" s="49" t="str">
        <f t="shared" si="2"/>
        <v>Endangering the Food Supply; Knowingly expose any animal in this state to foot-and-mouth disease</v>
      </c>
      <c r="D1233" s="49" t="str">
        <f t="shared" si="3"/>
        <v>21-6317(a)(2)</v>
      </c>
      <c r="E1233" s="11" t="s">
        <v>133</v>
      </c>
      <c r="F1233" s="11">
        <v>3.0</v>
      </c>
      <c r="G1233" s="11">
        <v>3.0</v>
      </c>
      <c r="H1233" s="11">
        <v>3.0</v>
      </c>
      <c r="I1233" s="11">
        <v>3.0</v>
      </c>
    </row>
    <row r="1234">
      <c r="A1234" s="10" t="s">
        <v>7631</v>
      </c>
      <c r="B1234" s="49" t="str">
        <f t="shared" si="1"/>
        <v>Endangering the Food Supply</v>
      </c>
      <c r="C1234" s="49" t="str">
        <f t="shared" si="2"/>
        <v>Endangering the Food Supply; Knowingly expose any raw agricultural commodity, animal feed or processed food to any contaminant or contagious or infectious disease</v>
      </c>
      <c r="D1234" s="49" t="str">
        <f t="shared" si="3"/>
        <v>21-6317(a)(4)</v>
      </c>
      <c r="E1234" s="11" t="s">
        <v>133</v>
      </c>
      <c r="F1234" s="11">
        <v>3.0</v>
      </c>
      <c r="G1234" s="11">
        <v>3.0</v>
      </c>
      <c r="H1234" s="11">
        <v>3.0</v>
      </c>
      <c r="I1234" s="11">
        <v>3.0</v>
      </c>
    </row>
    <row r="1235">
      <c r="A1235" s="10" t="s">
        <v>7632</v>
      </c>
      <c r="B1235" s="49" t="str">
        <f t="shared" si="1"/>
        <v>Endangering the Food Supply</v>
      </c>
      <c r="C1235" s="49" t="str">
        <f t="shared" si="2"/>
        <v>Endangering the Food Supply; Knowingly expose any raw agricultural commodity, animal feed or processed food to foot-and-mouth disease</v>
      </c>
      <c r="D1235" s="49" t="str">
        <f t="shared" si="3"/>
        <v>21-6317(a)(4)</v>
      </c>
      <c r="E1235" s="11" t="s">
        <v>133</v>
      </c>
      <c r="F1235" s="11">
        <v>3.0</v>
      </c>
      <c r="G1235" s="11">
        <v>3.0</v>
      </c>
      <c r="H1235" s="11">
        <v>3.0</v>
      </c>
      <c r="I1235" s="11">
        <v>3.0</v>
      </c>
    </row>
    <row r="1236">
      <c r="A1236" s="10" t="s">
        <v>7633</v>
      </c>
      <c r="B1236" s="49" t="str">
        <f t="shared" si="1"/>
        <v>Endangerment</v>
      </c>
      <c r="C1236" s="49" t="str">
        <f t="shared" si="2"/>
        <v>Endangerment; Recklessly exposing another person to a danger of great bodily harm or death</v>
      </c>
      <c r="D1236" s="49" t="str">
        <f t="shared" si="3"/>
        <v>21-5429</v>
      </c>
      <c r="E1236" s="11" t="s">
        <v>133</v>
      </c>
      <c r="F1236" s="11">
        <v>3.0</v>
      </c>
      <c r="G1236" s="11">
        <v>3.0</v>
      </c>
      <c r="H1236" s="11">
        <v>3.0</v>
      </c>
      <c r="I1236" s="11">
        <v>3.0</v>
      </c>
    </row>
    <row r="1237">
      <c r="A1237" s="10" t="s">
        <v>7634</v>
      </c>
      <c r="B1237" s="49" t="str">
        <f t="shared" si="1"/>
        <v>Escape From Custody</v>
      </c>
      <c r="C1237" s="49" t="str">
        <f t="shared" si="2"/>
        <v>Escape From Custody; While held in custody on a charge or adjudication or arrest as a juvenile offender where the act, if committed by an adult, would constitute a misdemeanor</v>
      </c>
      <c r="D1237" s="49" t="str">
        <f t="shared" si="3"/>
        <v>21-5911(a)(2)</v>
      </c>
      <c r="E1237" s="11" t="s">
        <v>133</v>
      </c>
      <c r="F1237" s="11">
        <v>3.0</v>
      </c>
      <c r="G1237" s="11">
        <v>3.0</v>
      </c>
      <c r="H1237" s="11">
        <v>3.0</v>
      </c>
      <c r="I1237" s="11">
        <v>3.0</v>
      </c>
    </row>
    <row r="1238">
      <c r="A1238" s="10" t="s">
        <v>7635</v>
      </c>
      <c r="B1238" s="49" t="str">
        <f t="shared" si="1"/>
        <v>Escape From Custody</v>
      </c>
      <c r="C1238" s="49" t="str">
        <f t="shared" si="2"/>
        <v>Escape From Custody; While held in custody on a charge, conviction of or arrest for a misdemeanor</v>
      </c>
      <c r="D1238" s="49" t="str">
        <f t="shared" si="3"/>
        <v>21-5911(a)(1)</v>
      </c>
      <c r="E1238" s="11" t="s">
        <v>133</v>
      </c>
      <c r="F1238" s="11">
        <v>3.0</v>
      </c>
      <c r="G1238" s="11">
        <v>3.0</v>
      </c>
      <c r="H1238" s="11">
        <v>3.0</v>
      </c>
      <c r="I1238" s="11">
        <v>3.0</v>
      </c>
    </row>
    <row r="1239">
      <c r="A1239" s="10" t="s">
        <v>7636</v>
      </c>
      <c r="B1239" s="49" t="str">
        <f t="shared" si="1"/>
        <v>Escape From Custody</v>
      </c>
      <c r="C1239" s="49" t="str">
        <f t="shared" si="2"/>
        <v>Escape From Custody; While held in custody on a commitment to the state security hospital as provided in K.S.A. 22-3428, based on a finding that the person committed an act constituting a misdemeanor or by a person 18 years of age or over who is being held in custody on an adjudication of a misdemeanor</v>
      </c>
      <c r="D1239" s="49" t="str">
        <f t="shared" si="3"/>
        <v>21-5911(a)(3)</v>
      </c>
      <c r="E1239" s="11" t="s">
        <v>133</v>
      </c>
      <c r="F1239" s="11">
        <v>3.0</v>
      </c>
      <c r="G1239" s="11">
        <v>3.0</v>
      </c>
      <c r="H1239" s="11">
        <v>3.0</v>
      </c>
      <c r="I1239" s="11">
        <v>3.0</v>
      </c>
    </row>
    <row r="1240">
      <c r="A1240" s="10" t="s">
        <v>7637</v>
      </c>
      <c r="B1240" s="49" t="str">
        <f t="shared" si="1"/>
        <v>Examination/Registration/Licensing &amp; Bonding of Abstracters</v>
      </c>
      <c r="C1240" s="49" t="str">
        <f t="shared" si="2"/>
        <v>Examination/Registration/Licensing &amp; Bonding of Abstracters; Unlawful for county officers to prevent use of records</v>
      </c>
      <c r="D1240" s="49" t="str">
        <f t="shared" si="3"/>
        <v>58-2810</v>
      </c>
      <c r="E1240" s="11" t="s">
        <v>133</v>
      </c>
      <c r="F1240" s="11">
        <v>3.0</v>
      </c>
      <c r="G1240" s="11">
        <v>3.0</v>
      </c>
      <c r="H1240" s="11">
        <v>3.0</v>
      </c>
      <c r="I1240" s="11">
        <v>3.0</v>
      </c>
    </row>
    <row r="1241">
      <c r="A1241" s="10" t="s">
        <v>7638</v>
      </c>
      <c r="B1241" s="49" t="str">
        <f t="shared" si="1"/>
        <v>Examination/Registration/Licensing &amp; Bonding of Abstracters</v>
      </c>
      <c r="C1241" s="49" t="str">
        <f t="shared" si="2"/>
        <v>Examination/Registration/Licensing &amp; Bonding of Abstracters; Violation by licensee</v>
      </c>
      <c r="D1241" s="49" t="str">
        <f t="shared" si="3"/>
        <v>58-2809</v>
      </c>
      <c r="E1241" s="11" t="s">
        <v>133</v>
      </c>
      <c r="F1241" s="11">
        <v>3.0</v>
      </c>
      <c r="G1241" s="11">
        <v>3.0</v>
      </c>
      <c r="H1241" s="11">
        <v>3.0</v>
      </c>
      <c r="I1241" s="11">
        <v>3.0</v>
      </c>
    </row>
    <row r="1242">
      <c r="A1242" s="10" t="s">
        <v>7639</v>
      </c>
      <c r="B1242" s="49" t="str">
        <f t="shared" si="1"/>
        <v>Expanded Lottery Act</v>
      </c>
      <c r="C1242" s="49" t="str">
        <f t="shared" si="2"/>
        <v>Expanded Lottery Act; Knowingly cheating including possession of or use of cheating device</v>
      </c>
      <c r="D1242" s="49" t="str">
        <f t="shared" si="3"/>
        <v>74-8760(c)</v>
      </c>
      <c r="E1242" s="11" t="s">
        <v>133</v>
      </c>
      <c r="F1242" s="11">
        <v>3.0</v>
      </c>
      <c r="G1242" s="11">
        <v>3.0</v>
      </c>
      <c r="H1242" s="11">
        <v>3.0</v>
      </c>
      <c r="I1242" s="11">
        <v>3.0</v>
      </c>
    </row>
    <row r="1243">
      <c r="A1243" s="10" t="s">
        <v>7640</v>
      </c>
      <c r="B1243" s="49" t="str">
        <f t="shared" si="1"/>
        <v>Expanded Lottery Act</v>
      </c>
      <c r="C1243" s="49" t="str">
        <f t="shared" si="2"/>
        <v>Expanded Lottery Act; Manipulation of an electronic gaming machine or lottery facility game with intent to change the outcome, pay out or operation thereof</v>
      </c>
      <c r="D1243" s="49" t="str">
        <f t="shared" si="3"/>
        <v>74-8759</v>
      </c>
      <c r="E1243" s="11" t="s">
        <v>133</v>
      </c>
      <c r="F1243" s="11">
        <v>3.0</v>
      </c>
      <c r="G1243" s="11">
        <v>3.0</v>
      </c>
      <c r="H1243" s="11">
        <v>3.0</v>
      </c>
      <c r="I1243" s="11">
        <v>3.0</v>
      </c>
    </row>
    <row r="1244">
      <c r="A1244" s="10" t="s">
        <v>7641</v>
      </c>
      <c r="B1244" s="49" t="str">
        <f t="shared" si="1"/>
        <v>Expanded Lottery Act</v>
      </c>
      <c r="C1244" s="49" t="str">
        <f t="shared" si="2"/>
        <v>Expanded Lottery Act; Place in operation, continue to operate any gray machine for use by the public</v>
      </c>
      <c r="D1244" s="49" t="str">
        <f t="shared" si="3"/>
        <v>74-8761</v>
      </c>
      <c r="E1244" s="11" t="s">
        <v>133</v>
      </c>
      <c r="F1244" s="11">
        <v>3.0</v>
      </c>
      <c r="G1244" s="11">
        <v>3.0</v>
      </c>
      <c r="H1244" s="11">
        <v>3.0</v>
      </c>
      <c r="I1244" s="11">
        <v>3.0</v>
      </c>
    </row>
    <row r="1245">
      <c r="A1245" s="10" t="s">
        <v>7642</v>
      </c>
      <c r="B1245" s="49" t="str">
        <f t="shared" si="1"/>
        <v>Expanded Lottery Act</v>
      </c>
      <c r="C1245" s="49" t="str">
        <f t="shared" si="2"/>
        <v>Expanded Lottery Act; Unauthorized playing of an electronic gaming machine at lottery gaming facility; 1st offense</v>
      </c>
      <c r="D1245" s="49" t="str">
        <f t="shared" si="3"/>
        <v>74-8758(b)</v>
      </c>
      <c r="E1245" s="11" t="s">
        <v>133</v>
      </c>
      <c r="F1245" s="11">
        <v>3.0</v>
      </c>
      <c r="G1245" s="11">
        <v>3.0</v>
      </c>
      <c r="H1245" s="11">
        <v>3.0</v>
      </c>
      <c r="I1245" s="11">
        <v>3.0</v>
      </c>
    </row>
    <row r="1246">
      <c r="A1246" s="10" t="s">
        <v>7643</v>
      </c>
      <c r="B1246" s="49" t="str">
        <f t="shared" si="1"/>
        <v>Expanded Lottery Act</v>
      </c>
      <c r="C1246" s="49" t="str">
        <f t="shared" si="2"/>
        <v>Expanded Lottery Act; Unauthorized playing of an electronic gaming machine at lottery gaming facility; 2nd or subs. offense</v>
      </c>
      <c r="D1246" s="49" t="str">
        <f t="shared" si="3"/>
        <v>74-8758(b)</v>
      </c>
      <c r="E1246" s="11" t="s">
        <v>133</v>
      </c>
      <c r="F1246" s="11">
        <v>3.0</v>
      </c>
      <c r="G1246" s="11">
        <v>3.0</v>
      </c>
      <c r="H1246" s="11">
        <v>3.0</v>
      </c>
      <c r="I1246" s="11">
        <v>3.0</v>
      </c>
    </row>
    <row r="1247">
      <c r="A1247" s="10" t="s">
        <v>7644</v>
      </c>
      <c r="B1247" s="49" t="str">
        <f t="shared" si="1"/>
        <v>Expanded Lottery Act</v>
      </c>
      <c r="C1247" s="49" t="str">
        <f t="shared" si="2"/>
        <v>Expanded Lottery Act; Unauthorized playing of an electronic gaming machine at racetrack gaming facility; 1st offense</v>
      </c>
      <c r="D1247" s="49" t="str">
        <f t="shared" si="3"/>
        <v>74-8758(a)</v>
      </c>
      <c r="E1247" s="11" t="s">
        <v>133</v>
      </c>
      <c r="F1247" s="11">
        <v>3.0</v>
      </c>
      <c r="G1247" s="11">
        <v>3.0</v>
      </c>
      <c r="H1247" s="11">
        <v>3.0</v>
      </c>
      <c r="I1247" s="11">
        <v>3.0</v>
      </c>
    </row>
    <row r="1248">
      <c r="A1248" s="10" t="s">
        <v>7645</v>
      </c>
      <c r="B1248" s="49" t="str">
        <f t="shared" si="1"/>
        <v>Expanded Lottery Act</v>
      </c>
      <c r="C1248" s="49" t="str">
        <f t="shared" si="2"/>
        <v>Expanded Lottery Act; Unauthorized playing of an electronic gaming machine at racetrack gaming facility; 2nd or subs. offense</v>
      </c>
      <c r="D1248" s="49" t="str">
        <f t="shared" si="3"/>
        <v>74-8758(a)</v>
      </c>
      <c r="E1248" s="11" t="s">
        <v>133</v>
      </c>
      <c r="F1248" s="11">
        <v>3.0</v>
      </c>
      <c r="G1248" s="11">
        <v>3.0</v>
      </c>
      <c r="H1248" s="11">
        <v>3.0</v>
      </c>
      <c r="I1248" s="11">
        <v>3.0</v>
      </c>
    </row>
    <row r="1249">
      <c r="A1249" s="10" t="s">
        <v>7646</v>
      </c>
      <c r="B1249" s="49" t="str">
        <f t="shared" si="1"/>
        <v>Expanded Lottery Act</v>
      </c>
      <c r="C1249" s="49" t="str">
        <f t="shared" si="2"/>
        <v>Expanded Lottery Act; Unauthorized wagering or playing electronic gaming machine by select persons at racetrack gaming facility</v>
      </c>
      <c r="D1249" s="49" t="str">
        <f t="shared" si="3"/>
        <v>74-8760(b)</v>
      </c>
      <c r="E1249" s="11" t="s">
        <v>133</v>
      </c>
      <c r="F1249" s="11">
        <v>3.0</v>
      </c>
      <c r="G1249" s="11">
        <v>3.0</v>
      </c>
      <c r="H1249" s="11">
        <v>3.0</v>
      </c>
      <c r="I1249" s="11">
        <v>3.0</v>
      </c>
    </row>
    <row r="1250">
      <c r="A1250" s="10" t="s">
        <v>7647</v>
      </c>
      <c r="B1250" s="49" t="str">
        <f t="shared" si="1"/>
        <v>Expanded Lottery Act</v>
      </c>
      <c r="C1250" s="49" t="str">
        <f t="shared" si="2"/>
        <v>Expanded Lottery Act; Unauthorized wagering or playing electronic gaming machine or lottery facility game by select persons at lottery gaming facility</v>
      </c>
      <c r="D1250" s="49" t="str">
        <f t="shared" si="3"/>
        <v>74-8760(a)</v>
      </c>
      <c r="E1250" s="11" t="s">
        <v>133</v>
      </c>
      <c r="F1250" s="11">
        <v>3.0</v>
      </c>
      <c r="G1250" s="11">
        <v>3.0</v>
      </c>
      <c r="H1250" s="11">
        <v>3.0</v>
      </c>
      <c r="I1250" s="11">
        <v>3.0</v>
      </c>
    </row>
    <row r="1251">
      <c r="A1251" s="10" t="s">
        <v>7648</v>
      </c>
      <c r="B1251" s="49" t="str">
        <f t="shared" si="1"/>
        <v>Expanded Lottery Act</v>
      </c>
      <c r="C1251" s="49" t="str">
        <f t="shared" si="2"/>
        <v>Expanded Lottery Act; Wager and loan violations; 1st offense</v>
      </c>
      <c r="D1251" s="49" t="str">
        <f t="shared" si="3"/>
        <v>74-8756</v>
      </c>
      <c r="E1251" s="11" t="s">
        <v>133</v>
      </c>
      <c r="F1251" s="11">
        <v>3.0</v>
      </c>
      <c r="G1251" s="11">
        <v>3.0</v>
      </c>
      <c r="H1251" s="11">
        <v>3.0</v>
      </c>
      <c r="I1251" s="11">
        <v>3.0</v>
      </c>
    </row>
    <row r="1252">
      <c r="A1252" s="10" t="s">
        <v>7649</v>
      </c>
      <c r="B1252" s="49" t="str">
        <f t="shared" si="1"/>
        <v>Expanded Lottery Act</v>
      </c>
      <c r="C1252" s="49" t="str">
        <f t="shared" si="2"/>
        <v>Expanded Lottery Act; Wager and loan violations; 2nd or subs. offense</v>
      </c>
      <c r="D1252" s="49" t="str">
        <f t="shared" si="3"/>
        <v>74-8756</v>
      </c>
      <c r="E1252" s="11" t="s">
        <v>133</v>
      </c>
      <c r="F1252" s="11">
        <v>3.0</v>
      </c>
      <c r="G1252" s="11">
        <v>3.0</v>
      </c>
      <c r="H1252" s="11">
        <v>3.0</v>
      </c>
      <c r="I1252" s="11">
        <v>3.0</v>
      </c>
    </row>
    <row r="1253">
      <c r="A1253" s="10" t="s">
        <v>7650</v>
      </c>
      <c r="B1253" s="49" t="str">
        <f t="shared" si="1"/>
        <v>Expanded Lottery Act</v>
      </c>
      <c r="C1253" s="49" t="str">
        <f t="shared" si="2"/>
        <v>Expanded Lottery Act; Willful violations of restrictions on officials and affiliated persons</v>
      </c>
      <c r="D1253" s="49" t="str">
        <f t="shared" si="3"/>
        <v>74-8762</v>
      </c>
      <c r="E1253" s="11" t="s">
        <v>133</v>
      </c>
      <c r="F1253" s="11">
        <v>3.0</v>
      </c>
      <c r="G1253" s="11">
        <v>3.0</v>
      </c>
      <c r="H1253" s="11">
        <v>3.0</v>
      </c>
      <c r="I1253" s="11">
        <v>3.0</v>
      </c>
    </row>
    <row r="1254">
      <c r="A1254" s="10" t="s">
        <v>7651</v>
      </c>
      <c r="B1254" s="49" t="str">
        <f t="shared" si="1"/>
        <v>Exposing Another to a Life Threatening Communicable Disease</v>
      </c>
      <c r="C1254" s="49" t="str">
        <f t="shared" si="2"/>
        <v>Exposing Another to a Life Threatening Communicable Disease; Intentionally and knowingly engage in sexual intercourse or sodomy with another individual</v>
      </c>
      <c r="D1254" s="49" t="str">
        <f t="shared" si="3"/>
        <v>21-5424(a)(1)</v>
      </c>
      <c r="E1254" s="11" t="s">
        <v>133</v>
      </c>
      <c r="F1254" s="11">
        <v>3.0</v>
      </c>
      <c r="G1254" s="11">
        <v>3.0</v>
      </c>
      <c r="H1254" s="11">
        <v>3.0</v>
      </c>
      <c r="I1254" s="11">
        <v>3.0</v>
      </c>
    </row>
    <row r="1255">
      <c r="A1255" s="10" t="s">
        <v>7652</v>
      </c>
      <c r="B1255" s="49" t="str">
        <f t="shared" si="1"/>
        <v>Exposing Another to a Life Threatening Communicable Disease</v>
      </c>
      <c r="C1255" s="49" t="str">
        <f t="shared" si="2"/>
        <v>Exposing Another to a Life Threatening Communicable Disease; Intentionally and knowingly sell or donate one's own blood, blood products, semen, tissue, organs or other body fluids</v>
      </c>
      <c r="D1255" s="49" t="str">
        <f t="shared" si="3"/>
        <v>21-5424(a)(2)</v>
      </c>
      <c r="E1255" s="11" t="s">
        <v>133</v>
      </c>
      <c r="F1255" s="11">
        <v>3.0</v>
      </c>
      <c r="G1255" s="11">
        <v>3.0</v>
      </c>
      <c r="H1255" s="11">
        <v>3.0</v>
      </c>
      <c r="I1255" s="11">
        <v>3.0</v>
      </c>
    </row>
    <row r="1256">
      <c r="A1256" s="10" t="s">
        <v>7653</v>
      </c>
      <c r="B1256" s="49" t="str">
        <f t="shared" si="1"/>
        <v>Exposing Another to a Life Threatening Communicable Disease</v>
      </c>
      <c r="C1256" s="49" t="str">
        <f t="shared" si="2"/>
        <v>Exposing Another to a Life Threatening Communicable Disease; Intentionally and knowingly share a hypodermic needle, syringe, or both, with another</v>
      </c>
      <c r="D1256" s="49" t="str">
        <f t="shared" si="3"/>
        <v>21-5424(a)(3)</v>
      </c>
      <c r="E1256" s="11" t="s">
        <v>133</v>
      </c>
      <c r="F1256" s="11">
        <v>3.0</v>
      </c>
      <c r="G1256" s="11">
        <v>3.0</v>
      </c>
      <c r="H1256" s="11">
        <v>3.0</v>
      </c>
      <c r="I1256" s="11">
        <v>3.0</v>
      </c>
    </row>
    <row r="1257">
      <c r="A1257" s="10" t="s">
        <v>7654</v>
      </c>
      <c r="B1257" s="49" t="str">
        <f t="shared" si="1"/>
        <v>Extortion</v>
      </c>
      <c r="C1257" s="49" t="str">
        <f t="shared" si="2"/>
        <v>Extortion; Threat or promise to diminish or eliminate competition</v>
      </c>
      <c r="D1257" s="49" t="str">
        <f t="shared" si="3"/>
        <v>21-6501(a)(2)(A)</v>
      </c>
      <c r="E1257" s="11" t="s">
        <v>133</v>
      </c>
      <c r="F1257" s="11">
        <v>3.0</v>
      </c>
      <c r="G1257" s="11">
        <v>3.0</v>
      </c>
      <c r="H1257" s="11">
        <v>3.0</v>
      </c>
      <c r="I1257" s="11">
        <v>3.0</v>
      </c>
    </row>
    <row r="1258">
      <c r="A1258" s="10" t="s">
        <v>7655</v>
      </c>
      <c r="B1258" s="49" t="str">
        <f t="shared" si="1"/>
        <v>Extortion</v>
      </c>
      <c r="C1258" s="49" t="str">
        <f t="shared" si="2"/>
        <v>Extortion; Threat or promise to increase, decrease or maintain the price of goods or services purchased or sold</v>
      </c>
      <c r="D1258" s="49" t="str">
        <f t="shared" si="3"/>
        <v>21-6501(a)(2)(B)</v>
      </c>
      <c r="E1258" s="11" t="s">
        <v>133</v>
      </c>
      <c r="F1258" s="11">
        <v>3.0</v>
      </c>
      <c r="G1258" s="11">
        <v>3.0</v>
      </c>
      <c r="H1258" s="11">
        <v>3.0</v>
      </c>
      <c r="I1258" s="11">
        <v>3.0</v>
      </c>
    </row>
    <row r="1259">
      <c r="A1259" s="10" t="s">
        <v>7656</v>
      </c>
      <c r="B1259" s="49" t="str">
        <f t="shared" si="1"/>
        <v>Extortion</v>
      </c>
      <c r="C1259" s="49" t="str">
        <f t="shared" si="2"/>
        <v>Extortion; Threat or promise to protect the business, person or family of the owner, proprietor or interested person by violence or other unlawful means</v>
      </c>
      <c r="D1259" s="49" t="str">
        <f t="shared" si="3"/>
        <v>21-6501(a)(2)(C)</v>
      </c>
      <c r="E1259" s="11" t="s">
        <v>133</v>
      </c>
      <c r="F1259" s="11">
        <v>3.0</v>
      </c>
      <c r="G1259" s="11">
        <v>3.0</v>
      </c>
      <c r="H1259" s="11">
        <v>3.0</v>
      </c>
      <c r="I1259" s="11">
        <v>3.0</v>
      </c>
    </row>
    <row r="1260">
      <c r="A1260" s="10" t="s">
        <v>7657</v>
      </c>
      <c r="B1260" s="49" t="str">
        <f t="shared" si="1"/>
        <v>Failure to Appear</v>
      </c>
      <c r="C1260" s="49" t="str">
        <f t="shared" si="2"/>
        <v>Failure to Appear; Knowingly incurring a forfeiture of an appearance bond and failing to surrender oneself within 30 days of forfeiture by one charged with or convicted of a misdemeanor</v>
      </c>
      <c r="D1260" s="49" t="str">
        <f t="shared" si="3"/>
        <v>21-5915(a)</v>
      </c>
      <c r="E1260" s="11" t="s">
        <v>133</v>
      </c>
      <c r="F1260" s="11">
        <v>3.0</v>
      </c>
      <c r="G1260" s="11">
        <v>3.0</v>
      </c>
      <c r="H1260" s="11">
        <v>3.0</v>
      </c>
      <c r="I1260" s="11">
        <v>3.0</v>
      </c>
    </row>
    <row r="1261">
      <c r="A1261" s="10" t="s">
        <v>7658</v>
      </c>
      <c r="B1261" s="49" t="str">
        <f t="shared" si="1"/>
        <v>Failure to Maintain Adequate Records</v>
      </c>
      <c r="C1261" s="49" t="str">
        <f t="shared" si="2"/>
        <v>Failure to Maintain Adequate Records; Negligently fail to maintain records necessary to fully disclose all income and expenditures upon which rates of medical payments were based</v>
      </c>
      <c r="D1261" s="49" t="str">
        <f t="shared" si="3"/>
        <v>21-5930(a)(2)</v>
      </c>
      <c r="E1261" s="11" t="s">
        <v>133</v>
      </c>
      <c r="F1261" s="11">
        <v>3.0</v>
      </c>
      <c r="G1261" s="11">
        <v>3.0</v>
      </c>
      <c r="H1261" s="11">
        <v>3.0</v>
      </c>
      <c r="I1261" s="11">
        <v>3.0</v>
      </c>
    </row>
    <row r="1262">
      <c r="A1262" s="10" t="s">
        <v>7659</v>
      </c>
      <c r="B1262" s="49" t="str">
        <f t="shared" si="1"/>
        <v>Failure to Maintain Adequate Records</v>
      </c>
      <c r="C1262" s="49" t="str">
        <f t="shared" si="2"/>
        <v>Failure to Maintain Adequate Records; Negligently fail to maintain records necessary to fully disclose the nature of goods, services, items, facilities or accommodations for which a medicaid claim was submitted or payment received</v>
      </c>
      <c r="D1262" s="49" t="str">
        <f t="shared" si="3"/>
        <v>21-5930(a)(1)</v>
      </c>
      <c r="E1262" s="11" t="s">
        <v>133</v>
      </c>
      <c r="F1262" s="11">
        <v>3.0</v>
      </c>
      <c r="G1262" s="11">
        <v>3.0</v>
      </c>
      <c r="H1262" s="11">
        <v>3.0</v>
      </c>
      <c r="I1262" s="11">
        <v>3.0</v>
      </c>
    </row>
    <row r="1263">
      <c r="A1263" s="10" t="s">
        <v>7660</v>
      </c>
      <c r="B1263" s="49" t="str">
        <f t="shared" si="1"/>
        <v>Failure to register an aircraft</v>
      </c>
      <c r="C1263" s="49" t="str">
        <f t="shared" si="2"/>
        <v>Failure to register an aircraft</v>
      </c>
      <c r="D1263" s="49" t="str">
        <f t="shared" si="3"/>
        <v>21-5935(a)</v>
      </c>
      <c r="E1263" s="11" t="s">
        <v>133</v>
      </c>
      <c r="F1263" s="11">
        <v>3.0</v>
      </c>
      <c r="G1263" s="11">
        <v>3.0</v>
      </c>
      <c r="H1263" s="11">
        <v>3.0</v>
      </c>
      <c r="I1263" s="11">
        <v>3.0</v>
      </c>
    </row>
    <row r="1264">
      <c r="A1264" s="10" t="s">
        <v>7661</v>
      </c>
      <c r="B1264" s="49" t="str">
        <f t="shared" si="1"/>
        <v>Failure to Register Explosives</v>
      </c>
      <c r="C1264" s="49" t="str">
        <f t="shared" si="2"/>
        <v>Failure to Register Explosives; Receipt of explosives or detonating substance</v>
      </c>
      <c r="D1264" s="49" t="str">
        <f t="shared" si="3"/>
        <v>21-6311(a)(2)</v>
      </c>
      <c r="E1264" s="11" t="s">
        <v>133</v>
      </c>
      <c r="F1264" s="11">
        <v>3.0</v>
      </c>
      <c r="G1264" s="11">
        <v>3.0</v>
      </c>
      <c r="H1264" s="11">
        <v>3.0</v>
      </c>
      <c r="I1264" s="11">
        <v>3.0</v>
      </c>
    </row>
    <row r="1265">
      <c r="A1265" s="10" t="s">
        <v>7662</v>
      </c>
      <c r="B1265" s="49" t="str">
        <f t="shared" si="1"/>
        <v>Failure to Register Explosives</v>
      </c>
      <c r="C1265" s="49" t="str">
        <f t="shared" si="2"/>
        <v>Failure to Register Explosives; Sale of explosives or detonating substance</v>
      </c>
      <c r="D1265" s="49" t="str">
        <f t="shared" si="3"/>
        <v>21-6311(a)(1)</v>
      </c>
      <c r="E1265" s="11" t="s">
        <v>133</v>
      </c>
      <c r="F1265" s="11">
        <v>3.0</v>
      </c>
      <c r="G1265" s="11">
        <v>3.0</v>
      </c>
      <c r="H1265" s="11">
        <v>3.0</v>
      </c>
      <c r="I1265" s="11">
        <v>3.0</v>
      </c>
    </row>
    <row r="1266">
      <c r="A1266" s="10" t="s">
        <v>7663</v>
      </c>
      <c r="B1266" s="49" t="str">
        <f t="shared" si="1"/>
        <v>Failure to Remain</v>
      </c>
      <c r="C1266" s="49" t="str">
        <f t="shared" si="2"/>
        <v>Failure to Remain; At scene of accident resulting in death of any person</v>
      </c>
      <c r="D1266" s="49" t="str">
        <f t="shared" si="3"/>
        <v>8-1602(a)</v>
      </c>
      <c r="E1266" s="11" t="s">
        <v>133</v>
      </c>
      <c r="F1266" s="11">
        <v>3.0</v>
      </c>
      <c r="G1266" s="11">
        <v>3.0</v>
      </c>
      <c r="H1266" s="11">
        <v>3.0</v>
      </c>
      <c r="I1266" s="11">
        <v>3.0</v>
      </c>
    </row>
    <row r="1267">
      <c r="A1267" s="10" t="s">
        <v>7664</v>
      </c>
      <c r="B1267" s="49" t="str">
        <f t="shared" si="1"/>
        <v>Failure to Remain</v>
      </c>
      <c r="C1267" s="49" t="str">
        <f t="shared" si="2"/>
        <v>Failure to Remain; At scene of accident resulting in death of any person, if the person knew or reasonably should have known that such accident resulted in injury or death</v>
      </c>
      <c r="D1267" s="49" t="str">
        <f t="shared" si="3"/>
        <v>8-1602(a)</v>
      </c>
      <c r="E1267" s="11" t="s">
        <v>133</v>
      </c>
      <c r="F1267" s="11">
        <v>3.0</v>
      </c>
      <c r="G1267" s="11">
        <v>3.0</v>
      </c>
      <c r="H1267" s="11">
        <v>3.0</v>
      </c>
      <c r="I1267" s="11">
        <v>3.0</v>
      </c>
    </row>
    <row r="1268">
      <c r="A1268" s="10" t="s">
        <v>7665</v>
      </c>
      <c r="B1268" s="49" t="str">
        <f t="shared" si="1"/>
        <v>Failure to Remain</v>
      </c>
      <c r="C1268" s="49" t="str">
        <f t="shared" si="2"/>
        <v>Failure to Remain; At scene of accident resulting in great bodily harm to any person</v>
      </c>
      <c r="D1268" s="49" t="str">
        <f t="shared" si="3"/>
        <v>8-1602(a)</v>
      </c>
      <c r="E1268" s="11" t="s">
        <v>133</v>
      </c>
      <c r="F1268" s="11">
        <v>3.0</v>
      </c>
      <c r="G1268" s="11">
        <v>3.0</v>
      </c>
      <c r="H1268" s="11">
        <v>3.0</v>
      </c>
      <c r="I1268" s="11">
        <v>3.0</v>
      </c>
    </row>
    <row r="1269">
      <c r="A1269" s="10" t="s">
        <v>7666</v>
      </c>
      <c r="B1269" s="49" t="str">
        <f t="shared" si="1"/>
        <v>Failure to Remain</v>
      </c>
      <c r="C1269" s="49" t="str">
        <f t="shared" si="2"/>
        <v>Failure to Remain; At scene of accident resulting in injury to any person or total property damages in excess of $1,000 or more</v>
      </c>
      <c r="D1269" s="49" t="str">
        <f t="shared" si="3"/>
        <v>8-1602(a)</v>
      </c>
      <c r="E1269" s="11" t="s">
        <v>133</v>
      </c>
      <c r="F1269" s="11">
        <v>3.0</v>
      </c>
      <c r="G1269" s="11">
        <v>3.0</v>
      </c>
      <c r="H1269" s="11">
        <v>3.0</v>
      </c>
      <c r="I1269" s="11">
        <v>3.0</v>
      </c>
    </row>
    <row r="1270">
      <c r="A1270" s="10" t="s">
        <v>7667</v>
      </c>
      <c r="B1270" s="49" t="str">
        <f t="shared" si="1"/>
        <v>Failure to Remain</v>
      </c>
      <c r="C1270" s="49" t="str">
        <f t="shared" si="2"/>
        <v>Failure to Remain; At scene of accident resulting in total property damages or less than $1,000; 1st offense</v>
      </c>
      <c r="D1270" s="49" t="str">
        <f t="shared" si="3"/>
        <v>8-1602(a)</v>
      </c>
      <c r="E1270" s="11" t="s">
        <v>133</v>
      </c>
      <c r="F1270" s="11">
        <v>3.0</v>
      </c>
      <c r="G1270" s="11">
        <v>3.0</v>
      </c>
      <c r="H1270" s="11">
        <v>3.0</v>
      </c>
      <c r="I1270" s="11">
        <v>3.0</v>
      </c>
    </row>
    <row r="1271">
      <c r="A1271" s="10" t="s">
        <v>7668</v>
      </c>
      <c r="B1271" s="49" t="str">
        <f t="shared" si="1"/>
        <v>Failure to Remain</v>
      </c>
      <c r="C1271" s="49" t="str">
        <f t="shared" si="2"/>
        <v>Failure to Remain; At scene of accident resulting in total property damages or less than $1,000; 2nd offense within 1 yr of the 1st offense</v>
      </c>
      <c r="D1271" s="49" t="str">
        <f t="shared" si="3"/>
        <v>8-1602(a)</v>
      </c>
      <c r="E1271" s="11" t="s">
        <v>133</v>
      </c>
      <c r="F1271" s="11">
        <v>3.0</v>
      </c>
      <c r="G1271" s="11">
        <v>3.0</v>
      </c>
      <c r="H1271" s="11">
        <v>3.0</v>
      </c>
      <c r="I1271" s="11">
        <v>3.0</v>
      </c>
    </row>
    <row r="1272">
      <c r="A1272" s="10" t="s">
        <v>7669</v>
      </c>
      <c r="B1272" s="49" t="str">
        <f t="shared" si="1"/>
        <v>Failure to Remain</v>
      </c>
      <c r="C1272" s="49" t="str">
        <f t="shared" si="2"/>
        <v>Failure to Remain; At scene of accident resulting in total property damages or less than $1,000; 3rd or subs. offense within 1 yr of the 1st</v>
      </c>
      <c r="D1272" s="49" t="str">
        <f t="shared" si="3"/>
        <v>8-1602(a)</v>
      </c>
      <c r="E1272" s="11" t="s">
        <v>133</v>
      </c>
      <c r="F1272" s="11">
        <v>3.0</v>
      </c>
      <c r="G1272" s="11">
        <v>3.0</v>
      </c>
      <c r="H1272" s="11">
        <v>3.0</v>
      </c>
      <c r="I1272" s="11">
        <v>3.0</v>
      </c>
    </row>
    <row r="1273">
      <c r="A1273" s="10" t="s">
        <v>7670</v>
      </c>
      <c r="B1273" s="49" t="str">
        <f t="shared" si="1"/>
        <v>Failure to Report a Wound</v>
      </c>
      <c r="C1273" s="49" t="str">
        <f t="shared" si="2"/>
        <v>Failure to Report a Wound; Any bullet wound, gunshot wound, powder burn or other injury arising from or caused by a firearm</v>
      </c>
      <c r="D1273" s="49" t="str">
        <f t="shared" si="3"/>
        <v>21-6319(a)(1)</v>
      </c>
      <c r="E1273" s="11" t="s">
        <v>133</v>
      </c>
      <c r="F1273" s="11">
        <v>3.0</v>
      </c>
      <c r="G1273" s="11">
        <v>3.0</v>
      </c>
      <c r="H1273" s="11">
        <v>3.0</v>
      </c>
      <c r="I1273" s="11">
        <v>3.0</v>
      </c>
    </row>
    <row r="1274">
      <c r="A1274" s="10" t="s">
        <v>7671</v>
      </c>
      <c r="B1274" s="49" t="str">
        <f t="shared" si="1"/>
        <v>Failure to Report a Wound</v>
      </c>
      <c r="C1274" s="49" t="str">
        <f t="shared" si="2"/>
        <v>Failure to Report a Wound; Any wound potentially resulting in death and apparently inflicted by a knife, ice pick, or other sharp or pointed instrument</v>
      </c>
      <c r="D1274" s="49" t="str">
        <f t="shared" si="3"/>
        <v>21-6319(a)(2)</v>
      </c>
      <c r="E1274" s="11" t="s">
        <v>133</v>
      </c>
      <c r="F1274" s="11">
        <v>3.0</v>
      </c>
      <c r="G1274" s="11">
        <v>3.0</v>
      </c>
      <c r="H1274" s="11">
        <v>3.0</v>
      </c>
      <c r="I1274" s="11">
        <v>3.0</v>
      </c>
    </row>
    <row r="1275">
      <c r="A1275" s="10" t="s">
        <v>7672</v>
      </c>
      <c r="B1275" s="49" t="str">
        <f t="shared" si="1"/>
        <v>Failure to Report Accident</v>
      </c>
      <c r="C1275" s="49" t="str">
        <f t="shared" si="2"/>
        <v>Failure to Report Accident; Fail to file written report as required; 1st violation</v>
      </c>
      <c r="D1275" s="49" t="str">
        <f t="shared" si="3"/>
        <v>-106071</v>
      </c>
      <c r="E1275" s="11" t="s">
        <v>133</v>
      </c>
      <c r="F1275" s="11">
        <v>3.0</v>
      </c>
      <c r="G1275" s="11">
        <v>3.0</v>
      </c>
      <c r="H1275" s="11">
        <v>3.0</v>
      </c>
      <c r="I1275" s="11">
        <v>3.0</v>
      </c>
    </row>
    <row r="1276">
      <c r="A1276" s="10" t="s">
        <v>7673</v>
      </c>
      <c r="B1276" s="49" t="str">
        <f t="shared" si="1"/>
        <v>Failure to Report Accident</v>
      </c>
      <c r="C1276" s="49" t="str">
        <f t="shared" si="2"/>
        <v>Failure to Report Accident; Fail to file written report as required; 2nd violation within 1 yr of 1st offense</v>
      </c>
      <c r="D1276" s="49" t="str">
        <f t="shared" si="3"/>
        <v>-106071</v>
      </c>
      <c r="E1276" s="11" t="s">
        <v>133</v>
      </c>
      <c r="F1276" s="11">
        <v>3.0</v>
      </c>
      <c r="G1276" s="11">
        <v>3.0</v>
      </c>
      <c r="H1276" s="11">
        <v>3.0</v>
      </c>
      <c r="I1276" s="11">
        <v>3.0</v>
      </c>
    </row>
    <row r="1277">
      <c r="A1277" s="10" t="s">
        <v>7674</v>
      </c>
      <c r="B1277" s="49" t="str">
        <f t="shared" si="1"/>
        <v>Failure to Report Accident</v>
      </c>
      <c r="C1277" s="49" t="str">
        <f t="shared" si="2"/>
        <v>Failure to Report Accident; Fail to file written report as required; 3rd violation within 1 yr of 1st offense</v>
      </c>
      <c r="D1277" s="49" t="str">
        <f t="shared" si="3"/>
        <v>-106071</v>
      </c>
      <c r="E1277" s="11" t="s">
        <v>133</v>
      </c>
      <c r="F1277" s="11">
        <v>3.0</v>
      </c>
      <c r="G1277" s="11">
        <v>3.0</v>
      </c>
      <c r="H1277" s="11">
        <v>3.0</v>
      </c>
      <c r="I1277" s="11">
        <v>3.0</v>
      </c>
    </row>
    <row r="1278">
      <c r="A1278" s="10" t="s">
        <v>7675</v>
      </c>
      <c r="B1278" s="49" t="str">
        <f t="shared" si="1"/>
        <v>Failure to Report Accident</v>
      </c>
      <c r="C1278" s="49" t="str">
        <f t="shared" si="2"/>
        <v>Failure to Report Accident; Resulting in damage to unattended vehicle or property; 1st offense</v>
      </c>
      <c r="D1278" s="49" t="str">
        <f t="shared" si="3"/>
        <v>8-1605(a)</v>
      </c>
      <c r="E1278" s="11" t="s">
        <v>133</v>
      </c>
      <c r="F1278" s="11">
        <v>3.0</v>
      </c>
      <c r="G1278" s="11">
        <v>3.0</v>
      </c>
      <c r="H1278" s="11">
        <v>3.0</v>
      </c>
      <c r="I1278" s="11">
        <v>3.0</v>
      </c>
    </row>
    <row r="1279">
      <c r="A1279" s="10" t="s">
        <v>7676</v>
      </c>
      <c r="B1279" s="49" t="str">
        <f t="shared" si="1"/>
        <v>Failure to Report Accident</v>
      </c>
      <c r="C1279" s="49" t="str">
        <f t="shared" si="2"/>
        <v>Failure to Report Accident; Resulting in damage to unattended vehicle or property; 2nd offense within 1 yr of the 1st offense</v>
      </c>
      <c r="D1279" s="49" t="str">
        <f t="shared" si="3"/>
        <v>8-1605(a)</v>
      </c>
      <c r="E1279" s="11" t="s">
        <v>133</v>
      </c>
      <c r="F1279" s="11">
        <v>3.0</v>
      </c>
      <c r="G1279" s="11">
        <v>3.0</v>
      </c>
      <c r="H1279" s="11">
        <v>3.0</v>
      </c>
      <c r="I1279" s="11">
        <v>3.0</v>
      </c>
    </row>
    <row r="1280">
      <c r="A1280" s="10" t="s">
        <v>7677</v>
      </c>
      <c r="B1280" s="49" t="str">
        <f t="shared" si="1"/>
        <v>Failure to Report Accident</v>
      </c>
      <c r="C1280" s="49" t="str">
        <f t="shared" si="2"/>
        <v>Failure to Report Accident; Resulting in damage to unattended vehicle or property; 3rd or subs. offense within 1 yr of the 1st offense</v>
      </c>
      <c r="D1280" s="49" t="str">
        <f t="shared" si="3"/>
        <v>8-1605(a)</v>
      </c>
      <c r="E1280" s="11" t="s">
        <v>133</v>
      </c>
      <c r="F1280" s="11">
        <v>3.0</v>
      </c>
      <c r="G1280" s="11">
        <v>3.0</v>
      </c>
      <c r="H1280" s="11">
        <v>3.0</v>
      </c>
      <c r="I1280" s="11">
        <v>3.0</v>
      </c>
    </row>
    <row r="1281">
      <c r="A1281" s="10" t="s">
        <v>7678</v>
      </c>
      <c r="B1281" s="49" t="str">
        <f t="shared" si="1"/>
        <v>Failure to Report the Death of a Child</v>
      </c>
      <c r="C1281" s="49" t="str">
        <f t="shared" si="2"/>
        <v>Failure to Report the Death of a Child; Knowingly failing to report the death to law enforcement officer or agencies with intent to conceal a crime by certain person required to report abuse or neglect in K.S.A. 38-2223</v>
      </c>
      <c r="D1281" s="49" t="str">
        <f t="shared" si="3"/>
        <v>21-5938(b)(1)(B)</v>
      </c>
      <c r="E1281" s="11" t="s">
        <v>133</v>
      </c>
      <c r="F1281" s="11">
        <v>3.0</v>
      </c>
      <c r="G1281" s="11">
        <v>3.0</v>
      </c>
      <c r="H1281" s="11">
        <v>3.0</v>
      </c>
      <c r="I1281" s="11">
        <v>3.0</v>
      </c>
    </row>
    <row r="1282">
      <c r="A1282" s="10" t="s">
        <v>7679</v>
      </c>
      <c r="B1282" s="49" t="str">
        <f t="shared" si="1"/>
        <v>Failure to Report the Death of a Child</v>
      </c>
      <c r="C1282" s="49" t="str">
        <f t="shared" si="2"/>
        <v>Failure to Report the Death of a Child; Knowingly failing to report the death to law enforcement officer or agencies with intent to conceal a crime by parent, legal guardian or caretaker</v>
      </c>
      <c r="D1282" s="49" t="str">
        <f t="shared" si="3"/>
        <v>21-5938(b)(1)(A)</v>
      </c>
      <c r="E1282" s="11" t="s">
        <v>133</v>
      </c>
      <c r="F1282" s="11">
        <v>3.0</v>
      </c>
      <c r="G1282" s="11">
        <v>3.0</v>
      </c>
      <c r="H1282" s="11">
        <v>3.0</v>
      </c>
      <c r="I1282" s="11">
        <v>3.0</v>
      </c>
    </row>
    <row r="1283">
      <c r="A1283" s="10" t="s">
        <v>7680</v>
      </c>
      <c r="B1283" s="49" t="str">
        <f t="shared" si="1"/>
        <v>Failure to Report the Disappearance of a Child under 13</v>
      </c>
      <c r="C1283" s="49" t="str">
        <f t="shared" si="2"/>
        <v>Failure to Report the Disappearance of a Child under 13; Knowingly failing to report the disappearance to law enforcement officer or agencies by parent, legal guardian or caretaker when person knows or reasonably should know child has been missing, with intent to conceal commission of a crime</v>
      </c>
      <c r="D1283" s="49" t="str">
        <f t="shared" si="3"/>
        <v>21-5938(a)(1)</v>
      </c>
      <c r="E1283" s="11" t="s">
        <v>133</v>
      </c>
      <c r="F1283" s="11">
        <v>3.0</v>
      </c>
      <c r="G1283" s="11">
        <v>3.0</v>
      </c>
      <c r="H1283" s="11">
        <v>3.0</v>
      </c>
      <c r="I1283" s="11">
        <v>3.0</v>
      </c>
    </row>
    <row r="1284">
      <c r="A1284" s="10" t="s">
        <v>7681</v>
      </c>
      <c r="B1284" s="49" t="str">
        <f t="shared" si="1"/>
        <v>Failure to Report the Disappearance of a Child under 13</v>
      </c>
      <c r="C1284" s="49" t="str">
        <f t="shared" si="2"/>
        <v>Failure to Report the Disappearance of a Child under 13; Knowingly failing to report the disappearance to law enforcement officer or agencies by parent, legal guardian or caretaker when person knows that child is missing and has reason to believe that child is in imminent danger of death or great bodily harm</v>
      </c>
      <c r="D1284" s="49" t="str">
        <f t="shared" si="3"/>
        <v>21-5938(a)(2)</v>
      </c>
      <c r="E1284" s="11" t="s">
        <v>133</v>
      </c>
      <c r="F1284" s="11">
        <v>3.0</v>
      </c>
      <c r="G1284" s="11">
        <v>3.0</v>
      </c>
      <c r="H1284" s="11">
        <v>3.0</v>
      </c>
      <c r="I1284" s="11">
        <v>3.0</v>
      </c>
    </row>
    <row r="1285">
      <c r="A1285" s="10" t="s">
        <v>7682</v>
      </c>
      <c r="B1285" s="49" t="str">
        <f t="shared" si="1"/>
        <v>Fair Credit Reporting Act</v>
      </c>
      <c r="C1285" s="49" t="str">
        <f t="shared" si="2"/>
        <v>Fair Credit Reporting Act; Any violation of K.S.A. 50-701 to 50-719, inclusive, unless otherwise provided</v>
      </c>
      <c r="D1285" s="49" t="str">
        <f t="shared" si="3"/>
        <v>50-720</v>
      </c>
      <c r="E1285" s="11" t="s">
        <v>133</v>
      </c>
      <c r="F1285" s="11">
        <v>3.0</v>
      </c>
      <c r="G1285" s="11">
        <v>3.0</v>
      </c>
      <c r="H1285" s="11">
        <v>3.0</v>
      </c>
      <c r="I1285" s="11">
        <v>3.0</v>
      </c>
    </row>
    <row r="1286">
      <c r="A1286" s="10" t="s">
        <v>7683</v>
      </c>
      <c r="B1286" s="49" t="str">
        <f t="shared" si="1"/>
        <v>Fair Credit Reporting Act</v>
      </c>
      <c r="C1286" s="49" t="str">
        <f t="shared" si="2"/>
        <v>Fair Credit Reporting Act; Obtaining information under false pretenses</v>
      </c>
      <c r="D1286" s="49" t="str">
        <f t="shared" si="3"/>
        <v>50-718</v>
      </c>
      <c r="E1286" s="11" t="s">
        <v>133</v>
      </c>
      <c r="F1286" s="11">
        <v>3.0</v>
      </c>
      <c r="G1286" s="11">
        <v>3.0</v>
      </c>
      <c r="H1286" s="11">
        <v>3.0</v>
      </c>
      <c r="I1286" s="11">
        <v>3.0</v>
      </c>
    </row>
    <row r="1287">
      <c r="A1287" s="10" t="s">
        <v>7684</v>
      </c>
      <c r="B1287" s="49" t="str">
        <f t="shared" si="1"/>
        <v>Fair Credit Reporting Act</v>
      </c>
      <c r="C1287" s="49" t="str">
        <f t="shared" si="2"/>
        <v>Fair Credit Reporting Act; Unauthorized disclosures by officers or employees</v>
      </c>
      <c r="D1287" s="49" t="str">
        <f t="shared" si="3"/>
        <v>50-719</v>
      </c>
      <c r="E1287" s="11" t="s">
        <v>133</v>
      </c>
      <c r="F1287" s="11">
        <v>3.0</v>
      </c>
      <c r="G1287" s="11">
        <v>3.0</v>
      </c>
      <c r="H1287" s="11">
        <v>3.0</v>
      </c>
      <c r="I1287" s="11">
        <v>3.0</v>
      </c>
    </row>
    <row r="1288">
      <c r="A1288" s="10" t="s">
        <v>7685</v>
      </c>
      <c r="B1288" s="49" t="str">
        <f t="shared" si="1"/>
        <v>False Alarm</v>
      </c>
      <c r="C1288" s="49" t="str">
        <f t="shared" si="2"/>
        <v>False Alarm; Knowingly making an emergency assistance call</v>
      </c>
      <c r="D1288" s="49" t="str">
        <f t="shared" si="3"/>
        <v>21-6207(a)(2)</v>
      </c>
      <c r="E1288" s="11" t="s">
        <v>133</v>
      </c>
      <c r="F1288" s="11">
        <v>3.0</v>
      </c>
      <c r="G1288" s="11">
        <v>3.0</v>
      </c>
      <c r="H1288" s="11">
        <v>3.0</v>
      </c>
      <c r="I1288" s="11">
        <v>3.0</v>
      </c>
    </row>
    <row r="1289">
      <c r="A1289" s="10" t="s">
        <v>7686</v>
      </c>
      <c r="B1289" s="49" t="str">
        <f t="shared" si="1"/>
        <v>False Alarm</v>
      </c>
      <c r="C1289" s="49" t="str">
        <f t="shared" si="2"/>
        <v>False Alarm; Knowingly making an emergency assistance call; including false information that violent criminal activity or immediate threat to a person's life or safety is taking place</v>
      </c>
      <c r="D1289" s="49" t="str">
        <f t="shared" si="3"/>
        <v>21-6207(a)(2)</v>
      </c>
      <c r="E1289" s="11" t="s">
        <v>133</v>
      </c>
      <c r="F1289" s="11">
        <v>3.0</v>
      </c>
      <c r="G1289" s="11">
        <v>3.0</v>
      </c>
      <c r="H1289" s="11">
        <v>3.0</v>
      </c>
      <c r="I1289" s="11">
        <v>3.0</v>
      </c>
    </row>
    <row r="1290">
      <c r="A1290" s="10" t="s">
        <v>7687</v>
      </c>
      <c r="B1290" s="49" t="str">
        <f t="shared" si="1"/>
        <v>False Alarm</v>
      </c>
      <c r="C1290" s="49" t="str">
        <f t="shared" si="2"/>
        <v>False Alarm; Knowingly making an emergency assistance call; using electronic device or software to alter, conceal or disguise identity</v>
      </c>
      <c r="D1290" s="49" t="str">
        <f t="shared" si="3"/>
        <v>21-6207(a)(2)</v>
      </c>
      <c r="E1290" s="11" t="s">
        <v>133</v>
      </c>
      <c r="F1290" s="11">
        <v>3.0</v>
      </c>
      <c r="G1290" s="11">
        <v>3.0</v>
      </c>
      <c r="H1290" s="11">
        <v>3.0</v>
      </c>
      <c r="I1290" s="11">
        <v>3.0</v>
      </c>
    </row>
    <row r="1291">
      <c r="A1291" s="10" t="s">
        <v>7688</v>
      </c>
      <c r="B1291" s="49" t="str">
        <f t="shared" si="1"/>
        <v>False Alarm</v>
      </c>
      <c r="C1291" s="49" t="str">
        <f t="shared" si="2"/>
        <v>False Alarm; Knowingly transmitting a false fire alarm</v>
      </c>
      <c r="D1291" s="49" t="str">
        <f t="shared" si="3"/>
        <v>21-6207(a)(1)</v>
      </c>
      <c r="E1291" s="11" t="s">
        <v>133</v>
      </c>
      <c r="F1291" s="11">
        <v>3.0</v>
      </c>
      <c r="G1291" s="11">
        <v>3.0</v>
      </c>
      <c r="H1291" s="11">
        <v>3.0</v>
      </c>
      <c r="I1291" s="11">
        <v>3.0</v>
      </c>
    </row>
    <row r="1292">
      <c r="A1292" s="10" t="s">
        <v>7689</v>
      </c>
      <c r="B1292" s="49" t="str">
        <f t="shared" si="1"/>
        <v>False Alarm</v>
      </c>
      <c r="C1292" s="49" t="str">
        <f t="shared" si="2"/>
        <v>False Alarm; Knowingly transmitting a false fire alarm; including false information that violent criminal activity or immediate threat to a person's life or safety is taking place</v>
      </c>
      <c r="D1292" s="49" t="str">
        <f t="shared" si="3"/>
        <v>21-6207(a)(1)</v>
      </c>
      <c r="E1292" s="11" t="s">
        <v>133</v>
      </c>
      <c r="F1292" s="11">
        <v>3.0</v>
      </c>
      <c r="G1292" s="11">
        <v>3.0</v>
      </c>
      <c r="H1292" s="11">
        <v>3.0</v>
      </c>
      <c r="I1292" s="11">
        <v>3.0</v>
      </c>
    </row>
    <row r="1293">
      <c r="A1293" s="10" t="s">
        <v>7690</v>
      </c>
      <c r="B1293" s="49" t="str">
        <f t="shared" si="1"/>
        <v>False Alarm</v>
      </c>
      <c r="C1293" s="49" t="str">
        <f t="shared" si="2"/>
        <v>False Alarm; Knowingly transmitting a false fire alarm; using electronic device or software to alter, conceal or disguise identity</v>
      </c>
      <c r="D1293" s="49" t="str">
        <f t="shared" si="3"/>
        <v>21-6207(a)(1)</v>
      </c>
      <c r="E1293" s="11" t="s">
        <v>133</v>
      </c>
      <c r="F1293" s="11">
        <v>3.0</v>
      </c>
      <c r="G1293" s="11">
        <v>3.0</v>
      </c>
      <c r="H1293" s="11">
        <v>3.0</v>
      </c>
      <c r="I1293" s="11">
        <v>3.0</v>
      </c>
    </row>
    <row r="1294">
      <c r="A1294" s="10" t="s">
        <v>7691</v>
      </c>
      <c r="B1294" s="49" t="str">
        <f t="shared" si="1"/>
        <v>False Impersonation</v>
      </c>
      <c r="C1294" s="49" t="str">
        <f t="shared" si="2"/>
        <v>False Impersonation</v>
      </c>
      <c r="D1294" s="49" t="str">
        <f t="shared" si="3"/>
        <v>21-5917(a)</v>
      </c>
      <c r="E1294" s="11" t="s">
        <v>133</v>
      </c>
      <c r="F1294" s="11">
        <v>3.0</v>
      </c>
      <c r="G1294" s="11">
        <v>3.0</v>
      </c>
      <c r="H1294" s="11">
        <v>3.0</v>
      </c>
      <c r="I1294" s="11">
        <v>3.0</v>
      </c>
    </row>
    <row r="1295">
      <c r="A1295" s="10" t="s">
        <v>7692</v>
      </c>
      <c r="B1295" s="49" t="str">
        <f t="shared" si="1"/>
        <v>False Information or Report</v>
      </c>
      <c r="C1295" s="49" t="str">
        <f t="shared" si="2"/>
        <v>False Information or Report; Knowingly give false information or report concerning accident</v>
      </c>
      <c r="D1295" s="49" t="str">
        <f t="shared" si="3"/>
        <v>-106436</v>
      </c>
      <c r="E1295" s="11" t="s">
        <v>133</v>
      </c>
      <c r="F1295" s="11">
        <v>3.0</v>
      </c>
      <c r="G1295" s="11">
        <v>3.0</v>
      </c>
      <c r="H1295" s="11">
        <v>3.0</v>
      </c>
      <c r="I1295" s="11">
        <v>3.0</v>
      </c>
    </row>
    <row r="1296">
      <c r="A1296" s="10" t="s">
        <v>7693</v>
      </c>
      <c r="B1296" s="49" t="str">
        <f t="shared" si="1"/>
        <v>False Membership Claim</v>
      </c>
      <c r="C1296" s="49" t="str">
        <f t="shared" si="2"/>
        <v>False Membership Claim; Knowingly and falsely represent oneself to be a member of a fraternal or veteran's organization</v>
      </c>
      <c r="D1296" s="49" t="str">
        <f t="shared" si="3"/>
        <v>21-6410(a)</v>
      </c>
      <c r="E1296" s="11" t="s">
        <v>133</v>
      </c>
      <c r="F1296" s="11">
        <v>3.0</v>
      </c>
      <c r="G1296" s="11">
        <v>3.0</v>
      </c>
      <c r="H1296" s="11">
        <v>3.0</v>
      </c>
      <c r="I1296" s="11">
        <v>3.0</v>
      </c>
    </row>
    <row r="1297">
      <c r="A1297" s="10" t="s">
        <v>7694</v>
      </c>
      <c r="B1297" s="49" t="str">
        <f t="shared" si="1"/>
        <v>False Signing of a Petition</v>
      </c>
      <c r="C1297" s="49" t="str">
        <f t="shared" si="2"/>
        <v>False Signing of a Petition; Knowingly affixing any fictitious or unauthorized signature to document intended to presented to the legislature or any agency or officer of the state</v>
      </c>
      <c r="D1297" s="49" t="str">
        <f t="shared" si="3"/>
        <v>21-5916(a)</v>
      </c>
      <c r="E1297" s="11" t="s">
        <v>133</v>
      </c>
      <c r="F1297" s="11">
        <v>3.0</v>
      </c>
      <c r="G1297" s="11">
        <v>3.0</v>
      </c>
      <c r="H1297" s="11">
        <v>3.0</v>
      </c>
      <c r="I1297" s="11">
        <v>3.0</v>
      </c>
    </row>
    <row r="1298">
      <c r="A1298" s="10" t="s">
        <v>7695</v>
      </c>
      <c r="B1298" s="49" t="str">
        <f t="shared" si="1"/>
        <v>False Writing</v>
      </c>
      <c r="C1298" s="49" t="str">
        <f t="shared" si="2"/>
        <v>False Writing; Make, generate, distribute or draw, any written instrument, electronic data or entry in a book of account knowing that such information falsely states or represents some material matter or is not what it purports to be, and with intent to defraud, obstruct the detection of a theft or felony offense or induce official action</v>
      </c>
      <c r="D1298" s="49" t="str">
        <f t="shared" si="3"/>
        <v>21-5824(a)</v>
      </c>
      <c r="E1298" s="11" t="s">
        <v>133</v>
      </c>
      <c r="F1298" s="11">
        <v>3.0</v>
      </c>
      <c r="G1298" s="11">
        <v>3.0</v>
      </c>
      <c r="H1298" s="11">
        <v>3.0</v>
      </c>
      <c r="I1298" s="11">
        <v>3.0</v>
      </c>
    </row>
    <row r="1299">
      <c r="A1299" s="10" t="s">
        <v>7696</v>
      </c>
      <c r="B1299" s="49" t="str">
        <f t="shared" si="1"/>
        <v>Farm Produce</v>
      </c>
      <c r="C1299" s="49" t="str">
        <f t="shared" si="2"/>
        <v>Farm Produce; Dressed poultry; increasing weight prohibited</v>
      </c>
      <c r="D1299" s="49" t="str">
        <f t="shared" si="3"/>
        <v>-287413</v>
      </c>
      <c r="E1299" s="11" t="s">
        <v>133</v>
      </c>
      <c r="F1299" s="11">
        <v>3.0</v>
      </c>
      <c r="G1299" s="11">
        <v>3.0</v>
      </c>
      <c r="H1299" s="11">
        <v>3.0</v>
      </c>
      <c r="I1299" s="11">
        <v>3.0</v>
      </c>
    </row>
    <row r="1300">
      <c r="A1300" s="10" t="s">
        <v>7697</v>
      </c>
      <c r="B1300" s="49" t="str">
        <f t="shared" si="1"/>
        <v>Farm Produce</v>
      </c>
      <c r="C1300" s="49" t="str">
        <f t="shared" si="2"/>
        <v>Farm Produce; Failure to maintain purchase memorandum manifesting the name and address of the seller, the number and kinds or colors of poultry purchased as required</v>
      </c>
      <c r="D1300" s="49" t="str">
        <f t="shared" si="3"/>
        <v>-288509</v>
      </c>
      <c r="E1300" s="11" t="s">
        <v>133</v>
      </c>
      <c r="F1300" s="11">
        <v>3.0</v>
      </c>
      <c r="G1300" s="11">
        <v>3.0</v>
      </c>
      <c r="H1300" s="11">
        <v>3.0</v>
      </c>
      <c r="I1300" s="11">
        <v>3.0</v>
      </c>
    </row>
    <row r="1301">
      <c r="A1301" s="10" t="s">
        <v>7698</v>
      </c>
      <c r="B1301" s="49" t="str">
        <f t="shared" si="1"/>
        <v>Farm Produce</v>
      </c>
      <c r="C1301" s="49" t="str">
        <f t="shared" si="2"/>
        <v>Farm Produce; Fraudulent examination of records; penalty for violation</v>
      </c>
      <c r="D1301" s="49" t="str">
        <f t="shared" si="3"/>
        <v>-287779</v>
      </c>
      <c r="E1301" s="11" t="s">
        <v>133</v>
      </c>
      <c r="F1301" s="11">
        <v>3.0</v>
      </c>
      <c r="G1301" s="11">
        <v>3.0</v>
      </c>
      <c r="H1301" s="11">
        <v>3.0</v>
      </c>
      <c r="I1301" s="11">
        <v>3.0</v>
      </c>
    </row>
    <row r="1302">
      <c r="A1302" s="10" t="s">
        <v>7699</v>
      </c>
      <c r="B1302" s="49" t="str">
        <f t="shared" si="1"/>
        <v>Farm Produce</v>
      </c>
      <c r="C1302" s="49" t="str">
        <f t="shared" si="2"/>
        <v>Farm Produce; Unlawful sale of dressed poultry</v>
      </c>
      <c r="D1302" s="49" t="str">
        <f t="shared" si="3"/>
        <v>-287048</v>
      </c>
      <c r="E1302" s="11" t="s">
        <v>133</v>
      </c>
      <c r="F1302" s="11">
        <v>3.0</v>
      </c>
      <c r="G1302" s="11">
        <v>3.0</v>
      </c>
      <c r="H1302" s="11">
        <v>3.0</v>
      </c>
      <c r="I1302" s="11">
        <v>3.0</v>
      </c>
    </row>
    <row r="1303">
      <c r="A1303" s="10" t="s">
        <v>7700</v>
      </c>
      <c r="B1303" s="49" t="str">
        <f t="shared" si="1"/>
        <v>Farm Produce</v>
      </c>
      <c r="C1303" s="49" t="str">
        <f t="shared" si="2"/>
        <v>Farm Produce; Unlawful use of end intake air probes; penalty</v>
      </c>
      <c r="D1303" s="49" t="str">
        <f t="shared" si="3"/>
        <v>-285952</v>
      </c>
      <c r="E1303" s="11" t="s">
        <v>133</v>
      </c>
      <c r="F1303" s="11">
        <v>3.0</v>
      </c>
      <c r="G1303" s="11">
        <v>3.0</v>
      </c>
      <c r="H1303" s="11">
        <v>3.0</v>
      </c>
      <c r="I1303" s="11">
        <v>3.0</v>
      </c>
    </row>
    <row r="1304">
      <c r="A1304" s="10" t="s">
        <v>7701</v>
      </c>
      <c r="B1304" s="49" t="str">
        <f t="shared" si="1"/>
        <v>Fees &amp; Salaries</v>
      </c>
      <c r="C1304" s="49" t="str">
        <f t="shared" si="2"/>
        <v>Fees &amp; Salaries; Certain Counties over 140,000;  penalties for violation of 1911 act ; officer, deputy, assistant or clerk, who fails to perform any of the duties prescribed by this act</v>
      </c>
      <c r="D1304" s="49" t="str">
        <f t="shared" si="3"/>
        <v>28-318</v>
      </c>
      <c r="E1304" s="11" t="s">
        <v>133</v>
      </c>
      <c r="F1304" s="11">
        <v>3.0</v>
      </c>
      <c r="G1304" s="11">
        <v>3.0</v>
      </c>
      <c r="H1304" s="11">
        <v>3.0</v>
      </c>
      <c r="I1304" s="11">
        <v>3.0</v>
      </c>
    </row>
    <row r="1305">
      <c r="A1305" s="10" t="s">
        <v>7702</v>
      </c>
      <c r="B1305" s="49" t="str">
        <f t="shared" si="1"/>
        <v>Fees &amp; Salaries</v>
      </c>
      <c r="C1305" s="49" t="str">
        <f t="shared" si="2"/>
        <v>Fees &amp; Salaries; Counties between 130,000 and 185,000; officer, deputy, assistant or clerk, who fails to perform any of the duties prescribed by this act</v>
      </c>
      <c r="D1305" s="49" t="str">
        <f t="shared" si="3"/>
        <v>28-226</v>
      </c>
      <c r="E1305" s="11" t="s">
        <v>133</v>
      </c>
      <c r="F1305" s="11">
        <v>3.0</v>
      </c>
      <c r="G1305" s="11">
        <v>3.0</v>
      </c>
      <c r="H1305" s="11">
        <v>3.0</v>
      </c>
      <c r="I1305" s="11">
        <v>3.0</v>
      </c>
    </row>
    <row r="1306">
      <c r="A1306" s="10" t="s">
        <v>7703</v>
      </c>
      <c r="B1306" s="49" t="str">
        <f t="shared" si="1"/>
        <v>Fees &amp; Salaries</v>
      </c>
      <c r="C1306" s="49" t="str">
        <f t="shared" si="2"/>
        <v>Fees &amp; Salaries; Counties Designated Urban Areas; officer, deputy, assistant or clerk, who fails to perform any of the duties prescribed by this act</v>
      </c>
      <c r="D1306" s="49" t="str">
        <f t="shared" si="3"/>
        <v>28-1008</v>
      </c>
      <c r="E1306" s="11" t="s">
        <v>133</v>
      </c>
      <c r="F1306" s="11">
        <v>3.0</v>
      </c>
      <c r="G1306" s="11">
        <v>3.0</v>
      </c>
      <c r="H1306" s="11">
        <v>3.0</v>
      </c>
      <c r="I1306" s="11">
        <v>3.0</v>
      </c>
    </row>
    <row r="1307">
      <c r="A1307" s="10" t="s">
        <v>7704</v>
      </c>
      <c r="B1307" s="49" t="str">
        <f t="shared" si="1"/>
        <v>Fees &amp; Salaries</v>
      </c>
      <c r="C1307" s="49" t="str">
        <f t="shared" si="2"/>
        <v>Fees &amp; Salaries; Counties over 300,000; officer, deputy, assistant or clerk, who fails to perform any of the duties prescribed by this act</v>
      </c>
      <c r="D1307" s="49" t="str">
        <f t="shared" si="3"/>
        <v>28-619</v>
      </c>
      <c r="E1307" s="11" t="s">
        <v>133</v>
      </c>
      <c r="F1307" s="11">
        <v>3.0</v>
      </c>
      <c r="G1307" s="11">
        <v>3.0</v>
      </c>
      <c r="H1307" s="11">
        <v>3.0</v>
      </c>
      <c r="I1307" s="11">
        <v>3.0</v>
      </c>
    </row>
    <row r="1308">
      <c r="A1308" s="10" t="s">
        <v>7705</v>
      </c>
      <c r="B1308" s="49" t="str">
        <f t="shared" si="1"/>
        <v>Female Genital Mutilation</v>
      </c>
      <c r="C1308" s="49" t="str">
        <f t="shared" si="2"/>
        <v>Female Genital Mutilation; Causing or permitting another to perform the acts described in (a)(1) or (a)(2) by a parent, caretaker or guardian</v>
      </c>
      <c r="D1308" s="49" t="str">
        <f t="shared" si="3"/>
        <v>21-5431(a)(3)</v>
      </c>
      <c r="E1308" s="11" t="s">
        <v>133</v>
      </c>
      <c r="F1308" s="11">
        <v>3.0</v>
      </c>
      <c r="G1308" s="11">
        <v>3.0</v>
      </c>
      <c r="H1308" s="11">
        <v>3.0</v>
      </c>
      <c r="I1308" s="11">
        <v>3.0</v>
      </c>
    </row>
    <row r="1309">
      <c r="A1309" s="10" t="s">
        <v>7706</v>
      </c>
      <c r="B1309" s="49" t="str">
        <f t="shared" si="1"/>
        <v>Female Genital Mutilation</v>
      </c>
      <c r="C1309" s="49" t="str">
        <f t="shared" si="2"/>
        <v>Female Genital Mutilation; Knowingly circumcising, excising or infibulating the whole or part of the labia majora, labia minora or clitoris of a female under 18</v>
      </c>
      <c r="D1309" s="49" t="str">
        <f t="shared" si="3"/>
        <v>21-5431(a)(1)</v>
      </c>
      <c r="E1309" s="11" t="s">
        <v>133</v>
      </c>
      <c r="F1309" s="11">
        <v>3.0</v>
      </c>
      <c r="G1309" s="11">
        <v>3.0</v>
      </c>
      <c r="H1309" s="11">
        <v>3.0</v>
      </c>
      <c r="I1309" s="11">
        <v>3.0</v>
      </c>
    </row>
    <row r="1310">
      <c r="A1310" s="10" t="s">
        <v>7707</v>
      </c>
      <c r="B1310" s="49" t="str">
        <f t="shared" si="1"/>
        <v>Female Genital Mutilation</v>
      </c>
      <c r="C1310" s="49" t="str">
        <f t="shared" si="2"/>
        <v>Female Genital Mutilation; Removing a female under 18 from the state for the purpose of circumcising, excising or infibulating the whole or part of the labia majora, labia minora or clitoris of such female</v>
      </c>
      <c r="D1310" s="49" t="str">
        <f t="shared" si="3"/>
        <v>21-5431(a)(2)</v>
      </c>
      <c r="E1310" s="11" t="s">
        <v>133</v>
      </c>
      <c r="F1310" s="11">
        <v>3.0</v>
      </c>
      <c r="G1310" s="11">
        <v>3.0</v>
      </c>
      <c r="H1310" s="11">
        <v>3.0</v>
      </c>
      <c r="I1310" s="11">
        <v>3.0</v>
      </c>
    </row>
    <row r="1311">
      <c r="A1311" s="10" t="s">
        <v>7708</v>
      </c>
      <c r="B1311" s="49" t="str">
        <f t="shared" si="1"/>
        <v>Fences</v>
      </c>
      <c r="C1311" s="49" t="str">
        <f t="shared" si="2"/>
        <v>Fences; Legal Enclosures; interfering with fence described in K.S.A. 29-106 or leaving gates open</v>
      </c>
      <c r="D1311" s="49" t="str">
        <f t="shared" si="3"/>
        <v>29-107</v>
      </c>
      <c r="E1311" s="11" t="s">
        <v>133</v>
      </c>
      <c r="F1311" s="11">
        <v>3.0</v>
      </c>
      <c r="G1311" s="11">
        <v>3.0</v>
      </c>
      <c r="H1311" s="11">
        <v>3.0</v>
      </c>
      <c r="I1311" s="11">
        <v>3.0</v>
      </c>
    </row>
    <row r="1312">
      <c r="A1312" s="10" t="s">
        <v>7709</v>
      </c>
      <c r="B1312" s="49" t="str">
        <f t="shared" si="1"/>
        <v>Fertilizers</v>
      </c>
      <c r="C1312" s="49" t="str">
        <f t="shared" si="2"/>
        <v>Fertilizers; Fail or neglect to file the tonnage reports or affidavit or pay the inspection fee</v>
      </c>
      <c r="D1312" s="49" t="str">
        <f t="shared" si="3"/>
        <v>2-1208(2)(b)</v>
      </c>
      <c r="E1312" s="11" t="s">
        <v>133</v>
      </c>
      <c r="F1312" s="11">
        <v>3.0</v>
      </c>
      <c r="G1312" s="11">
        <v>3.0</v>
      </c>
      <c r="H1312" s="11">
        <v>3.0</v>
      </c>
      <c r="I1312" s="11">
        <v>3.0</v>
      </c>
    </row>
    <row r="1313">
      <c r="A1313" s="10" t="s">
        <v>7710</v>
      </c>
      <c r="B1313" s="49" t="str">
        <f t="shared" si="1"/>
        <v>Fertilizers</v>
      </c>
      <c r="C1313" s="49" t="str">
        <f t="shared" si="2"/>
        <v>Fertilizers; Failure to provide, or have available for use, safety material and effective safety equipment, as required by regulation</v>
      </c>
      <c r="D1313" s="49" t="str">
        <f t="shared" si="3"/>
        <v>2-1218(c)</v>
      </c>
      <c r="E1313" s="11" t="s">
        <v>133</v>
      </c>
      <c r="F1313" s="11">
        <v>3.0</v>
      </c>
      <c r="G1313" s="11">
        <v>3.0</v>
      </c>
      <c r="H1313" s="11">
        <v>3.0</v>
      </c>
      <c r="I1313" s="11">
        <v>3.0</v>
      </c>
    </row>
    <row r="1314">
      <c r="A1314" s="10" t="s">
        <v>7711</v>
      </c>
      <c r="B1314" s="49" t="str">
        <f t="shared" si="1"/>
        <v>Fertilizers</v>
      </c>
      <c r="C1314" s="49" t="str">
        <f t="shared" si="2"/>
        <v>Fertilizers; Handling/Storage/Disposal; failure to comply with a stop sale order or stop use order issued pursuant to K.S.A. 2-1232</v>
      </c>
      <c r="D1314" s="49" t="str">
        <f t="shared" si="3"/>
        <v>2-1230(f)</v>
      </c>
      <c r="E1314" s="11" t="s">
        <v>133</v>
      </c>
      <c r="F1314" s="11">
        <v>3.0</v>
      </c>
      <c r="G1314" s="11">
        <v>3.0</v>
      </c>
      <c r="H1314" s="11">
        <v>3.0</v>
      </c>
      <c r="I1314" s="11">
        <v>3.0</v>
      </c>
    </row>
    <row r="1315">
      <c r="A1315" s="10" t="s">
        <v>7712</v>
      </c>
      <c r="B1315" s="49" t="str">
        <f t="shared" si="1"/>
        <v>Fertilizers</v>
      </c>
      <c r="C1315" s="49" t="str">
        <f t="shared" si="2"/>
        <v>Fertilizers; Handling/Storage/Disposal; failure to provide, or have available for use, safety material and effective safety equipment, as required by regulation</v>
      </c>
      <c r="D1315" s="49" t="str">
        <f t="shared" si="3"/>
        <v>2-1230(c)</v>
      </c>
      <c r="E1315" s="11" t="s">
        <v>133</v>
      </c>
      <c r="F1315" s="11">
        <v>3.0</v>
      </c>
      <c r="G1315" s="11">
        <v>3.0</v>
      </c>
      <c r="H1315" s="11">
        <v>3.0</v>
      </c>
      <c r="I1315" s="11">
        <v>3.0</v>
      </c>
    </row>
    <row r="1316">
      <c r="A1316" s="10" t="s">
        <v>7713</v>
      </c>
      <c r="B1316" s="49" t="str">
        <f t="shared" si="1"/>
        <v>Fertilizers</v>
      </c>
      <c r="C1316" s="49" t="str">
        <f t="shared" si="2"/>
        <v>Fertilizers; Handling/Storage/Disposal; impede, obstruct or hinder, prevent or to attempt to prevent, authorized personnel/employee in performance of duties in connection with administration of this act</v>
      </c>
      <c r="D1316" s="49" t="str">
        <f t="shared" si="3"/>
        <v>2-1230(e)</v>
      </c>
      <c r="E1316" s="11" t="s">
        <v>133</v>
      </c>
      <c r="F1316" s="11">
        <v>3.0</v>
      </c>
      <c r="G1316" s="11">
        <v>3.0</v>
      </c>
      <c r="H1316" s="11">
        <v>3.0</v>
      </c>
      <c r="I1316" s="11">
        <v>3.0</v>
      </c>
    </row>
    <row r="1317">
      <c r="A1317" s="10" t="s">
        <v>7714</v>
      </c>
      <c r="B1317" s="49" t="str">
        <f t="shared" si="1"/>
        <v>Fertilizers</v>
      </c>
      <c r="C1317" s="49" t="str">
        <f t="shared" si="2"/>
        <v>Fertilizers; Handling/Storage/Disposal; penalty for violation of any rule and regulation adopted under K.S.A. 2-1227</v>
      </c>
      <c r="D1317" s="49" t="str">
        <f t="shared" si="3"/>
        <v>2-1230(d)</v>
      </c>
      <c r="E1317" s="11" t="s">
        <v>133</v>
      </c>
      <c r="F1317" s="11">
        <v>3.0</v>
      </c>
      <c r="G1317" s="11">
        <v>3.0</v>
      </c>
      <c r="H1317" s="11">
        <v>3.0</v>
      </c>
      <c r="I1317" s="11">
        <v>3.0</v>
      </c>
    </row>
    <row r="1318">
      <c r="A1318" s="10" t="s">
        <v>7715</v>
      </c>
      <c r="B1318" s="49" t="str">
        <f t="shared" si="1"/>
        <v>Fertilizers</v>
      </c>
      <c r="C1318" s="49" t="str">
        <f t="shared" si="2"/>
        <v>Fertilizers; Handling/Storage/Disposal; unlawful operation of facilities or equipment</v>
      </c>
      <c r="D1318" s="49" t="str">
        <f t="shared" si="3"/>
        <v>2-1230(a)</v>
      </c>
      <c r="E1318" s="11" t="s">
        <v>133</v>
      </c>
      <c r="F1318" s="11">
        <v>3.0</v>
      </c>
      <c r="G1318" s="11">
        <v>3.0</v>
      </c>
      <c r="H1318" s="11">
        <v>3.0</v>
      </c>
      <c r="I1318" s="11">
        <v>3.0</v>
      </c>
    </row>
    <row r="1319">
      <c r="A1319" s="10" t="s">
        <v>7716</v>
      </c>
      <c r="B1319" s="49" t="str">
        <f t="shared" si="1"/>
        <v>Fertilizers</v>
      </c>
      <c r="C1319" s="49" t="str">
        <f t="shared" si="2"/>
        <v>Fertilizers; Handling/Storage/Disposal; use of defective/unsafe product container, piping, valve, hose, appurtenances or other equipment for handling/storage of commercial fertilizer and fertilizer materials</v>
      </c>
      <c r="D1319" s="49" t="str">
        <f t="shared" si="3"/>
        <v>2-1230(b)</v>
      </c>
      <c r="E1319" s="11" t="s">
        <v>133</v>
      </c>
      <c r="F1319" s="11">
        <v>3.0</v>
      </c>
      <c r="G1319" s="11">
        <v>3.0</v>
      </c>
      <c r="H1319" s="11">
        <v>3.0</v>
      </c>
      <c r="I1319" s="11">
        <v>3.0</v>
      </c>
    </row>
    <row r="1320">
      <c r="A1320" s="10" t="s">
        <v>7717</v>
      </c>
      <c r="B1320" s="49" t="str">
        <f t="shared" si="1"/>
        <v>Fertilizers</v>
      </c>
      <c r="C1320" s="49" t="str">
        <f t="shared" si="2"/>
        <v>Fertilizers; Impede, obstruct or hinder, or to otherwise prevent or to attempt to prevent, authorized personnel/employee in performance of duties in connection with administration of this act</v>
      </c>
      <c r="D1320" s="49" t="str">
        <f t="shared" si="3"/>
        <v>2-1218(d)</v>
      </c>
      <c r="E1320" s="11" t="s">
        <v>133</v>
      </c>
      <c r="F1320" s="11">
        <v>3.0</v>
      </c>
      <c r="G1320" s="11">
        <v>3.0</v>
      </c>
      <c r="H1320" s="11">
        <v>3.0</v>
      </c>
      <c r="I1320" s="11">
        <v>3.0</v>
      </c>
    </row>
    <row r="1321">
      <c r="A1321" s="10" t="s">
        <v>7718</v>
      </c>
      <c r="B1321" s="49" t="str">
        <f t="shared" si="1"/>
        <v>Fertilizers</v>
      </c>
      <c r="C1321" s="49" t="str">
        <f t="shared" si="2"/>
        <v>Fertilizers; Impede, obstruct, hinder or otherwise prevent or attempt to prevent the secretary/authorized agent in performance of their duty in connection with administration of provisions of this act</v>
      </c>
      <c r="D1321" s="49" t="str">
        <f t="shared" si="3"/>
        <v>2-1208(2)(c)</v>
      </c>
      <c r="E1321" s="11" t="s">
        <v>133</v>
      </c>
      <c r="F1321" s="11">
        <v>3.0</v>
      </c>
      <c r="G1321" s="11">
        <v>3.0</v>
      </c>
      <c r="H1321" s="11">
        <v>3.0</v>
      </c>
      <c r="I1321" s="11">
        <v>3.0</v>
      </c>
    </row>
    <row r="1322">
      <c r="A1322" s="10" t="s">
        <v>7719</v>
      </c>
      <c r="B1322" s="49" t="str">
        <f t="shared" si="1"/>
        <v>Fertilizers</v>
      </c>
      <c r="C1322" s="49" t="str">
        <f t="shared" si="2"/>
        <v>Fertilizers; Mutilate, destroy, obliterate or remove the label or any part thereof; or do any act which may result in the misbranding or false labeling of any commercial fertilizer</v>
      </c>
      <c r="D1322" s="49" t="str">
        <f t="shared" si="3"/>
        <v>2-1208(2)(a)</v>
      </c>
      <c r="E1322" s="11" t="s">
        <v>133</v>
      </c>
      <c r="F1322" s="11">
        <v>3.0</v>
      </c>
      <c r="G1322" s="11">
        <v>3.0</v>
      </c>
      <c r="H1322" s="11">
        <v>3.0</v>
      </c>
      <c r="I1322" s="11">
        <v>3.0</v>
      </c>
    </row>
    <row r="1323">
      <c r="A1323" s="10" t="s">
        <v>7720</v>
      </c>
      <c r="B1323" s="49" t="str">
        <f t="shared" si="1"/>
        <v>Fertilizers</v>
      </c>
      <c r="C1323" s="49" t="str">
        <f t="shared" si="2"/>
        <v>Fertilizers; Unauthorized failure to comply with the requirements of K.S.A. 2-1201a</v>
      </c>
      <c r="D1323" s="49" t="str">
        <f t="shared" si="3"/>
        <v>2-1201b(a)(2)</v>
      </c>
      <c r="E1323" s="11" t="s">
        <v>133</v>
      </c>
      <c r="F1323" s="11">
        <v>3.0</v>
      </c>
      <c r="G1323" s="11">
        <v>3.0</v>
      </c>
      <c r="H1323" s="11">
        <v>3.0</v>
      </c>
      <c r="I1323" s="11">
        <v>3.0</v>
      </c>
    </row>
    <row r="1324">
      <c r="A1324" s="10" t="s">
        <v>7721</v>
      </c>
      <c r="B1324" s="49" t="str">
        <f t="shared" si="1"/>
        <v>Fertilizers</v>
      </c>
      <c r="C1324" s="49" t="str">
        <f t="shared" si="2"/>
        <v>Fertilizers; Unlawful operation of any anhydrous ammonia facility, any transportation equipment, or unlawful sale/offer to sell any anhydrous ammonia</v>
      </c>
      <c r="D1324" s="49" t="str">
        <f t="shared" si="3"/>
        <v>2-1218(a)</v>
      </c>
      <c r="E1324" s="11" t="s">
        <v>133</v>
      </c>
      <c r="F1324" s="11">
        <v>3.0</v>
      </c>
      <c r="G1324" s="11">
        <v>3.0</v>
      </c>
      <c r="H1324" s="11">
        <v>3.0</v>
      </c>
      <c r="I1324" s="11">
        <v>3.0</v>
      </c>
    </row>
    <row r="1325">
      <c r="A1325" s="10" t="s">
        <v>7722</v>
      </c>
      <c r="B1325" s="49" t="str">
        <f t="shared" si="1"/>
        <v>Fertilizers</v>
      </c>
      <c r="C1325" s="49" t="str">
        <f t="shared" si="2"/>
        <v>Fertilizers; Unlicensed sale or distribution of any custom blended fertilizer</v>
      </c>
      <c r="D1325" s="49" t="str">
        <f t="shared" si="3"/>
        <v>2-1201b(a)(1)</v>
      </c>
      <c r="E1325" s="11" t="s">
        <v>133</v>
      </c>
      <c r="F1325" s="11">
        <v>3.0</v>
      </c>
      <c r="G1325" s="11">
        <v>3.0</v>
      </c>
      <c r="H1325" s="11">
        <v>3.0</v>
      </c>
      <c r="I1325" s="11">
        <v>3.0</v>
      </c>
    </row>
    <row r="1326">
      <c r="A1326" s="10" t="s">
        <v>7723</v>
      </c>
      <c r="B1326" s="49" t="str">
        <f t="shared" si="1"/>
        <v>Fertilizers</v>
      </c>
      <c r="C1326" s="49" t="str">
        <f t="shared" si="2"/>
        <v>Fertilizers; Use of any product container, piping, valve, hose, appurtenances or other equipment for handling anhydrous ammonia which is defective or which is otherwise unsafe</v>
      </c>
      <c r="D1326" s="49" t="str">
        <f t="shared" si="3"/>
        <v>2-1218(b)</v>
      </c>
      <c r="E1326" s="11" t="s">
        <v>133</v>
      </c>
      <c r="F1326" s="11">
        <v>3.0</v>
      </c>
      <c r="G1326" s="11">
        <v>3.0</v>
      </c>
      <c r="H1326" s="11">
        <v>3.0</v>
      </c>
      <c r="I1326" s="11">
        <v>3.0</v>
      </c>
    </row>
    <row r="1327">
      <c r="A1327" s="10" t="s">
        <v>7724</v>
      </c>
      <c r="B1327" s="49" t="str">
        <f t="shared" si="1"/>
        <v>Fetal Organs &amp; Tissue</v>
      </c>
      <c r="C1327" s="49" t="str">
        <f t="shared" si="2"/>
        <v>Fetal Organs &amp; Tissue; Annual written report to the secretary of the department of health and environment required for any transfer of fetal tissue to another person; contents</v>
      </c>
      <c r="D1327" s="49" t="str">
        <f t="shared" si="3"/>
        <v>65-67a05(a)</v>
      </c>
      <c r="E1327" s="11" t="s">
        <v>133</v>
      </c>
      <c r="F1327" s="11">
        <v>3.0</v>
      </c>
      <c r="G1327" s="11">
        <v>3.0</v>
      </c>
      <c r="H1327" s="11">
        <v>3.0</v>
      </c>
      <c r="I1327" s="11">
        <v>3.0</v>
      </c>
    </row>
    <row r="1328">
      <c r="A1328" s="10" t="s">
        <v>7725</v>
      </c>
      <c r="B1328" s="49" t="str">
        <f t="shared" si="1"/>
        <v>Fetal Organs &amp; Tissue</v>
      </c>
      <c r="C1328" s="49" t="str">
        <f t="shared" si="2"/>
        <v>Fetal Organs &amp; Tissue; Breach in Confidentiality of information obtained under this section</v>
      </c>
      <c r="D1328" s="49" t="str">
        <f t="shared" si="3"/>
        <v>65-67a05(d)</v>
      </c>
      <c r="E1328" s="11" t="s">
        <v>133</v>
      </c>
      <c r="F1328" s="11">
        <v>3.0</v>
      </c>
      <c r="G1328" s="11">
        <v>3.0</v>
      </c>
      <c r="H1328" s="11">
        <v>3.0</v>
      </c>
      <c r="I1328" s="11">
        <v>3.0</v>
      </c>
    </row>
    <row r="1329">
      <c r="A1329" s="10" t="s">
        <v>7726</v>
      </c>
      <c r="B1329" s="49" t="str">
        <f t="shared" si="1"/>
        <v>Fetal Organs &amp; Tissue</v>
      </c>
      <c r="C1329" s="49" t="str">
        <f t="shared" si="2"/>
        <v>Fetal Organs &amp; Tissue; Breach in confidentiality of the donating woman's identity</v>
      </c>
      <c r="D1329" s="49" t="str">
        <f t="shared" si="3"/>
        <v>65-67a05(b)</v>
      </c>
      <c r="E1329" s="11" t="s">
        <v>133</v>
      </c>
      <c r="F1329" s="11">
        <v>3.0</v>
      </c>
      <c r="G1329" s="11">
        <v>3.0</v>
      </c>
      <c r="H1329" s="11">
        <v>3.0</v>
      </c>
      <c r="I1329" s="11">
        <v>3.0</v>
      </c>
    </row>
    <row r="1330">
      <c r="A1330" s="10" t="s">
        <v>7727</v>
      </c>
      <c r="B1330" s="49" t="str">
        <f t="shared" si="1"/>
        <v>Fetal Organs &amp; Tissue</v>
      </c>
      <c r="C1330" s="49" t="str">
        <f t="shared" si="2"/>
        <v>Fetal Organs &amp; Tissue; Intentional, knowing or reckless use of fetal organs or tissue for medical, scientific, experimental or therapeutic use with out voluntary and informed consent of the woman donating such tissue</v>
      </c>
      <c r="D1330" s="49" t="str">
        <f t="shared" si="3"/>
        <v>65-67a07(a)</v>
      </c>
      <c r="E1330" s="11" t="s">
        <v>133</v>
      </c>
      <c r="F1330" s="11">
        <v>3.0</v>
      </c>
      <c r="G1330" s="11">
        <v>3.0</v>
      </c>
      <c r="H1330" s="11">
        <v>3.0</v>
      </c>
      <c r="I1330" s="11">
        <v>3.0</v>
      </c>
    </row>
    <row r="1331">
      <c r="A1331" s="10" t="s">
        <v>7728</v>
      </c>
      <c r="B1331" s="49" t="str">
        <f t="shared" si="1"/>
        <v>Fetal Organs &amp; Tissue</v>
      </c>
      <c r="C1331" s="49" t="str">
        <f t="shared" si="2"/>
        <v>Fetal Organs &amp; Tissue; Offer any monetary or other inducement to person for the purpose of procuring an abortion for the medical, scientific, experimental or therapeutic use of fetal organs or tissue</v>
      </c>
      <c r="D1331" s="49" t="str">
        <f t="shared" si="3"/>
        <v>65-67a06(a)</v>
      </c>
      <c r="E1331" s="11" t="s">
        <v>133</v>
      </c>
      <c r="F1331" s="11">
        <v>3.0</v>
      </c>
      <c r="G1331" s="11">
        <v>3.0</v>
      </c>
      <c r="H1331" s="11">
        <v>3.0</v>
      </c>
      <c r="I1331" s="11">
        <v>3.0</v>
      </c>
    </row>
    <row r="1332">
      <c r="A1332" s="10" t="s">
        <v>7729</v>
      </c>
      <c r="B1332" s="49" t="str">
        <f t="shared" si="1"/>
        <v>Fetal Organs &amp; Tissue</v>
      </c>
      <c r="C1332" s="49" t="str">
        <f t="shared" si="2"/>
        <v>Fetal Organs &amp; Tissue; Offer or accept any valuable consideration for the fetal organs or tissue resulting from an abortion</v>
      </c>
      <c r="D1332" s="49" t="str">
        <f t="shared" si="3"/>
        <v>65-67a06(b)</v>
      </c>
      <c r="E1332" s="11" t="s">
        <v>133</v>
      </c>
      <c r="F1332" s="11">
        <v>3.0</v>
      </c>
      <c r="G1332" s="11">
        <v>3.0</v>
      </c>
      <c r="H1332" s="11">
        <v>3.0</v>
      </c>
      <c r="I1332" s="11">
        <v>3.0</v>
      </c>
    </row>
    <row r="1333">
      <c r="A1333" s="10" t="s">
        <v>7730</v>
      </c>
      <c r="B1333" s="49" t="str">
        <f t="shared" si="1"/>
        <v>Fetal Organs &amp; Tissue</v>
      </c>
      <c r="C1333" s="49" t="str">
        <f t="shared" si="2"/>
        <v>Fetal Organs &amp; Tissue; Reports required by this section shall identify the name and address of the person submitting such report only by confidential code number</v>
      </c>
      <c r="D1333" s="49" t="str">
        <f t="shared" si="3"/>
        <v>65-67a05(e)</v>
      </c>
      <c r="E1333" s="11" t="s">
        <v>133</v>
      </c>
      <c r="F1333" s="11">
        <v>3.0</v>
      </c>
      <c r="G1333" s="11">
        <v>3.0</v>
      </c>
      <c r="H1333" s="11">
        <v>3.0</v>
      </c>
      <c r="I1333" s="11">
        <v>3.0</v>
      </c>
    </row>
    <row r="1334">
      <c r="A1334" s="10" t="s">
        <v>7731</v>
      </c>
      <c r="B1334" s="49" t="str">
        <f t="shared" si="1"/>
        <v>Fetal Organs &amp; Tissue</v>
      </c>
      <c r="C1334" s="49" t="str">
        <f t="shared" si="2"/>
        <v>Fetal Organs &amp; Tissue; Ship fetal tissue without disclosing to the delivery service that human tissue is contained in such shipment</v>
      </c>
      <c r="D1334" s="49" t="str">
        <f t="shared" si="3"/>
        <v>65-67a05(c)</v>
      </c>
      <c r="E1334" s="11" t="s">
        <v>133</v>
      </c>
      <c r="F1334" s="11">
        <v>3.0</v>
      </c>
      <c r="G1334" s="11">
        <v>3.0</v>
      </c>
      <c r="H1334" s="11">
        <v>3.0</v>
      </c>
      <c r="I1334" s="11">
        <v>3.0</v>
      </c>
    </row>
    <row r="1335">
      <c r="A1335" s="10" t="s">
        <v>7732</v>
      </c>
      <c r="B1335" s="49" t="str">
        <f t="shared" si="1"/>
        <v>Fetal Organs &amp; Tissue</v>
      </c>
      <c r="C1335" s="49" t="str">
        <f t="shared" si="2"/>
        <v>Fetal Organs &amp; Tissue; Solicit, offer, knowingly acquire or accept or transfer any fetal tissue for consideration</v>
      </c>
      <c r="D1335" s="49" t="str">
        <f t="shared" si="3"/>
        <v>65-67a04(a)</v>
      </c>
      <c r="E1335" s="11" t="s">
        <v>133</v>
      </c>
      <c r="F1335" s="11">
        <v>3.0</v>
      </c>
      <c r="G1335" s="11">
        <v>3.0</v>
      </c>
      <c r="H1335" s="11">
        <v>3.0</v>
      </c>
      <c r="I1335" s="11">
        <v>3.0</v>
      </c>
    </row>
    <row r="1336">
      <c r="A1336" s="10" t="s">
        <v>7733</v>
      </c>
      <c r="B1336" s="49" t="str">
        <f t="shared" si="1"/>
        <v>Fetal Organs &amp; Tissue</v>
      </c>
      <c r="C1336" s="49" t="str">
        <f t="shared" si="2"/>
        <v>Fetal Organs &amp; Tissue; Solicit, offer, knowingly acquire or accept or transfer any fetal tissue for the purpose of transplanting such into another where tissue was obtained from abortion with promise that the donated tissue will be transplanted into a recipient specified by the donating individual</v>
      </c>
      <c r="D1336" s="49" t="str">
        <f t="shared" si="3"/>
        <v>65-67a04(b)</v>
      </c>
      <c r="E1336" s="11" t="s">
        <v>133</v>
      </c>
      <c r="F1336" s="11">
        <v>3.0</v>
      </c>
      <c r="G1336" s="11">
        <v>3.0</v>
      </c>
      <c r="H1336" s="11">
        <v>3.0</v>
      </c>
      <c r="I1336" s="11">
        <v>3.0</v>
      </c>
    </row>
    <row r="1337">
      <c r="A1337" s="10" t="s">
        <v>7734</v>
      </c>
      <c r="B1337" s="49" t="str">
        <f t="shared" si="1"/>
        <v>Fire Safety &amp; Prevention</v>
      </c>
      <c r="C1337" s="49" t="str">
        <f t="shared" si="2"/>
        <v>Fire Safety &amp; Prevention; Sale to or purchase by fire department of clothing or equipment which does not meet standards set by national fire protection association</v>
      </c>
      <c r="D1337" s="49" t="str">
        <f t="shared" si="3"/>
        <v>31-158(a)</v>
      </c>
      <c r="E1337" s="11" t="s">
        <v>133</v>
      </c>
      <c r="F1337" s="11">
        <v>3.0</v>
      </c>
      <c r="G1337" s="11">
        <v>3.0</v>
      </c>
      <c r="H1337" s="11">
        <v>3.0</v>
      </c>
      <c r="I1337" s="11">
        <v>3.0</v>
      </c>
    </row>
    <row r="1338">
      <c r="A1338" s="10" t="s">
        <v>7735</v>
      </c>
      <c r="B1338" s="49" t="str">
        <f t="shared" si="1"/>
        <v>Fire Safety &amp; Prevention</v>
      </c>
      <c r="C1338" s="49" t="str">
        <f t="shared" si="2"/>
        <v>Fire Safety &amp; Prevention; Violations of fire prevention code</v>
      </c>
      <c r="D1338" s="49" t="str">
        <f t="shared" si="3"/>
        <v>31-150a(a)</v>
      </c>
      <c r="E1338" s="11" t="s">
        <v>133</v>
      </c>
      <c r="F1338" s="11">
        <v>3.0</v>
      </c>
      <c r="G1338" s="11">
        <v>3.0</v>
      </c>
      <c r="H1338" s="11">
        <v>3.0</v>
      </c>
      <c r="I1338" s="11">
        <v>3.0</v>
      </c>
    </row>
    <row r="1339">
      <c r="A1339" s="10" t="s">
        <v>7736</v>
      </c>
      <c r="B1339" s="49" t="str">
        <f t="shared" si="1"/>
        <v>Fire Safety and Prevention</v>
      </c>
      <c r="C1339" s="49" t="str">
        <f t="shared" si="2"/>
        <v>Fire Safety and Prevention; Bottle rockets; Unlawful selling, offering or possession with intent to sell or offer for sale</v>
      </c>
      <c r="D1339" s="49" t="str">
        <f t="shared" si="3"/>
        <v>31-507(a)(1)</v>
      </c>
      <c r="E1339" s="11" t="s">
        <v>133</v>
      </c>
      <c r="F1339" s="11">
        <v>3.0</v>
      </c>
      <c r="G1339" s="11">
        <v>3.0</v>
      </c>
      <c r="H1339" s="11">
        <v>3.0</v>
      </c>
      <c r="I1339" s="11">
        <v>3.0</v>
      </c>
    </row>
    <row r="1340">
      <c r="A1340" s="10" t="s">
        <v>7737</v>
      </c>
      <c r="B1340" s="49" t="str">
        <f t="shared" si="1"/>
        <v>Fire Safety and Prevention</v>
      </c>
      <c r="C1340" s="49" t="str">
        <f t="shared" si="2"/>
        <v>Fire Safety and Prevention; Bottle rockets; Unlawful use, firing, setting off or ignition</v>
      </c>
      <c r="D1340" s="49" t="str">
        <f t="shared" si="3"/>
        <v>31-507(a)(2)</v>
      </c>
      <c r="E1340" s="11" t="s">
        <v>133</v>
      </c>
      <c r="F1340" s="11">
        <v>3.0</v>
      </c>
      <c r="G1340" s="11">
        <v>3.0</v>
      </c>
      <c r="H1340" s="11">
        <v>3.0</v>
      </c>
      <c r="I1340" s="11">
        <v>3.0</v>
      </c>
    </row>
    <row r="1341">
      <c r="A1341" s="10" t="s">
        <v>7738</v>
      </c>
      <c r="B1341" s="49" t="str">
        <f t="shared" si="1"/>
        <v>Firearms</v>
      </c>
      <c r="C1341" s="49" t="str">
        <f t="shared" si="2"/>
        <v>Firearms; Possession of a firearm under the influence; knowingly possess or carry a firearm under the influence of alcohol or drugs to such a degree as to render such person incapable of safely operating</v>
      </c>
      <c r="D1341" s="49" t="str">
        <f t="shared" si="3"/>
        <v>21-6332(a)</v>
      </c>
      <c r="E1341" s="11" t="s">
        <v>133</v>
      </c>
      <c r="F1341" s="11">
        <v>3.0</v>
      </c>
      <c r="G1341" s="11">
        <v>3.0</v>
      </c>
      <c r="H1341" s="11">
        <v>3.0</v>
      </c>
      <c r="I1341" s="11">
        <v>3.0</v>
      </c>
    </row>
    <row r="1342">
      <c r="A1342" s="10" t="s">
        <v>7739</v>
      </c>
      <c r="B1342" s="49" t="str">
        <f t="shared" si="1"/>
        <v>Fleeing or Attempting to Elude a Law Enforcement Officer - 1st conviction</v>
      </c>
      <c r="C1342" s="49" t="str">
        <f t="shared" si="2"/>
        <v>Fleeing or Attempting to Elude a Law Enforcement Officer - 1st conviction</v>
      </c>
      <c r="D1342" s="49" t="str">
        <f t="shared" si="3"/>
        <v>8-1568(a)</v>
      </c>
      <c r="E1342" s="11" t="s">
        <v>133</v>
      </c>
      <c r="F1342" s="11">
        <v>3.0</v>
      </c>
      <c r="G1342" s="11">
        <v>3.0</v>
      </c>
      <c r="H1342" s="11">
        <v>3.0</v>
      </c>
      <c r="I1342" s="11">
        <v>3.0</v>
      </c>
    </row>
    <row r="1343">
      <c r="A1343" s="10" t="s">
        <v>7740</v>
      </c>
      <c r="B1343" s="49" t="str">
        <f t="shared" si="1"/>
        <v>Fleeing or Attempting to Elude a Law Enforcement Officer - 2nd conviction</v>
      </c>
      <c r="C1343" s="49" t="str">
        <f t="shared" si="2"/>
        <v>Fleeing or Attempting to Elude a Law Enforcement Officer - 2nd conviction</v>
      </c>
      <c r="D1343" s="49" t="str">
        <f t="shared" si="3"/>
        <v>8-1568(a)</v>
      </c>
      <c r="E1343" s="11" t="s">
        <v>133</v>
      </c>
      <c r="F1343" s="11">
        <v>3.0</v>
      </c>
      <c r="G1343" s="11">
        <v>3.0</v>
      </c>
      <c r="H1343" s="11">
        <v>3.0</v>
      </c>
      <c r="I1343" s="11">
        <v>3.0</v>
      </c>
    </row>
    <row r="1344">
      <c r="A1344" s="10" t="s">
        <v>7741</v>
      </c>
      <c r="B1344" s="49" t="str">
        <f t="shared" si="1"/>
        <v>Fleeing or Attempting to Elude a LEO</v>
      </c>
      <c r="C1344" s="49" t="str">
        <f t="shared" si="2"/>
        <v>Fleeing or Attempting to Elude a LEO; 3rd or subs. conviction</v>
      </c>
      <c r="D1344" s="49" t="str">
        <f t="shared" si="3"/>
        <v>8-1568(a)</v>
      </c>
      <c r="E1344" s="11" t="s">
        <v>133</v>
      </c>
      <c r="F1344" s="11">
        <v>3.0</v>
      </c>
      <c r="G1344" s="11">
        <v>3.0</v>
      </c>
      <c r="H1344" s="11">
        <v>3.0</v>
      </c>
      <c r="I1344" s="11">
        <v>3.0</v>
      </c>
    </row>
    <row r="1345">
      <c r="A1345" s="10" t="s">
        <v>7742</v>
      </c>
      <c r="B1345" s="49" t="str">
        <f t="shared" si="1"/>
        <v>Fleeing or Attempting to Elude a LEO</v>
      </c>
      <c r="C1345" s="49" t="str">
        <f t="shared" si="2"/>
        <v>Fleeing or Attempting to Elude a LEO; Evade road block, drive reckless, involved in accident, commit 5 moving violations, attempt to elude from felony capture</v>
      </c>
      <c r="D1345" s="49" t="str">
        <f t="shared" si="3"/>
        <v>8-1568(b)</v>
      </c>
      <c r="E1345" s="11" t="s">
        <v>133</v>
      </c>
      <c r="F1345" s="11">
        <v>3.0</v>
      </c>
      <c r="G1345" s="11">
        <v>3.0</v>
      </c>
      <c r="H1345" s="11">
        <v>3.0</v>
      </c>
      <c r="I1345" s="11">
        <v>3.0</v>
      </c>
    </row>
    <row r="1346">
      <c r="A1346" s="10" t="s">
        <v>7743</v>
      </c>
      <c r="B1346" s="49" t="str">
        <f t="shared" si="1"/>
        <v>Flood Control</v>
      </c>
      <c r="C1346" s="49" t="str">
        <f t="shared" si="2"/>
        <v>Flood Control; Failure to obtain excavation permit</v>
      </c>
      <c r="D1346" s="49" t="str">
        <f t="shared" si="3"/>
        <v>19-3310</v>
      </c>
      <c r="E1346" s="11" t="s">
        <v>133</v>
      </c>
      <c r="F1346" s="11">
        <v>3.0</v>
      </c>
      <c r="G1346" s="11">
        <v>3.0</v>
      </c>
      <c r="H1346" s="11">
        <v>3.0</v>
      </c>
      <c r="I1346" s="11">
        <v>3.0</v>
      </c>
    </row>
    <row r="1347">
      <c r="A1347" s="10" t="s">
        <v>7744</v>
      </c>
      <c r="B1347" s="49" t="str">
        <f t="shared" si="1"/>
        <v>Food Advertising &amp; Sales Practices</v>
      </c>
      <c r="C1347" s="49" t="str">
        <f t="shared" si="2"/>
        <v>Food Advertising &amp; Sales Practices; Any violation of act; 1st offense</v>
      </c>
      <c r="D1347" s="49" t="str">
        <f t="shared" si="3"/>
        <v>50-904(a)</v>
      </c>
      <c r="E1347" s="11" t="s">
        <v>133</v>
      </c>
      <c r="F1347" s="11">
        <v>3.0</v>
      </c>
      <c r="G1347" s="11">
        <v>3.0</v>
      </c>
      <c r="H1347" s="11">
        <v>3.0</v>
      </c>
      <c r="I1347" s="11">
        <v>3.0</v>
      </c>
    </row>
    <row r="1348">
      <c r="A1348" s="10" t="s">
        <v>7745</v>
      </c>
      <c r="B1348" s="49" t="str">
        <f t="shared" si="1"/>
        <v>Food Advertising &amp; Sales Practices</v>
      </c>
      <c r="C1348" s="49" t="str">
        <f t="shared" si="2"/>
        <v>Food Advertising &amp; Sales Practices; Any violation of act; 2nd offense</v>
      </c>
      <c r="D1348" s="49" t="str">
        <f t="shared" si="3"/>
        <v>50-904(a)</v>
      </c>
      <c r="E1348" s="11" t="s">
        <v>133</v>
      </c>
      <c r="F1348" s="11">
        <v>3.0</v>
      </c>
      <c r="G1348" s="11">
        <v>3.0</v>
      </c>
      <c r="H1348" s="11">
        <v>3.0</v>
      </c>
      <c r="I1348" s="11">
        <v>3.0</v>
      </c>
    </row>
    <row r="1349">
      <c r="A1349" s="10" t="s">
        <v>7746</v>
      </c>
      <c r="B1349" s="49" t="str">
        <f t="shared" si="1"/>
        <v>Food Advertising &amp; Sales Practices</v>
      </c>
      <c r="C1349" s="49" t="str">
        <f t="shared" si="2"/>
        <v>Food Advertising &amp; Sales Practices; Any violation of act; 3rd or subs.</v>
      </c>
      <c r="D1349" s="49" t="str">
        <f t="shared" si="3"/>
        <v>50-904(a)</v>
      </c>
      <c r="E1349" s="11" t="s">
        <v>133</v>
      </c>
      <c r="F1349" s="11">
        <v>3.0</v>
      </c>
      <c r="G1349" s="11">
        <v>3.0</v>
      </c>
      <c r="H1349" s="11">
        <v>3.0</v>
      </c>
      <c r="I1349" s="11">
        <v>3.0</v>
      </c>
    </row>
    <row r="1350">
      <c r="A1350" s="10" t="s">
        <v>7747</v>
      </c>
      <c r="B1350" s="49" t="str">
        <f t="shared" si="1"/>
        <v>Food, Drugs &amp; Cosmetics Act</v>
      </c>
      <c r="C1350" s="49" t="str">
        <f t="shared" si="2"/>
        <v>Food, Drugs &amp; Cosmetics Act; Adulterate or misbranded any food, drug, device, or cosmetic</v>
      </c>
      <c r="D1350" s="49" t="str">
        <f t="shared" si="3"/>
        <v>65-657(b)</v>
      </c>
      <c r="E1350" s="11" t="s">
        <v>133</v>
      </c>
      <c r="F1350" s="11">
        <v>3.0</v>
      </c>
      <c r="G1350" s="11">
        <v>3.0</v>
      </c>
      <c r="H1350" s="11">
        <v>3.0</v>
      </c>
      <c r="I1350" s="11">
        <v>3.0</v>
      </c>
    </row>
    <row r="1351">
      <c r="A1351" s="10" t="s">
        <v>7748</v>
      </c>
      <c r="B1351" s="49" t="str">
        <f t="shared" si="1"/>
        <v>Food, Drugs &amp; Cosmetics Act</v>
      </c>
      <c r="C1351" s="49" t="str">
        <f t="shared" si="2"/>
        <v>Food, Drugs &amp; Cosmetics Act; Alteration, mutilation, destruction, obliteration or removal of the whole or any part of the labeling of, or the doing of any other act with respect to a food, drug, device or cosmetic, if such act is done while such article is held for sale and results in such article being misbranded</v>
      </c>
      <c r="D1351" s="49" t="str">
        <f t="shared" si="3"/>
        <v>65-657(h)</v>
      </c>
      <c r="E1351" s="11" t="s">
        <v>133</v>
      </c>
      <c r="F1351" s="11">
        <v>3.0</v>
      </c>
      <c r="G1351" s="11">
        <v>3.0</v>
      </c>
      <c r="H1351" s="11">
        <v>3.0</v>
      </c>
      <c r="I1351" s="11">
        <v>3.0</v>
      </c>
    </row>
    <row r="1352">
      <c r="A1352" s="10" t="s">
        <v>7749</v>
      </c>
      <c r="B1352" s="49" t="str">
        <f t="shared" si="1"/>
        <v>Food, Drugs &amp; Cosmetics Act</v>
      </c>
      <c r="C1352" s="49" t="str">
        <f t="shared" si="2"/>
        <v>Food, Drugs &amp; Cosmetics Act; Dispense a different drug or brand of drug in place of the one ordered or prescribed without express permission in each case of the person ordering or prescribing</v>
      </c>
      <c r="D1352" s="49" t="str">
        <f t="shared" si="3"/>
        <v>65-657(n)</v>
      </c>
      <c r="E1352" s="11" t="s">
        <v>133</v>
      </c>
      <c r="F1352" s="11">
        <v>3.0</v>
      </c>
      <c r="G1352" s="11">
        <v>3.0</v>
      </c>
      <c r="H1352" s="11">
        <v>3.0</v>
      </c>
      <c r="I1352" s="11">
        <v>3.0</v>
      </c>
    </row>
    <row r="1353">
      <c r="A1353" s="10" t="s">
        <v>7750</v>
      </c>
      <c r="B1353" s="49" t="str">
        <f t="shared" si="1"/>
        <v>Food, Drugs &amp; Cosmetics Act</v>
      </c>
      <c r="C1353" s="49" t="str">
        <f t="shared" si="2"/>
        <v>Food, Drugs &amp; Cosmetics Act; Dissemination of any false advertisement</v>
      </c>
      <c r="D1353" s="49" t="str">
        <f t="shared" si="3"/>
        <v>65-657(d)</v>
      </c>
      <c r="E1353" s="11" t="s">
        <v>133</v>
      </c>
      <c r="F1353" s="11">
        <v>3.0</v>
      </c>
      <c r="G1353" s="11">
        <v>3.0</v>
      </c>
      <c r="H1353" s="11">
        <v>3.0</v>
      </c>
      <c r="I1353" s="11">
        <v>3.0</v>
      </c>
    </row>
    <row r="1354">
      <c r="A1354" s="10" t="s">
        <v>7751</v>
      </c>
      <c r="B1354" s="49" t="str">
        <f t="shared" si="1"/>
        <v>Food, Drugs &amp; Cosmetics Act</v>
      </c>
      <c r="C1354" s="49" t="str">
        <f t="shared" si="2"/>
        <v>Food, Drugs &amp; Cosmetics Act; Forging, counterfeiting, simulating or falsely representing, or without proper authority using any mark, stamp, tag, label or other identification method authorized, or required by rules and regulations promulgated under the provisions of this act</v>
      </c>
      <c r="D1354" s="49" t="str">
        <f t="shared" si="3"/>
        <v>65-657(i)</v>
      </c>
      <c r="E1354" s="11" t="s">
        <v>133</v>
      </c>
      <c r="F1354" s="11">
        <v>3.0</v>
      </c>
      <c r="G1354" s="11">
        <v>3.0</v>
      </c>
      <c r="H1354" s="11">
        <v>3.0</v>
      </c>
      <c r="I1354" s="11">
        <v>3.0</v>
      </c>
    </row>
    <row r="1355">
      <c r="A1355" s="10" t="s">
        <v>7752</v>
      </c>
      <c r="B1355" s="49" t="str">
        <f t="shared" si="1"/>
        <v>Food, Drugs &amp; Cosmetics Act</v>
      </c>
      <c r="C1355" s="49" t="str">
        <f t="shared" si="2"/>
        <v>Food, Drugs &amp; Cosmetics Act; Giving of a guaranty or undertaking which is false</v>
      </c>
      <c r="D1355" s="49" t="str">
        <f t="shared" si="3"/>
        <v>65-657(f)</v>
      </c>
      <c r="E1355" s="11" t="s">
        <v>133</v>
      </c>
      <c r="F1355" s="11">
        <v>3.0</v>
      </c>
      <c r="G1355" s="11">
        <v>3.0</v>
      </c>
      <c r="H1355" s="11">
        <v>3.0</v>
      </c>
      <c r="I1355" s="11">
        <v>3.0</v>
      </c>
    </row>
    <row r="1356">
      <c r="A1356" s="10" t="s">
        <v>7753</v>
      </c>
      <c r="B1356" s="49" t="str">
        <f t="shared" si="1"/>
        <v>Food, Drugs &amp; Cosmetics Act</v>
      </c>
      <c r="C1356" s="49" t="str">
        <f t="shared" si="2"/>
        <v>Food, Drugs &amp; Cosmetics Act; Knowingly kill, sell, trade, exchange or offer to sell trade or exchange any diseased animal for human consumption</v>
      </c>
      <c r="D1356" s="49" t="str">
        <f t="shared" si="3"/>
        <v>65-657(o)</v>
      </c>
      <c r="E1356" s="11" t="s">
        <v>133</v>
      </c>
      <c r="F1356" s="11">
        <v>3.0</v>
      </c>
      <c r="G1356" s="11">
        <v>3.0</v>
      </c>
      <c r="H1356" s="11">
        <v>3.0</v>
      </c>
      <c r="I1356" s="11">
        <v>3.0</v>
      </c>
    </row>
    <row r="1357">
      <c r="A1357" s="10" t="s">
        <v>7754</v>
      </c>
      <c r="B1357" s="49" t="str">
        <f t="shared" si="1"/>
        <v>Food, Drugs &amp; Cosmetics Act</v>
      </c>
      <c r="C1357" s="49" t="str">
        <f t="shared" si="2"/>
        <v>Food, Drugs &amp; Cosmetics Act; Knowingly purchase or otherwise obtain possession of any diseased animal for the purpose and intent of disposing the same for food</v>
      </c>
      <c r="D1357" s="49" t="str">
        <f t="shared" si="3"/>
        <v>65-657(p)</v>
      </c>
      <c r="E1357" s="11" t="s">
        <v>133</v>
      </c>
      <c r="F1357" s="11">
        <v>3.0</v>
      </c>
      <c r="G1357" s="11">
        <v>3.0</v>
      </c>
      <c r="H1357" s="11">
        <v>3.0</v>
      </c>
      <c r="I1357" s="11">
        <v>3.0</v>
      </c>
    </row>
    <row r="1358">
      <c r="A1358" s="10" t="s">
        <v>7755</v>
      </c>
      <c r="B1358" s="49" t="str">
        <f t="shared" si="1"/>
        <v>Food, Drugs &amp; Cosmetics Act</v>
      </c>
      <c r="C1358" s="49" t="str">
        <f t="shared" si="2"/>
        <v>Food, Drugs &amp; Cosmetics Act; Make, sell, dispose of or cause such, or possess with intent to defraud, any item designed to print, imprint or reproduce a trade name or other identifying mark or imprint of another or any likeness of any of the foregoing upon any drug, device or container thereof</v>
      </c>
      <c r="D1358" s="49" t="str">
        <f t="shared" si="3"/>
        <v>65-657(m)(3)</v>
      </c>
      <c r="E1358" s="11" t="s">
        <v>133</v>
      </c>
      <c r="F1358" s="11">
        <v>3.0</v>
      </c>
      <c r="G1358" s="11">
        <v>3.0</v>
      </c>
      <c r="H1358" s="11">
        <v>3.0</v>
      </c>
      <c r="I1358" s="11">
        <v>3.0</v>
      </c>
    </row>
    <row r="1359">
      <c r="A1359" s="10" t="s">
        <v>7756</v>
      </c>
      <c r="B1359" s="49" t="str">
        <f t="shared" si="1"/>
        <v>Food, Drugs &amp; Cosmetics Act</v>
      </c>
      <c r="C1359" s="49" t="str">
        <f t="shared" si="2"/>
        <v>Food, Drugs &amp; Cosmetics Act; Manufacturer, packer or distributor of a prescription drug; fail to maintain for transmittal, or fail to transmit, copies of printed matter required to be included in drug packaging, or other federally approved printed matter, to any practitioner licensed to administer such drug, upon request</v>
      </c>
      <c r="D1359" s="49" t="str">
        <f t="shared" si="3"/>
        <v>65-657(l)</v>
      </c>
      <c r="E1359" s="11" t="s">
        <v>133</v>
      </c>
      <c r="F1359" s="11">
        <v>3.0</v>
      </c>
      <c r="G1359" s="11">
        <v>3.0</v>
      </c>
      <c r="H1359" s="11">
        <v>3.0</v>
      </c>
      <c r="I1359" s="11">
        <v>3.0</v>
      </c>
    </row>
    <row r="1360">
      <c r="A1360" s="10" t="s">
        <v>7757</v>
      </c>
      <c r="B1360" s="49" t="str">
        <f t="shared" si="1"/>
        <v>Food, Drugs &amp; Cosmetics Act</v>
      </c>
      <c r="C1360" s="49" t="str">
        <f t="shared" si="2"/>
        <v>Food, Drugs &amp; Cosmetics Act; Offer or expose for sale at retail, for human consumption, any slaughtered wild or domestic fowl, rabbit, squirrel or other small animal unless entrails, crops and other offensive parts are drawn and removed and carcass cooled until delivery to end consumer</v>
      </c>
      <c r="D1360" s="49" t="str">
        <f t="shared" si="3"/>
        <v>65-657(q)</v>
      </c>
      <c r="E1360" s="11" t="s">
        <v>133</v>
      </c>
      <c r="F1360" s="11">
        <v>3.0</v>
      </c>
      <c r="G1360" s="11">
        <v>3.0</v>
      </c>
      <c r="H1360" s="11">
        <v>3.0</v>
      </c>
      <c r="I1360" s="11">
        <v>3.0</v>
      </c>
    </row>
    <row r="1361">
      <c r="A1361" s="10" t="s">
        <v>7758</v>
      </c>
      <c r="B1361" s="49" t="str">
        <f t="shared" si="1"/>
        <v>Food, Drugs &amp; Cosmetics Act</v>
      </c>
      <c r="C1361" s="49" t="str">
        <f t="shared" si="2"/>
        <v>Food, Drugs &amp; Cosmetics Act; Place, or cause to be placed, upon any drug or device or container thereof, with intent to defraud, the trade name or other identifying mark, or imprint of another or any likeness of any of the foregoing</v>
      </c>
      <c r="D1361" s="49" t="str">
        <f t="shared" si="3"/>
        <v>65-657(m)(1)</v>
      </c>
      <c r="E1361" s="11" t="s">
        <v>133</v>
      </c>
      <c r="F1361" s="11">
        <v>3.0</v>
      </c>
      <c r="G1361" s="11">
        <v>3.0</v>
      </c>
      <c r="H1361" s="11">
        <v>3.0</v>
      </c>
      <c r="I1361" s="11">
        <v>3.0</v>
      </c>
    </row>
    <row r="1362">
      <c r="A1362" s="10" t="s">
        <v>7759</v>
      </c>
      <c r="B1362" s="49" t="str">
        <f t="shared" si="1"/>
        <v>Food, Drugs &amp; Cosmetics Act</v>
      </c>
      <c r="C1362" s="49" t="str">
        <f t="shared" si="2"/>
        <v>Food, Drugs &amp; Cosmetics Act; Receipt in commerce of any food, drug, device or cosmetic knowing it to be adulterated or misbranded, and the delivery or proffered delivery thereof for pay or otherwise</v>
      </c>
      <c r="D1362" s="49" t="str">
        <f t="shared" si="3"/>
        <v>65-657(c)</v>
      </c>
      <c r="E1362" s="11" t="s">
        <v>133</v>
      </c>
      <c r="F1362" s="11">
        <v>3.0</v>
      </c>
      <c r="G1362" s="11">
        <v>3.0</v>
      </c>
      <c r="H1362" s="11">
        <v>3.0</v>
      </c>
      <c r="I1362" s="11">
        <v>3.0</v>
      </c>
    </row>
    <row r="1363">
      <c r="A1363" s="10" t="s">
        <v>7760</v>
      </c>
      <c r="B1363" s="49" t="str">
        <f t="shared" si="1"/>
        <v>Food, Drugs &amp; Cosmetics Act</v>
      </c>
      <c r="C1363" s="49" t="str">
        <f t="shared" si="2"/>
        <v>Food, Drugs &amp; Cosmetics Act; Recklessly or intentionally violate the provisions of the food, drug and cosmetic act, or its rules and regulations</v>
      </c>
      <c r="D1363" s="49" t="str">
        <f t="shared" si="3"/>
        <v>65-682(d)</v>
      </c>
      <c r="E1363" s="11" t="s">
        <v>133</v>
      </c>
      <c r="F1363" s="11">
        <v>3.0</v>
      </c>
      <c r="G1363" s="11">
        <v>3.0</v>
      </c>
      <c r="H1363" s="11">
        <v>3.0</v>
      </c>
      <c r="I1363" s="11">
        <v>3.0</v>
      </c>
    </row>
    <row r="1364">
      <c r="A1364" s="10" t="s">
        <v>7761</v>
      </c>
      <c r="B1364" s="49" t="str">
        <f t="shared" si="1"/>
        <v>Food, Drugs &amp; Cosmetics Act</v>
      </c>
      <c r="C1364" s="49" t="str">
        <f t="shared" si="2"/>
        <v>Food, Drugs &amp; Cosmetics Act; Refuse to permit entry, inspection, or taking of a sample, as authorized by K.S.A. 65-674</v>
      </c>
      <c r="D1364" s="49" t="str">
        <f t="shared" si="3"/>
        <v>65-657(e)</v>
      </c>
      <c r="E1364" s="11" t="s">
        <v>133</v>
      </c>
      <c r="F1364" s="11">
        <v>3.0</v>
      </c>
      <c r="G1364" s="11">
        <v>3.0</v>
      </c>
      <c r="H1364" s="11">
        <v>3.0</v>
      </c>
      <c r="I1364" s="11">
        <v>3.0</v>
      </c>
    </row>
    <row r="1365">
      <c r="A1365" s="10" t="s">
        <v>7762</v>
      </c>
      <c r="B1365" s="49" t="str">
        <f t="shared" si="1"/>
        <v>Food, Drugs &amp; Cosmetics Act</v>
      </c>
      <c r="C1365" s="49" t="str">
        <f t="shared" si="2"/>
        <v>Food, Drugs &amp; Cosmetics Act; Remove or dispose of a detained or embargoed article in violation of K.S.A. 65-660 and amendments thereto</v>
      </c>
      <c r="D1365" s="49" t="str">
        <f t="shared" si="3"/>
        <v>65-657(g)</v>
      </c>
      <c r="E1365" s="11" t="s">
        <v>133</v>
      </c>
      <c r="F1365" s="11">
        <v>3.0</v>
      </c>
      <c r="G1365" s="11">
        <v>3.0</v>
      </c>
      <c r="H1365" s="11">
        <v>3.0</v>
      </c>
      <c r="I1365" s="11">
        <v>3.0</v>
      </c>
    </row>
    <row r="1366">
      <c r="A1366" s="10" t="s">
        <v>7763</v>
      </c>
      <c r="B1366" s="49" t="str">
        <f t="shared" si="1"/>
        <v>Food, Drugs &amp; Cosmetics Act</v>
      </c>
      <c r="C1366" s="49" t="str">
        <f t="shared" si="2"/>
        <v>Food, Drugs &amp; Cosmetics Act; Sell, dispense, dispose of or conceal or possess with intent to sell, any drug, device or any container thereof, knowing that the trade name or other identifying mark or imprint of another or any likeness of any of the foregoing has been placed thereon with intent 65-657(m)(1)</v>
      </c>
      <c r="D1366" s="49" t="str">
        <f t="shared" si="3"/>
        <v>65-657(m)(2)</v>
      </c>
      <c r="E1366" s="11" t="s">
        <v>133</v>
      </c>
      <c r="F1366" s="11">
        <v>3.0</v>
      </c>
      <c r="G1366" s="11">
        <v>3.0</v>
      </c>
      <c r="H1366" s="11">
        <v>3.0</v>
      </c>
      <c r="I1366" s="11">
        <v>3.0</v>
      </c>
    </row>
    <row r="1367">
      <c r="A1367" s="10" t="s">
        <v>7764</v>
      </c>
      <c r="B1367" s="49" t="str">
        <f t="shared" si="1"/>
        <v>Food, Drugs &amp; Cosmetics Act</v>
      </c>
      <c r="C1367" s="49" t="str">
        <f t="shared" si="2"/>
        <v>Food, Drugs &amp; Cosmetics Act; The processing, storage or distribution of any food, drug, device, or cosmetic that is adulterated or misbranded</v>
      </c>
      <c r="D1367" s="49" t="str">
        <f t="shared" si="3"/>
        <v>65-657(a)</v>
      </c>
      <c r="E1367" s="11" t="s">
        <v>133</v>
      </c>
      <c r="F1367" s="11">
        <v>3.0</v>
      </c>
      <c r="G1367" s="11">
        <v>3.0</v>
      </c>
      <c r="H1367" s="11">
        <v>3.0</v>
      </c>
      <c r="I1367" s="11">
        <v>3.0</v>
      </c>
    </row>
    <row r="1368">
      <c r="A1368" s="10" t="s">
        <v>7765</v>
      </c>
      <c r="B1368" s="49" t="str">
        <f t="shared" si="1"/>
        <v>Food, Drugs &amp; Cosmetics Act</v>
      </c>
      <c r="C1368" s="49" t="str">
        <f t="shared" si="2"/>
        <v>Food, Drugs &amp; Cosmetics Act; Using of any person to such person's own advantage, or revealing, any information acquired under authority of this act concerning a trade secret under the uniform trade secrets act, K.S.A. 60-3320 et seq. and amendments thereto, which is entitled to protection</v>
      </c>
      <c r="D1368" s="49" t="str">
        <f t="shared" si="3"/>
        <v>65-657(j)</v>
      </c>
      <c r="E1368" s="11" t="s">
        <v>133</v>
      </c>
      <c r="F1368" s="11">
        <v>3.0</v>
      </c>
      <c r="G1368" s="11">
        <v>3.0</v>
      </c>
      <c r="H1368" s="11">
        <v>3.0</v>
      </c>
      <c r="I1368" s="11">
        <v>3.0</v>
      </c>
    </row>
    <row r="1369">
      <c r="A1369" s="10" t="s">
        <v>7766</v>
      </c>
      <c r="B1369" s="49" t="str">
        <f t="shared" si="1"/>
        <v>Food, Drugs &amp; Cosmetics Act</v>
      </c>
      <c r="C1369" s="49" t="str">
        <f t="shared" si="2"/>
        <v>Food, Drugs &amp; Cosmetics Act; Using, on the labeling of any drug or in any advertisement relating to such drug, any representation or suggestion that an application with respect to such drug is effective under K.S.A. 65-669a, and amendments thereto, or that such drug complies with the provisions of such section</v>
      </c>
      <c r="D1369" s="49" t="str">
        <f t="shared" si="3"/>
        <v>65-657(k)</v>
      </c>
      <c r="E1369" s="11" t="s">
        <v>133</v>
      </c>
      <c r="F1369" s="11">
        <v>3.0</v>
      </c>
      <c r="G1369" s="11">
        <v>3.0</v>
      </c>
      <c r="H1369" s="11">
        <v>3.0</v>
      </c>
      <c r="I1369" s="11">
        <v>3.0</v>
      </c>
    </row>
    <row r="1370">
      <c r="A1370" s="10" t="s">
        <v>7767</v>
      </c>
      <c r="B1370" s="49" t="str">
        <f t="shared" si="1"/>
        <v>Food, Drugs &amp; Cosmetics Act</v>
      </c>
      <c r="C1370" s="49" t="str">
        <f t="shared" si="2"/>
        <v>Food, Drugs &amp; Cosmetics Act; Wholesale, retail food establishments, processing plants and peddlers; Failing to protect slaughtered fresh meats, fish, fowl or game for human consumption from dust, flies and other vermin or other substances that that may injuriously affect it</v>
      </c>
      <c r="D1370" s="49" t="str">
        <f t="shared" si="3"/>
        <v>65-657(r)</v>
      </c>
      <c r="E1370" s="11" t="s">
        <v>133</v>
      </c>
      <c r="F1370" s="11">
        <v>3.0</v>
      </c>
      <c r="G1370" s="11">
        <v>3.0</v>
      </c>
      <c r="H1370" s="11">
        <v>3.0</v>
      </c>
      <c r="I1370" s="11">
        <v>3.0</v>
      </c>
    </row>
    <row r="1371">
      <c r="A1371" s="10" t="s">
        <v>7768</v>
      </c>
      <c r="B1371" s="49" t="str">
        <f t="shared" si="1"/>
        <v>Food, Drugs &amp; Cosmetics</v>
      </c>
      <c r="C1371" s="49" t="str">
        <f t="shared" si="2"/>
        <v>Food, Drugs &amp; Cosmetics; Sell prescription medicine, prescription-only drug, drug which contains ephedrine alkaloids, drug intended for human use by hypodermic injection or poison via vending machine</v>
      </c>
      <c r="D1371" s="49" t="str">
        <f t="shared" si="3"/>
        <v>65-650(a)</v>
      </c>
      <c r="E1371" s="11" t="s">
        <v>133</v>
      </c>
      <c r="F1371" s="11">
        <v>3.0</v>
      </c>
      <c r="G1371" s="11">
        <v>3.0</v>
      </c>
      <c r="H1371" s="11">
        <v>3.0</v>
      </c>
      <c r="I1371" s="11">
        <v>3.0</v>
      </c>
    </row>
    <row r="1372">
      <c r="A1372" s="10" t="s">
        <v>7769</v>
      </c>
      <c r="B1372" s="49" t="str">
        <f t="shared" si="1"/>
        <v>Food, Drugs &amp; Cosmetics</v>
      </c>
      <c r="C1372" s="49" t="str">
        <f t="shared" si="2"/>
        <v>Food, Drugs &amp; Cosmetics; Violate requirements for sale of nonprescription drugs via vending machine</v>
      </c>
      <c r="D1372" s="49" t="str">
        <f t="shared" si="3"/>
        <v>65-650(b)</v>
      </c>
      <c r="E1372" s="11" t="s">
        <v>133</v>
      </c>
      <c r="F1372" s="11">
        <v>3.0</v>
      </c>
      <c r="G1372" s="11">
        <v>3.0</v>
      </c>
      <c r="H1372" s="11">
        <v>3.0</v>
      </c>
      <c r="I1372" s="11">
        <v>3.0</v>
      </c>
    </row>
    <row r="1373">
      <c r="A1373" s="10" t="s">
        <v>7770</v>
      </c>
      <c r="B1373" s="49" t="str">
        <f t="shared" si="1"/>
        <v>Forgery</v>
      </c>
      <c r="C1373" s="49" t="str">
        <f t="shared" si="2"/>
        <v>Forgery; With intent to defraud; Issuing or delivering a forged instrument knowing it is forged</v>
      </c>
      <c r="D1373" s="49" t="str">
        <f t="shared" si="3"/>
        <v>21-5823(a)(2)</v>
      </c>
      <c r="E1373" s="11" t="s">
        <v>133</v>
      </c>
      <c r="F1373" s="11">
        <v>3.0</v>
      </c>
      <c r="G1373" s="11">
        <v>3.0</v>
      </c>
      <c r="H1373" s="11">
        <v>3.0</v>
      </c>
      <c r="I1373" s="11">
        <v>3.0</v>
      </c>
    </row>
    <row r="1374">
      <c r="A1374" s="10" t="s">
        <v>7771</v>
      </c>
      <c r="B1374" s="49" t="str">
        <f t="shared" si="1"/>
        <v>Forgery</v>
      </c>
      <c r="C1374" s="49" t="str">
        <f t="shared" si="2"/>
        <v>Forgery; With intent to defraud; Possess, with intent to issue or deliver, any forged instrument knowing it is forged</v>
      </c>
      <c r="D1374" s="49" t="str">
        <f t="shared" si="3"/>
        <v>21-5823(a)(3)</v>
      </c>
      <c r="E1374" s="11" t="s">
        <v>133</v>
      </c>
      <c r="F1374" s="11">
        <v>3.0</v>
      </c>
      <c r="G1374" s="11">
        <v>3.0</v>
      </c>
      <c r="H1374" s="11">
        <v>3.0</v>
      </c>
      <c r="I1374" s="11">
        <v>3.0</v>
      </c>
    </row>
    <row r="1375">
      <c r="A1375" s="10" t="s">
        <v>7772</v>
      </c>
      <c r="B1375" s="49" t="str">
        <f t="shared" si="1"/>
        <v>Forgery</v>
      </c>
      <c r="C1375" s="49" t="str">
        <f t="shared" si="2"/>
        <v>Forgery; With intent to defraud; Without authorization; make, alter or endorse any written instrument so it appears to have been made, altered or endorsed by another; alter a written instrument so it appears to have been made at another time or with different provisions; make, alter or endorse any written instrument so it appears to have been made, altered or endorsed with authority</v>
      </c>
      <c r="D1375" s="49" t="str">
        <f t="shared" si="3"/>
        <v>21-5823(a)(1)</v>
      </c>
      <c r="E1375" s="11" t="s">
        <v>133</v>
      </c>
      <c r="F1375" s="11">
        <v>3.0</v>
      </c>
      <c r="G1375" s="11">
        <v>3.0</v>
      </c>
      <c r="H1375" s="11">
        <v>3.0</v>
      </c>
      <c r="I1375" s="11">
        <v>3.0</v>
      </c>
    </row>
    <row r="1376">
      <c r="A1376" s="10" t="s">
        <v>7773</v>
      </c>
      <c r="B1376" s="49" t="str">
        <f t="shared" si="1"/>
        <v>Franchise</v>
      </c>
      <c r="C1376" s="49" t="str">
        <f t="shared" si="2"/>
        <v>Franchise; Franchise required for construction, installation, operation or maintenance of a cable television service within the corporate limits of any city</v>
      </c>
      <c r="D1376" s="49" t="str">
        <f t="shared" si="3"/>
        <v>40878</v>
      </c>
      <c r="E1376" s="11" t="s">
        <v>133</v>
      </c>
      <c r="F1376" s="11">
        <v>3.0</v>
      </c>
      <c r="G1376" s="11">
        <v>3.0</v>
      </c>
      <c r="H1376" s="11">
        <v>3.0</v>
      </c>
      <c r="I1376" s="11">
        <v>3.0</v>
      </c>
    </row>
    <row r="1377">
      <c r="A1377" s="10" t="s">
        <v>7774</v>
      </c>
      <c r="B1377" s="49" t="str">
        <f t="shared" si="1"/>
        <v>Fraudulent Acts</v>
      </c>
      <c r="C1377" s="49" t="str">
        <f t="shared" si="2"/>
        <v>Fraudulent Acts; Aircraft Identification Numbers; Buy, distribute, receive, dispose of, conceal, operate or have in possession any aircraft or part thereof on which the assigned identification numbers do not meet the requirements of the federal aviation regulations</v>
      </c>
      <c r="D1377" s="49" t="str">
        <f t="shared" si="3"/>
        <v>21-5937(a)(1)</v>
      </c>
      <c r="E1377" s="11" t="s">
        <v>133</v>
      </c>
      <c r="F1377" s="11">
        <v>3.0</v>
      </c>
      <c r="G1377" s="11">
        <v>3.0</v>
      </c>
      <c r="H1377" s="11">
        <v>3.0</v>
      </c>
      <c r="I1377" s="11">
        <v>3.0</v>
      </c>
    </row>
    <row r="1378">
      <c r="A1378" s="10" t="s">
        <v>7775</v>
      </c>
      <c r="B1378" s="49" t="str">
        <f t="shared" si="1"/>
        <v>Fraudulent Acts</v>
      </c>
      <c r="C1378" s="49" t="str">
        <f t="shared" si="2"/>
        <v>Fraudulent Acts; Aircraft Identification Numbers; Possess, manufacture, distribute or exchange or give away any counterfeit manufacturer's aircraft identification number plate or decal used for the purpose of identification of any aircraft</v>
      </c>
      <c r="D1378" s="49" t="str">
        <f t="shared" si="3"/>
        <v>21-5937(a)(2)</v>
      </c>
      <c r="E1378" s="11" t="s">
        <v>133</v>
      </c>
      <c r="F1378" s="11">
        <v>3.0</v>
      </c>
      <c r="G1378" s="11">
        <v>3.0</v>
      </c>
      <c r="H1378" s="11">
        <v>3.0</v>
      </c>
      <c r="I1378" s="11">
        <v>3.0</v>
      </c>
    </row>
    <row r="1379">
      <c r="A1379" s="10" t="s">
        <v>7776</v>
      </c>
      <c r="B1379" s="49" t="str">
        <f t="shared" si="1"/>
        <v>Fraudulent Aircraft Registration</v>
      </c>
      <c r="C1379" s="49" t="str">
        <f t="shared" si="2"/>
        <v>Fraudulent Aircraft Registration; Knowingly supply false information in regard to ownership of an aircraft in or operated in this state if it is determined that the firm, business or corporation is not, or has never been, a legal entity in this state or any other state or has lapsed as an entity</v>
      </c>
      <c r="D1379" s="49" t="str">
        <f t="shared" si="3"/>
        <v>21-5936(a)(3)</v>
      </c>
      <c r="E1379" s="11" t="s">
        <v>133</v>
      </c>
      <c r="F1379" s="11">
        <v>3.0</v>
      </c>
      <c r="G1379" s="11">
        <v>3.0</v>
      </c>
      <c r="H1379" s="11">
        <v>3.0</v>
      </c>
      <c r="I1379" s="11">
        <v>3.0</v>
      </c>
    </row>
    <row r="1380">
      <c r="A1380" s="10" t="s">
        <v>7777</v>
      </c>
      <c r="B1380" s="49" t="str">
        <f t="shared" si="1"/>
        <v>Fraudulent Aircraft Registration</v>
      </c>
      <c r="C1380" s="49" t="str">
        <f t="shared" si="2"/>
        <v>Fraudulent Aircraft Registration; Knowingly supply false information in regard to the name, address, business name or business address of the owner of an aircraft in or operated in the state</v>
      </c>
      <c r="D1380" s="49" t="str">
        <f t="shared" si="3"/>
        <v>21-5936(a)(2)</v>
      </c>
      <c r="E1380" s="11" t="s">
        <v>133</v>
      </c>
      <c r="F1380" s="11">
        <v>3.0</v>
      </c>
      <c r="G1380" s="11">
        <v>3.0</v>
      </c>
      <c r="H1380" s="11">
        <v>3.0</v>
      </c>
      <c r="I1380" s="11">
        <v>3.0</v>
      </c>
    </row>
    <row r="1381">
      <c r="A1381" s="10" t="s">
        <v>7778</v>
      </c>
      <c r="B1381" s="49" t="str">
        <f t="shared" si="1"/>
        <v>Fraudulent Aircraft Registration</v>
      </c>
      <c r="C1381" s="49" t="str">
        <f t="shared" si="2"/>
        <v>Fraudulent Aircraft Registration; Own, possess or operate any aircraft knowing it is registered to a nonexistent person, firm, business or corporation or to a firm, business or corporation which is no longer a legal entity</v>
      </c>
      <c r="D1381" s="49" t="str">
        <f t="shared" si="3"/>
        <v>21-5936(a)(1)</v>
      </c>
      <c r="E1381" s="11" t="s">
        <v>133</v>
      </c>
      <c r="F1381" s="11">
        <v>3.0</v>
      </c>
      <c r="G1381" s="11">
        <v>3.0</v>
      </c>
      <c r="H1381" s="11">
        <v>3.0</v>
      </c>
      <c r="I1381" s="11">
        <v>3.0</v>
      </c>
    </row>
    <row r="1382">
      <c r="A1382" s="10" t="s">
        <v>7779</v>
      </c>
      <c r="B1382" s="49" t="str">
        <f t="shared" si="1"/>
        <v>Funeral &amp; Cemetery Merchandise Agreements</v>
      </c>
      <c r="C1382" s="49" t="str">
        <f t="shared" si="2"/>
        <v>Funeral &amp; Cemetery Merchandise Agreements; Misappropriation of funds &lt; $1000</v>
      </c>
      <c r="D1382" s="49" t="str">
        <f t="shared" si="3"/>
        <v>16-305(b)(3)</v>
      </c>
      <c r="E1382" s="11" t="s">
        <v>133</v>
      </c>
      <c r="F1382" s="11">
        <v>3.0</v>
      </c>
      <c r="G1382" s="11">
        <v>3.0</v>
      </c>
      <c r="H1382" s="11">
        <v>3.0</v>
      </c>
      <c r="I1382" s="11">
        <v>3.0</v>
      </c>
    </row>
    <row r="1383">
      <c r="A1383" s="10" t="s">
        <v>7780</v>
      </c>
      <c r="B1383" s="49" t="str">
        <f t="shared" si="1"/>
        <v>Funeral &amp; Cemetery Merchandise Agreements</v>
      </c>
      <c r="C1383" s="49" t="str">
        <f t="shared" si="2"/>
        <v>Funeral &amp; Cemetery Merchandise Agreements; Misappropriation of funds; amount $25,000 or more</v>
      </c>
      <c r="D1383" s="49" t="str">
        <f t="shared" si="3"/>
        <v>16-305(b)</v>
      </c>
      <c r="E1383" s="11" t="s">
        <v>133</v>
      </c>
      <c r="F1383" s="11">
        <v>3.0</v>
      </c>
      <c r="G1383" s="11">
        <v>3.0</v>
      </c>
      <c r="H1383" s="11">
        <v>3.0</v>
      </c>
      <c r="I1383" s="11">
        <v>3.0</v>
      </c>
    </row>
    <row r="1384">
      <c r="A1384" s="10" t="s">
        <v>7781</v>
      </c>
      <c r="B1384" s="49" t="str">
        <f t="shared" si="1"/>
        <v>Funeral &amp; Cemetery Merchandise Agreements</v>
      </c>
      <c r="C1384" s="49" t="str">
        <f t="shared" si="2"/>
        <v>Funeral &amp; Cemetery Merchandise Agreements; Misappropriation of funds; amount at least $1000 but less than $25,000</v>
      </c>
      <c r="D1384" s="49" t="str">
        <f t="shared" si="3"/>
        <v>16-305(b)</v>
      </c>
      <c r="E1384" s="11" t="s">
        <v>133</v>
      </c>
      <c r="F1384" s="11">
        <v>3.0</v>
      </c>
      <c r="G1384" s="11">
        <v>3.0</v>
      </c>
      <c r="H1384" s="11">
        <v>3.0</v>
      </c>
      <c r="I1384" s="11">
        <v>3.0</v>
      </c>
    </row>
    <row r="1385">
      <c r="A1385" s="10" t="s">
        <v>7782</v>
      </c>
      <c r="B1385" s="49" t="str">
        <f t="shared" si="1"/>
        <v>Funeral &amp; Cemetery Merchandise Agreements</v>
      </c>
      <c r="C1385" s="49" t="str">
        <f t="shared" si="2"/>
        <v>Funeral &amp; Cemetery Merchandise Agreements; Violation other than misappropriation</v>
      </c>
      <c r="D1385" s="49" t="str">
        <f t="shared" si="3"/>
        <v>16-305(a)</v>
      </c>
      <c r="E1385" s="11" t="s">
        <v>133</v>
      </c>
      <c r="F1385" s="11">
        <v>3.0</v>
      </c>
      <c r="G1385" s="11">
        <v>3.0</v>
      </c>
      <c r="H1385" s="11">
        <v>3.0</v>
      </c>
      <c r="I1385" s="11">
        <v>3.0</v>
      </c>
    </row>
    <row r="1386">
      <c r="A1386" s="10" t="s">
        <v>7783</v>
      </c>
      <c r="B1386" s="49" t="str">
        <f t="shared" si="1"/>
        <v>Furnishing Alcoholic Beverages to Minor</v>
      </c>
      <c r="C1386" s="49" t="str">
        <f t="shared" si="2"/>
        <v>Furnishing Alcoholic Beverages to Minor; For illicit purposes; child less than 18</v>
      </c>
      <c r="D1386" s="49" t="str">
        <f t="shared" si="3"/>
        <v>21-5607(b)</v>
      </c>
      <c r="E1386" s="11" t="s">
        <v>133</v>
      </c>
      <c r="F1386" s="11">
        <v>3.0</v>
      </c>
      <c r="G1386" s="11">
        <v>3.0</v>
      </c>
      <c r="H1386" s="11">
        <v>3.0</v>
      </c>
      <c r="I1386" s="11">
        <v>3.0</v>
      </c>
    </row>
    <row r="1387">
      <c r="A1387" s="10" t="s">
        <v>7784</v>
      </c>
      <c r="B1387" s="49" t="str">
        <f t="shared" si="1"/>
        <v>Furnishing Alcoholic Liquor or Cereal Malt Beverage to a Minor</v>
      </c>
      <c r="C1387" s="49" t="str">
        <f t="shared" si="2"/>
        <v>Furnishing Alcoholic Liquor or Cereal Malt Beverage to a Minor; Recklessly buy for or distribute to minor</v>
      </c>
      <c r="D1387" s="49" t="str">
        <f t="shared" si="3"/>
        <v>21-5607(a)</v>
      </c>
      <c r="E1387" s="11" t="s">
        <v>133</v>
      </c>
      <c r="F1387" s="11">
        <v>3.0</v>
      </c>
      <c r="G1387" s="11">
        <v>3.0</v>
      </c>
      <c r="H1387" s="11">
        <v>3.0</v>
      </c>
      <c r="I1387" s="11">
        <v>3.0</v>
      </c>
    </row>
    <row r="1388">
      <c r="A1388" s="10" t="s">
        <v>7785</v>
      </c>
      <c r="B1388" s="49" t="str">
        <f t="shared" si="1"/>
        <v>Furthering Terrorism/Illegal Use of Weapons of Mass Destruction</v>
      </c>
      <c r="C1388" s="49" t="str">
        <f t="shared" si="2"/>
        <v>Furthering Terrorism/Illegal Use of Weapons of Mass Destruction; Conduct financial transaction involving property to commit or further the commission of terrorism or illegal use of weapons of mass destruction when the transaction is disguised to conceal</v>
      </c>
      <c r="D1388" s="49" t="str">
        <f t="shared" si="3"/>
        <v>21-5423(d)</v>
      </c>
      <c r="E1388" s="11" t="s">
        <v>133</v>
      </c>
      <c r="F1388" s="11">
        <v>3.0</v>
      </c>
      <c r="G1388" s="11">
        <v>3.0</v>
      </c>
      <c r="H1388" s="11">
        <v>3.0</v>
      </c>
      <c r="I1388" s="11">
        <v>3.0</v>
      </c>
    </row>
    <row r="1389">
      <c r="A1389" s="10" t="s">
        <v>7786</v>
      </c>
      <c r="B1389" s="49" t="str">
        <f t="shared" si="1"/>
        <v>Furthering Terrorism/Illegal Use of Weapons of Mass Destruction</v>
      </c>
      <c r="C1389" s="49" t="str">
        <f t="shared" si="2"/>
        <v>Furthering Terrorism/Illegal Use of Weapons of Mass Destruction; Intentionally direct/plan/organize/initiate/finance/manage/supervise or facilitate transportation or distribution of property used to commit or further the commission of terrorism or illegal use of weapons of mass destruction</v>
      </c>
      <c r="D1389" s="49" t="str">
        <f t="shared" si="3"/>
        <v>21-5423(c)</v>
      </c>
      <c r="E1389" s="11" t="s">
        <v>133</v>
      </c>
      <c r="F1389" s="11">
        <v>3.0</v>
      </c>
      <c r="G1389" s="11">
        <v>3.0</v>
      </c>
      <c r="H1389" s="11">
        <v>3.0</v>
      </c>
      <c r="I1389" s="11">
        <v>3.0</v>
      </c>
    </row>
    <row r="1390">
      <c r="A1390" s="10" t="s">
        <v>7787</v>
      </c>
      <c r="B1390" s="49" t="str">
        <f t="shared" si="1"/>
        <v>Furthering Terrorism/Illegal Use of Weapons of Mass Destruction</v>
      </c>
      <c r="C1390" s="49" t="str">
        <f t="shared" si="2"/>
        <v>Furthering Terrorism/Illegal Use of Weapons of Mass Destruction; Intentionally invest/conceal/distribute/transport or maintain an interest in or otherwise make available property intended to be used to commit or further the commission of terrorism or illegal use of weapons of mass destruction</v>
      </c>
      <c r="D1390" s="49" t="str">
        <f t="shared" si="3"/>
        <v>21-5423(b)</v>
      </c>
      <c r="E1390" s="11" t="s">
        <v>133</v>
      </c>
      <c r="F1390" s="11">
        <v>3.0</v>
      </c>
      <c r="G1390" s="11">
        <v>3.0</v>
      </c>
      <c r="H1390" s="11">
        <v>3.0</v>
      </c>
      <c r="I1390" s="11">
        <v>3.0</v>
      </c>
    </row>
    <row r="1391">
      <c r="A1391" s="10" t="s">
        <v>7788</v>
      </c>
      <c r="B1391" s="49" t="str">
        <f t="shared" si="1"/>
        <v>Furthering Terrorism/Illegal Use of Weapons of Mass Destruction</v>
      </c>
      <c r="C1391" s="49" t="str">
        <f t="shared" si="2"/>
        <v>Furthering Terrorism/Illegal Use of Weapons of Mass Destruction; Raise, solicit, collect or provide material support for planning, preparing, carrying out terrorism or illegal use of weapons of mass destruction or hindering prosecution or concealment or escape thereof</v>
      </c>
      <c r="D1391" s="49" t="str">
        <f t="shared" si="3"/>
        <v>21-5423(e)</v>
      </c>
      <c r="E1391" s="11" t="s">
        <v>133</v>
      </c>
      <c r="F1391" s="11">
        <v>3.0</v>
      </c>
      <c r="G1391" s="11">
        <v>3.0</v>
      </c>
      <c r="H1391" s="11">
        <v>3.0</v>
      </c>
      <c r="I1391" s="11">
        <v>3.0</v>
      </c>
    </row>
    <row r="1392">
      <c r="A1392" s="10" t="s">
        <v>7789</v>
      </c>
      <c r="B1392" s="49" t="str">
        <f t="shared" si="1"/>
        <v>Furthering Terrorism/Illegal Use of Weapons of Mass Destruction</v>
      </c>
      <c r="C1392" s="49" t="str">
        <f t="shared" si="2"/>
        <v>Furthering Terrorism/Illegal Use of Weapons of Mass Destruction; Receiving or acquiring property/engaging in transactions to commit or further the commission of terrorism or illegal use of weapons of mass destruction</v>
      </c>
      <c r="D1392" s="49" t="str">
        <f t="shared" si="3"/>
        <v>21-5423(a)</v>
      </c>
      <c r="E1392" s="11" t="s">
        <v>133</v>
      </c>
      <c r="F1392" s="11">
        <v>3.0</v>
      </c>
      <c r="G1392" s="11">
        <v>3.0</v>
      </c>
      <c r="H1392" s="11">
        <v>3.0</v>
      </c>
      <c r="I1392" s="11">
        <v>3.0</v>
      </c>
    </row>
    <row r="1393">
      <c r="A1393" s="10" t="s">
        <v>7790</v>
      </c>
      <c r="B1393" s="49" t="str">
        <f t="shared" si="1"/>
        <v>Gambling</v>
      </c>
      <c r="C1393" s="49" t="str">
        <f t="shared" si="2"/>
        <v>Gambling; Entering or remaining in a gambling place with intent to make a bet, to participate in a lottery, or to play a gambling device</v>
      </c>
      <c r="D1393" s="49" t="str">
        <f t="shared" si="3"/>
        <v>21-6404(a)(2)</v>
      </c>
      <c r="E1393" s="11" t="s">
        <v>133</v>
      </c>
      <c r="F1393" s="11">
        <v>3.0</v>
      </c>
      <c r="G1393" s="11">
        <v>3.0</v>
      </c>
      <c r="H1393" s="11">
        <v>3.0</v>
      </c>
      <c r="I1393" s="11">
        <v>3.0</v>
      </c>
    </row>
    <row r="1394">
      <c r="A1394" s="10" t="s">
        <v>7791</v>
      </c>
      <c r="B1394" s="49" t="str">
        <f t="shared" si="1"/>
        <v>Gambling</v>
      </c>
      <c r="C1394" s="49" t="str">
        <f t="shared" si="2"/>
        <v>Gambling; Making a bet</v>
      </c>
      <c r="D1394" s="49" t="str">
        <f t="shared" si="3"/>
        <v>21-6404(a)(1)</v>
      </c>
      <c r="E1394" s="11" t="s">
        <v>133</v>
      </c>
      <c r="F1394" s="11">
        <v>3.0</v>
      </c>
      <c r="G1394" s="11">
        <v>3.0</v>
      </c>
      <c r="H1394" s="11">
        <v>3.0</v>
      </c>
      <c r="I1394" s="11">
        <v>3.0</v>
      </c>
    </row>
    <row r="1395">
      <c r="A1395" s="10" t="s">
        <v>7792</v>
      </c>
      <c r="B1395" s="49" t="str">
        <f t="shared" si="1"/>
        <v>Giving a Worthless Check</v>
      </c>
      <c r="C1395" s="49" t="str">
        <f t="shared" si="2"/>
        <v>Giving a Worthless Check; $25,000 or more</v>
      </c>
      <c r="D1395" s="49" t="str">
        <f t="shared" si="3"/>
        <v>21-5821(a)</v>
      </c>
      <c r="E1395" s="11" t="s">
        <v>133</v>
      </c>
      <c r="F1395" s="11">
        <v>3.0</v>
      </c>
      <c r="G1395" s="11">
        <v>3.0</v>
      </c>
      <c r="H1395" s="11">
        <v>3.0</v>
      </c>
      <c r="I1395" s="11">
        <v>3.0</v>
      </c>
    </row>
    <row r="1396">
      <c r="A1396" s="10" t="s">
        <v>7793</v>
      </c>
      <c r="B1396" s="49" t="str">
        <f t="shared" si="1"/>
        <v>Giving a Worthless Check</v>
      </c>
      <c r="C1396" s="49" t="str">
        <f t="shared" si="2"/>
        <v>Giving a Worthless Check; At least $1,000 but less than $25,000</v>
      </c>
      <c r="D1396" s="49" t="str">
        <f t="shared" si="3"/>
        <v>21-5821(a)</v>
      </c>
      <c r="E1396" s="11" t="s">
        <v>133</v>
      </c>
      <c r="F1396" s="11">
        <v>3.0</v>
      </c>
      <c r="G1396" s="11">
        <v>3.0</v>
      </c>
      <c r="H1396" s="11">
        <v>3.0</v>
      </c>
      <c r="I1396" s="11">
        <v>3.0</v>
      </c>
    </row>
    <row r="1397">
      <c r="A1397" s="10" t="s">
        <v>7794</v>
      </c>
      <c r="B1397" s="49" t="str">
        <f t="shared" si="1"/>
        <v>Giving a Worthless Check</v>
      </c>
      <c r="C1397" s="49" t="str">
        <f t="shared" si="2"/>
        <v>Giving a Worthless Check; Check drawn less than $1,000</v>
      </c>
      <c r="D1397" s="49" t="str">
        <f t="shared" si="3"/>
        <v>21-5821(a)</v>
      </c>
      <c r="E1397" s="11" t="s">
        <v>133</v>
      </c>
      <c r="F1397" s="11">
        <v>3.0</v>
      </c>
      <c r="G1397" s="11">
        <v>3.0</v>
      </c>
      <c r="H1397" s="11">
        <v>3.0</v>
      </c>
      <c r="I1397" s="11">
        <v>3.0</v>
      </c>
    </row>
    <row r="1398">
      <c r="A1398" s="10" t="s">
        <v>7795</v>
      </c>
      <c r="B1398" s="49" t="str">
        <f t="shared" si="1"/>
        <v>Giving a Worthless Check</v>
      </c>
      <c r="C1398" s="49" t="str">
        <f t="shared" si="2"/>
        <v>Giving a Worthless Check; Less than $1,000 if person has been convicted of giving a worthless check 2 or more times within 5 yrs</v>
      </c>
      <c r="D1398" s="49" t="str">
        <f t="shared" si="3"/>
        <v>21-5821(a)</v>
      </c>
      <c r="E1398" s="11" t="s">
        <v>133</v>
      </c>
      <c r="F1398" s="11">
        <v>3.0</v>
      </c>
      <c r="G1398" s="11">
        <v>3.0</v>
      </c>
      <c r="H1398" s="11">
        <v>3.0</v>
      </c>
      <c r="I1398" s="11">
        <v>3.0</v>
      </c>
    </row>
    <row r="1399">
      <c r="A1399" s="10" t="s">
        <v>7796</v>
      </c>
      <c r="B1399" s="49" t="str">
        <f t="shared" si="1"/>
        <v>Giving a Worthless Check</v>
      </c>
      <c r="C1399" s="49" t="str">
        <f t="shared" si="2"/>
        <v>Giving a Worthless Check; More than once within a 7 day period if the combined total is $25,000 or more</v>
      </c>
      <c r="D1399" s="49" t="str">
        <f t="shared" si="3"/>
        <v>21-5821(a)</v>
      </c>
      <c r="E1399" s="11" t="s">
        <v>133</v>
      </c>
      <c r="F1399" s="11">
        <v>3.0</v>
      </c>
      <c r="G1399" s="11">
        <v>3.0</v>
      </c>
      <c r="H1399" s="11">
        <v>3.0</v>
      </c>
      <c r="I1399" s="11">
        <v>3.0</v>
      </c>
    </row>
    <row r="1400">
      <c r="A1400" s="10" t="s">
        <v>7797</v>
      </c>
      <c r="B1400" s="49" t="str">
        <f t="shared" si="1"/>
        <v>Giving a Worthless Check</v>
      </c>
      <c r="C1400" s="49" t="str">
        <f t="shared" si="2"/>
        <v>Giving a Worthless Check; More than once within a 7 day period if the combined total is at least $1,000 but less than $25,000</v>
      </c>
      <c r="D1400" s="49" t="str">
        <f t="shared" si="3"/>
        <v>21-5821(a)</v>
      </c>
      <c r="E1400" s="11" t="s">
        <v>133</v>
      </c>
      <c r="F1400" s="11">
        <v>3.0</v>
      </c>
      <c r="G1400" s="11">
        <v>3.0</v>
      </c>
      <c r="H1400" s="11">
        <v>3.0</v>
      </c>
      <c r="I1400" s="11">
        <v>3.0</v>
      </c>
    </row>
    <row r="1401">
      <c r="A1401" s="10" t="s">
        <v>7798</v>
      </c>
      <c r="B1401" s="49" t="str">
        <f t="shared" si="1"/>
        <v>Grain &amp; Forage</v>
      </c>
      <c r="C1401" s="49" t="str">
        <f t="shared" si="2"/>
        <v>Grain &amp; Forage; Negotiation of receipt for encumbered grain with intent to defraud</v>
      </c>
      <c r="D1401" s="49" t="str">
        <f t="shared" si="3"/>
        <v>34-295</v>
      </c>
      <c r="E1401" s="11" t="s">
        <v>133</v>
      </c>
      <c r="F1401" s="11">
        <v>3.0</v>
      </c>
      <c r="G1401" s="11">
        <v>3.0</v>
      </c>
      <c r="H1401" s="11">
        <v>3.0</v>
      </c>
      <c r="I1401" s="11">
        <v>3.0</v>
      </c>
    </row>
    <row r="1402">
      <c r="A1402" s="10" t="s">
        <v>7799</v>
      </c>
      <c r="B1402" s="49" t="str">
        <f t="shared" si="1"/>
        <v>Grain &amp; Forage</v>
      </c>
      <c r="C1402" s="49" t="str">
        <f t="shared" si="2"/>
        <v>Grain &amp; Forage; Penalty for failure to obtain license required herein</v>
      </c>
      <c r="D1402" s="49" t="str">
        <f t="shared" si="3"/>
        <v>34-231(a)</v>
      </c>
      <c r="E1402" s="11" t="s">
        <v>133</v>
      </c>
      <c r="F1402" s="11">
        <v>3.0</v>
      </c>
      <c r="G1402" s="11">
        <v>3.0</v>
      </c>
      <c r="H1402" s="11">
        <v>3.0</v>
      </c>
      <c r="I1402" s="11">
        <v>3.0</v>
      </c>
    </row>
    <row r="1403">
      <c r="A1403" s="10" t="s">
        <v>7800</v>
      </c>
      <c r="B1403" s="49" t="str">
        <f t="shared" si="1"/>
        <v>Grain &amp; Forage</v>
      </c>
      <c r="C1403" s="49" t="str">
        <f t="shared" si="2"/>
        <v>Grain &amp; Forage; Penalty for failure to post certificate of bond or letter of credit information</v>
      </c>
      <c r="D1403" s="49" t="str">
        <f t="shared" si="3"/>
        <v>34-229(i)</v>
      </c>
      <c r="E1403" s="11" t="s">
        <v>133</v>
      </c>
      <c r="F1403" s="11">
        <v>3.0</v>
      </c>
      <c r="G1403" s="11">
        <v>3.0</v>
      </c>
      <c r="H1403" s="11">
        <v>3.0</v>
      </c>
      <c r="I1403" s="11">
        <v>3.0</v>
      </c>
    </row>
    <row r="1404">
      <c r="A1404" s="10" t="s">
        <v>7801</v>
      </c>
      <c r="B1404" s="49" t="str">
        <f t="shared" si="1"/>
        <v>Grain &amp; Forage</v>
      </c>
      <c r="C1404" s="49" t="str">
        <f t="shared" si="2"/>
        <v>Grain &amp; Forage; Penalty for refusal to comply with provisions</v>
      </c>
      <c r="D1404" s="49" t="str">
        <f t="shared" si="3"/>
        <v>34-234(c)</v>
      </c>
      <c r="E1404" s="11" t="s">
        <v>133</v>
      </c>
      <c r="F1404" s="11">
        <v>3.0</v>
      </c>
      <c r="G1404" s="11">
        <v>3.0</v>
      </c>
      <c r="H1404" s="11">
        <v>3.0</v>
      </c>
      <c r="I1404" s="11">
        <v>3.0</v>
      </c>
    </row>
    <row r="1405">
      <c r="A1405" s="10" t="s">
        <v>7802</v>
      </c>
      <c r="B1405" s="49" t="str">
        <f t="shared" si="1"/>
        <v>Grain &amp; Forage</v>
      </c>
      <c r="C1405" s="49" t="str">
        <f t="shared" si="2"/>
        <v>Grain &amp; Forage; Penalty for violation of act</v>
      </c>
      <c r="D1405" s="49" t="str">
        <f t="shared" si="3"/>
        <v>34-298</v>
      </c>
      <c r="E1405" s="11" t="s">
        <v>133</v>
      </c>
      <c r="F1405" s="11">
        <v>3.0</v>
      </c>
      <c r="G1405" s="11">
        <v>3.0</v>
      </c>
      <c r="H1405" s="11">
        <v>3.0</v>
      </c>
      <c r="I1405" s="11">
        <v>3.0</v>
      </c>
    </row>
    <row r="1406">
      <c r="A1406" s="10" t="s">
        <v>7803</v>
      </c>
      <c r="B1406" s="49" t="str">
        <f t="shared" si="1"/>
        <v>Grain &amp; Forage</v>
      </c>
      <c r="C1406" s="49" t="str">
        <f t="shared" si="2"/>
        <v>Grain &amp; Forage; Public Warehouses; penalty for violation of any provision of this section</v>
      </c>
      <c r="D1406" s="49" t="str">
        <f t="shared" si="3"/>
        <v>34-102</v>
      </c>
      <c r="E1406" s="11" t="s">
        <v>133</v>
      </c>
      <c r="F1406" s="11">
        <v>3.0</v>
      </c>
      <c r="G1406" s="11">
        <v>3.0</v>
      </c>
      <c r="H1406" s="11">
        <v>3.0</v>
      </c>
      <c r="I1406" s="11">
        <v>3.0</v>
      </c>
    </row>
    <row r="1407">
      <c r="A1407" s="10" t="s">
        <v>7804</v>
      </c>
      <c r="B1407" s="49" t="str">
        <f t="shared" si="1"/>
        <v>Grain &amp; Forage</v>
      </c>
      <c r="C1407" s="49" t="str">
        <f t="shared" si="2"/>
        <v>Grain &amp; Forage; Unauthorized disclosure of certain confidential information</v>
      </c>
      <c r="D1407" s="49" t="str">
        <f t="shared" si="3"/>
        <v>34-251(c)</v>
      </c>
      <c r="E1407" s="11" t="s">
        <v>133</v>
      </c>
      <c r="F1407" s="11">
        <v>3.0</v>
      </c>
      <c r="G1407" s="11">
        <v>3.0</v>
      </c>
      <c r="H1407" s="11">
        <v>3.0</v>
      </c>
      <c r="I1407" s="11">
        <v>3.0</v>
      </c>
    </row>
    <row r="1408">
      <c r="A1408" s="10" t="s">
        <v>7805</v>
      </c>
      <c r="B1408" s="49" t="str">
        <f t="shared" si="1"/>
        <v>Grain &amp; Forage</v>
      </c>
      <c r="C1408" s="49" t="str">
        <f t="shared" si="2"/>
        <v>Grain &amp; Forage; Unlawful issuance of receipt for warehouse grain</v>
      </c>
      <c r="D1408" s="49" t="str">
        <f t="shared" si="3"/>
        <v>34-293</v>
      </c>
      <c r="E1408" s="11" t="s">
        <v>133</v>
      </c>
      <c r="F1408" s="11">
        <v>3.0</v>
      </c>
      <c r="G1408" s="11">
        <v>3.0</v>
      </c>
      <c r="H1408" s="11">
        <v>3.0</v>
      </c>
      <c r="I1408" s="11">
        <v>3.0</v>
      </c>
    </row>
    <row r="1409">
      <c r="A1409" s="10" t="s">
        <v>7806</v>
      </c>
      <c r="B1409" s="49" t="str">
        <f t="shared" si="1"/>
        <v>Grain Commodity Commissions</v>
      </c>
      <c r="C1409" s="49" t="str">
        <f t="shared" si="2"/>
        <v>Grain Commodity Commissions; Penalty for violation of act</v>
      </c>
      <c r="D1409" s="49" t="str">
        <f t="shared" si="3"/>
        <v>405452</v>
      </c>
      <c r="E1409" s="11" t="s">
        <v>133</v>
      </c>
      <c r="F1409" s="11">
        <v>3.0</v>
      </c>
      <c r="G1409" s="11">
        <v>3.0</v>
      </c>
      <c r="H1409" s="11">
        <v>3.0</v>
      </c>
      <c r="I1409" s="11">
        <v>3.0</v>
      </c>
    </row>
    <row r="1410">
      <c r="A1410" s="10" t="s">
        <v>7807</v>
      </c>
      <c r="B1410" s="49" t="str">
        <f t="shared" si="1"/>
        <v>Guardians or Conservators</v>
      </c>
      <c r="C1410" s="49" t="str">
        <f t="shared" si="2"/>
        <v>Guardians or Conservators; Willful violation of confidentiality of medical records and other reports</v>
      </c>
      <c r="D1410" s="49" t="str">
        <f t="shared" si="3"/>
        <v>59-3093(a)</v>
      </c>
      <c r="E1410" s="11" t="s">
        <v>133</v>
      </c>
      <c r="F1410" s="11">
        <v>3.0</v>
      </c>
      <c r="G1410" s="11">
        <v>3.0</v>
      </c>
      <c r="H1410" s="11">
        <v>3.0</v>
      </c>
      <c r="I1410" s="11">
        <v>3.0</v>
      </c>
    </row>
    <row r="1411">
      <c r="A1411" s="10" t="s">
        <v>7808</v>
      </c>
      <c r="B1411" s="49" t="str">
        <f t="shared" si="1"/>
        <v>Harassment by Telefacsimile Communication</v>
      </c>
      <c r="C1411" s="49" t="str">
        <f t="shared" si="2"/>
        <v>Harassment by Telefacsimile Communication</v>
      </c>
      <c r="D1411" s="49" t="str">
        <f t="shared" si="3"/>
        <v>21-6206(a)(2)</v>
      </c>
      <c r="E1411" s="11" t="s">
        <v>133</v>
      </c>
      <c r="F1411" s="11">
        <v>3.0</v>
      </c>
      <c r="G1411" s="11">
        <v>3.0</v>
      </c>
      <c r="H1411" s="11">
        <v>3.0</v>
      </c>
      <c r="I1411" s="11">
        <v>3.0</v>
      </c>
    </row>
    <row r="1412">
      <c r="A1412" s="10" t="s">
        <v>7809</v>
      </c>
      <c r="B1412" s="49" t="str">
        <f t="shared" si="1"/>
        <v>Harassment by Telephone</v>
      </c>
      <c r="C1412" s="49" t="str">
        <f t="shared" si="2"/>
        <v>Harassment by Telephone; Knowingly make or transmit any comment, request, suggestion or proposal, image or text which is obscene, lewd, lascivious or indecent</v>
      </c>
      <c r="D1412" s="49" t="str">
        <f t="shared" si="3"/>
        <v>21-6206(a)(1)(A)</v>
      </c>
      <c r="E1412" s="11" t="s">
        <v>133</v>
      </c>
      <c r="F1412" s="11">
        <v>3.0</v>
      </c>
      <c r="G1412" s="11">
        <v>3.0</v>
      </c>
      <c r="H1412" s="11">
        <v>3.0</v>
      </c>
      <c r="I1412" s="11">
        <v>3.0</v>
      </c>
    </row>
    <row r="1413">
      <c r="A1413" s="10" t="s">
        <v>7810</v>
      </c>
      <c r="B1413" s="49" t="str">
        <f t="shared" si="1"/>
        <v>Harassment by Telephone</v>
      </c>
      <c r="C1413" s="49" t="str">
        <f t="shared" si="2"/>
        <v>Harassment by Telephone; Knowingly permit any telecommunications device under one's control to be used for harassment</v>
      </c>
      <c r="D1413" s="49" t="str">
        <f t="shared" si="3"/>
        <v>21-6206(a)(1)(F)</v>
      </c>
      <c r="E1413" s="11" t="s">
        <v>133</v>
      </c>
      <c r="F1413" s="11">
        <v>3.0</v>
      </c>
      <c r="G1413" s="11">
        <v>3.0</v>
      </c>
      <c r="H1413" s="11">
        <v>3.0</v>
      </c>
      <c r="I1413" s="11">
        <v>3.0</v>
      </c>
    </row>
    <row r="1414">
      <c r="A1414" s="10" t="s">
        <v>7811</v>
      </c>
      <c r="B1414" s="49" t="str">
        <f t="shared" si="1"/>
        <v>Harassment by Telephone</v>
      </c>
      <c r="C1414" s="49" t="str">
        <f t="shared" si="2"/>
        <v>Harassment by Telephone; Knowingly playing any unauthorized recording on a telephone</v>
      </c>
      <c r="D1414" s="49" t="str">
        <f t="shared" si="3"/>
        <v>21-6206(a)(1)(E)</v>
      </c>
      <c r="E1414" s="11" t="s">
        <v>133</v>
      </c>
      <c r="F1414" s="11">
        <v>3.0</v>
      </c>
      <c r="G1414" s="11">
        <v>3.0</v>
      </c>
      <c r="H1414" s="11">
        <v>3.0</v>
      </c>
      <c r="I1414" s="11">
        <v>3.0</v>
      </c>
    </row>
    <row r="1415">
      <c r="A1415" s="10" t="s">
        <v>7812</v>
      </c>
      <c r="B1415" s="49" t="str">
        <f t="shared" si="1"/>
        <v>Harassment by Telephone</v>
      </c>
      <c r="C1415" s="49" t="str">
        <f t="shared" si="2"/>
        <v>Harassment by Telephone; Make or cause a telecommunications device to repeatedly ring or activate with intent to harass any person at the receiving end</v>
      </c>
      <c r="D1415" s="49" t="str">
        <f t="shared" si="3"/>
        <v>21-6206(a)(1)(D)</v>
      </c>
      <c r="E1415" s="11" t="s">
        <v>133</v>
      </c>
      <c r="F1415" s="11">
        <v>3.0</v>
      </c>
      <c r="G1415" s="11">
        <v>3.0</v>
      </c>
      <c r="H1415" s="11">
        <v>3.0</v>
      </c>
      <c r="I1415" s="11">
        <v>3.0</v>
      </c>
    </row>
    <row r="1416">
      <c r="A1416" s="10" t="s">
        <v>7813</v>
      </c>
      <c r="B1416" s="49" t="str">
        <f t="shared" si="1"/>
        <v>Harassment by Telephone</v>
      </c>
      <c r="C1416" s="49" t="str">
        <f t="shared" si="2"/>
        <v>Harassment by Telephone; Make or transmit a call, whether or not conversation ensues, with intent to abuse, threaten or harass any person at the receiving end</v>
      </c>
      <c r="D1416" s="49" t="str">
        <f t="shared" si="3"/>
        <v>21-6206(a)(1)(B)</v>
      </c>
      <c r="E1416" s="11" t="s">
        <v>133</v>
      </c>
      <c r="F1416" s="11">
        <v>3.0</v>
      </c>
      <c r="G1416" s="11">
        <v>3.0</v>
      </c>
      <c r="H1416" s="11">
        <v>3.0</v>
      </c>
      <c r="I1416" s="11">
        <v>3.0</v>
      </c>
    </row>
    <row r="1417">
      <c r="A1417" s="10" t="s">
        <v>7814</v>
      </c>
      <c r="B1417" s="49" t="str">
        <f t="shared" si="1"/>
        <v>Harassment by Telephone</v>
      </c>
      <c r="C1417" s="49" t="str">
        <f t="shared" si="2"/>
        <v>Harassment by Telephone; Make or transmit any comment, request, suggestion, proposal, image or text with intent to abuse, threaten or harass any person at the receiving end</v>
      </c>
      <c r="D1417" s="49" t="str">
        <f t="shared" si="3"/>
        <v>21-6206(a)(1)(C)</v>
      </c>
      <c r="E1417" s="11" t="s">
        <v>133</v>
      </c>
      <c r="F1417" s="11">
        <v>3.0</v>
      </c>
      <c r="G1417" s="11">
        <v>3.0</v>
      </c>
      <c r="H1417" s="11">
        <v>3.0</v>
      </c>
      <c r="I1417" s="11">
        <v>3.0</v>
      </c>
    </row>
    <row r="1418">
      <c r="A1418" s="10" t="s">
        <v>7815</v>
      </c>
      <c r="B1418" s="49" t="str">
        <f t="shared" si="1"/>
        <v>Hazardous Household Articles</v>
      </c>
      <c r="C1418" s="49" t="str">
        <f t="shared" si="2"/>
        <v>Hazardous Household Articles; Hold for sale, offer for sale or sell any household article in violation of regulations</v>
      </c>
      <c r="D1418" s="49" t="str">
        <f t="shared" si="3"/>
        <v>65-2704</v>
      </c>
      <c r="E1418" s="11" t="s">
        <v>133</v>
      </c>
      <c r="F1418" s="11">
        <v>3.0</v>
      </c>
      <c r="G1418" s="11">
        <v>3.0</v>
      </c>
      <c r="H1418" s="11">
        <v>3.0</v>
      </c>
      <c r="I1418" s="11">
        <v>3.0</v>
      </c>
    </row>
    <row r="1419">
      <c r="A1419" s="10" t="s">
        <v>7816</v>
      </c>
      <c r="B1419" s="49" t="str">
        <f t="shared" si="1"/>
        <v>Hazing</v>
      </c>
      <c r="C1419" s="49" t="str">
        <f t="shared" si="2"/>
        <v>Hazing; Recklessly coercing, demanding or encouraging hazing</v>
      </c>
      <c r="D1419" s="49" t="str">
        <f t="shared" si="3"/>
        <v>21-5418(a)</v>
      </c>
      <c r="E1419" s="11" t="s">
        <v>133</v>
      </c>
      <c r="F1419" s="11">
        <v>3.0</v>
      </c>
      <c r="G1419" s="11">
        <v>3.0</v>
      </c>
      <c r="H1419" s="11">
        <v>3.0</v>
      </c>
      <c r="I1419" s="11">
        <v>3.0</v>
      </c>
    </row>
    <row r="1420">
      <c r="A1420" s="10" t="s">
        <v>7817</v>
      </c>
      <c r="B1420" s="49" t="str">
        <f t="shared" si="1"/>
        <v>Health Care Data</v>
      </c>
      <c r="C1420" s="49" t="str">
        <f t="shared" si="2"/>
        <v>Health Care Data; Unauthorized disclosure of data and other information collected pursuant to this act by the Kansas Department of Health and Environment; making public, information which would identify individuals</v>
      </c>
      <c r="D1420" s="49" t="str">
        <f t="shared" si="3"/>
        <v>65-6804(d)</v>
      </c>
      <c r="E1420" s="11" t="s">
        <v>133</v>
      </c>
      <c r="F1420" s="11">
        <v>3.0</v>
      </c>
      <c r="G1420" s="11">
        <v>3.0</v>
      </c>
      <c r="H1420" s="11">
        <v>3.0</v>
      </c>
      <c r="I1420" s="11">
        <v>3.0</v>
      </c>
    </row>
    <row r="1421">
      <c r="A1421" s="10" t="s">
        <v>7818</v>
      </c>
      <c r="B1421" s="49" t="str">
        <f t="shared" si="1"/>
        <v>Health Care Providers</v>
      </c>
      <c r="C1421" s="49" t="str">
        <f t="shared" si="2"/>
        <v>Health Care Providers; Willful and knowing failure to make a report required by K.S.A. 65-4923 or 65-4924</v>
      </c>
      <c r="D1421" s="49" t="str">
        <f t="shared" si="3"/>
        <v>65-4927(c)</v>
      </c>
      <c r="E1421" s="11" t="s">
        <v>133</v>
      </c>
      <c r="F1421" s="11">
        <v>3.0</v>
      </c>
      <c r="G1421" s="11">
        <v>3.0</v>
      </c>
      <c r="H1421" s="11">
        <v>3.0</v>
      </c>
      <c r="I1421" s="11">
        <v>3.0</v>
      </c>
    </row>
    <row r="1422">
      <c r="A1422" s="10" t="s">
        <v>7819</v>
      </c>
      <c r="B1422" s="49" t="str">
        <f t="shared" si="1"/>
        <v>Health Maintenance Organization Act</v>
      </c>
      <c r="C1422" s="49" t="str">
        <f t="shared" si="2"/>
        <v>Health Maintenance Organization Act; Penalty for violation of provisions of act</v>
      </c>
      <c r="D1422" s="49" t="str">
        <f t="shared" si="3"/>
        <v>40-3216</v>
      </c>
      <c r="E1422" s="11" t="s">
        <v>133</v>
      </c>
      <c r="F1422" s="11">
        <v>3.0</v>
      </c>
      <c r="G1422" s="11">
        <v>3.0</v>
      </c>
      <c r="H1422" s="11">
        <v>3.0</v>
      </c>
      <c r="I1422" s="11">
        <v>3.0</v>
      </c>
    </row>
    <row r="1423">
      <c r="A1423" s="10" t="s">
        <v>7820</v>
      </c>
      <c r="B1423" s="49" t="str">
        <f t="shared" si="1"/>
        <v>Higher Education Coordination</v>
      </c>
      <c r="C1423" s="49" t="str">
        <f t="shared" si="2"/>
        <v>Higher Education Coordination; State Board of Regents; Penalty for violation of any of the provisions of this act or any rule or policy made thereunder</v>
      </c>
      <c r="D1423" s="49" t="str">
        <f t="shared" si="3"/>
        <v>74-3215</v>
      </c>
      <c r="E1423" s="11" t="s">
        <v>133</v>
      </c>
      <c r="F1423" s="11">
        <v>3.0</v>
      </c>
      <c r="G1423" s="11">
        <v>3.0</v>
      </c>
      <c r="H1423" s="11">
        <v>3.0</v>
      </c>
      <c r="I1423" s="11">
        <v>3.0</v>
      </c>
    </row>
    <row r="1424">
      <c r="A1424" s="10" t="s">
        <v>7821</v>
      </c>
      <c r="B1424" s="49" t="str">
        <f t="shared" si="1"/>
        <v>Historical Property</v>
      </c>
      <c r="C1424" s="49" t="str">
        <f t="shared" si="2"/>
        <v>Historical Property; Penalty for violation of act</v>
      </c>
      <c r="D1424" s="49" t="str">
        <f t="shared" si="3"/>
        <v>76-2029</v>
      </c>
      <c r="E1424" s="11" t="s">
        <v>133</v>
      </c>
      <c r="F1424" s="11">
        <v>3.0</v>
      </c>
      <c r="G1424" s="11">
        <v>3.0</v>
      </c>
      <c r="H1424" s="11">
        <v>3.0</v>
      </c>
      <c r="I1424" s="11">
        <v>3.0</v>
      </c>
    </row>
    <row r="1425">
      <c r="A1425" s="10" t="s">
        <v>7822</v>
      </c>
      <c r="B1425" s="49" t="str">
        <f t="shared" si="1"/>
        <v>Home Health Agencies</v>
      </c>
      <c r="C1425" s="49" t="str">
        <f t="shared" si="2"/>
        <v>Home Health Agencies; Disclosure of confidential information</v>
      </c>
      <c r="D1425" s="49" t="str">
        <f t="shared" si="3"/>
        <v>65-5117(f)(5)</v>
      </c>
      <c r="E1425" s="11" t="s">
        <v>133</v>
      </c>
      <c r="F1425" s="11">
        <v>3.0</v>
      </c>
      <c r="G1425" s="11">
        <v>3.0</v>
      </c>
      <c r="H1425" s="11">
        <v>3.0</v>
      </c>
      <c r="I1425" s="11">
        <v>3.0</v>
      </c>
    </row>
    <row r="1426">
      <c r="A1426" s="10" t="s">
        <v>7823</v>
      </c>
      <c r="B1426" s="49" t="str">
        <f t="shared" si="1"/>
        <v>Home Health Agencies</v>
      </c>
      <c r="C1426" s="49" t="str">
        <f t="shared" si="2"/>
        <v>Home Health Agencies; Home health agencies required to be licensed</v>
      </c>
      <c r="D1426" s="49" t="str">
        <f t="shared" si="3"/>
        <v>65-5102</v>
      </c>
      <c r="E1426" s="11" t="s">
        <v>133</v>
      </c>
      <c r="F1426" s="11">
        <v>3.0</v>
      </c>
      <c r="G1426" s="11">
        <v>3.0</v>
      </c>
      <c r="H1426" s="11">
        <v>3.0</v>
      </c>
      <c r="I1426" s="11">
        <v>3.0</v>
      </c>
    </row>
    <row r="1427">
      <c r="A1427" s="10" t="s">
        <v>7824</v>
      </c>
      <c r="B1427" s="49" t="str">
        <f t="shared" si="1"/>
        <v>Home Health Agencies</v>
      </c>
      <c r="C1427" s="49" t="str">
        <f t="shared" si="2"/>
        <v>Home Health Agencies; Unlicensed employees prohibited from prefilling insulin syringes</v>
      </c>
      <c r="D1427" s="49" t="str">
        <f t="shared" si="3"/>
        <v>65-5116(b)</v>
      </c>
      <c r="E1427" s="11" t="s">
        <v>133</v>
      </c>
      <c r="F1427" s="11">
        <v>3.0</v>
      </c>
      <c r="G1427" s="11">
        <v>3.0</v>
      </c>
      <c r="H1427" s="11">
        <v>3.0</v>
      </c>
      <c r="I1427" s="11">
        <v>3.0</v>
      </c>
    </row>
    <row r="1428">
      <c r="A1428" s="10" t="s">
        <v>7825</v>
      </c>
      <c r="B1428" s="49" t="str">
        <f t="shared" si="1"/>
        <v>Homestead Property Tax Refunds</v>
      </c>
      <c r="C1428" s="49" t="str">
        <f t="shared" si="2"/>
        <v>Homestead Property Tax Refunds; Fraudulently filing excessive homestead property tax claim</v>
      </c>
      <c r="D1428" s="49" t="str">
        <f t="shared" si="3"/>
        <v>79-4513</v>
      </c>
      <c r="E1428" s="11" t="s">
        <v>133</v>
      </c>
      <c r="F1428" s="11">
        <v>3.0</v>
      </c>
      <c r="G1428" s="11">
        <v>3.0</v>
      </c>
      <c r="H1428" s="11">
        <v>3.0</v>
      </c>
      <c r="I1428" s="11">
        <v>3.0</v>
      </c>
    </row>
    <row r="1429">
      <c r="A1429" s="10" t="s">
        <v>7826</v>
      </c>
      <c r="B1429" s="49" t="str">
        <f t="shared" si="1"/>
        <v>Hospitals &amp; Other Facilities</v>
      </c>
      <c r="C1429" s="49" t="str">
        <f t="shared" si="2"/>
        <v>Hospitals &amp; Other Facilities; Establish, conduct, manage, or operate any medical care facility without a license</v>
      </c>
      <c r="D1429" s="49" t="str">
        <f t="shared" si="3"/>
        <v>65-439</v>
      </c>
      <c r="E1429" s="11" t="s">
        <v>133</v>
      </c>
      <c r="F1429" s="11">
        <v>3.0</v>
      </c>
      <c r="G1429" s="11">
        <v>3.0</v>
      </c>
      <c r="H1429" s="11">
        <v>3.0</v>
      </c>
      <c r="I1429" s="11">
        <v>3.0</v>
      </c>
    </row>
    <row r="1430">
      <c r="A1430" s="10" t="s">
        <v>7827</v>
      </c>
      <c r="B1430" s="49" t="str">
        <f t="shared" si="1"/>
        <v>Hospitals &amp; Other Facilities</v>
      </c>
      <c r="C1430" s="49" t="str">
        <f t="shared" si="2"/>
        <v>Hospitals &amp; Other Facilities; License required to establish, conduct or maintain a medical care facility</v>
      </c>
      <c r="D1430" s="49" t="str">
        <f t="shared" si="3"/>
        <v>65-427</v>
      </c>
      <c r="E1430" s="11" t="s">
        <v>133</v>
      </c>
      <c r="F1430" s="11">
        <v>3.0</v>
      </c>
      <c r="G1430" s="11">
        <v>3.0</v>
      </c>
      <c r="H1430" s="11">
        <v>3.0</v>
      </c>
      <c r="I1430" s="11">
        <v>3.0</v>
      </c>
    </row>
    <row r="1431">
      <c r="A1431" s="10" t="s">
        <v>7828</v>
      </c>
      <c r="B1431" s="49" t="str">
        <f t="shared" si="1"/>
        <v>Hospitals &amp; Other Facilities</v>
      </c>
      <c r="C1431" s="49" t="str">
        <f t="shared" si="2"/>
        <v>Hospitals &amp; Other Facilities; Violation of confidentiality provisions</v>
      </c>
      <c r="D1431" s="49" t="str">
        <f t="shared" si="3"/>
        <v>65-445(c)</v>
      </c>
      <c r="E1431" s="11" t="s">
        <v>133</v>
      </c>
      <c r="F1431" s="11">
        <v>3.0</v>
      </c>
      <c r="G1431" s="11">
        <v>3.0</v>
      </c>
      <c r="H1431" s="11">
        <v>3.0</v>
      </c>
      <c r="I1431" s="11">
        <v>3.0</v>
      </c>
    </row>
    <row r="1432">
      <c r="A1432" s="10" t="s">
        <v>7829</v>
      </c>
      <c r="B1432" s="49" t="str">
        <f t="shared" si="1"/>
        <v>Hotels/Lodging Houses/Restaurants</v>
      </c>
      <c r="C1432" s="49" t="str">
        <f t="shared" si="2"/>
        <v>Hotels/Lodging Houses/Restaurants; Use of flexible metal gas connector in connection with natural gas-fired movable cooking equipment which does not meet the design and construction requirements approved by the state fire marshal pursuant to K.S.A. 36-133</v>
      </c>
      <c r="D1432" s="49" t="str">
        <f t="shared" si="3"/>
        <v>36-134</v>
      </c>
      <c r="E1432" s="11" t="s">
        <v>133</v>
      </c>
      <c r="F1432" s="11">
        <v>3.0</v>
      </c>
      <c r="G1432" s="11">
        <v>3.0</v>
      </c>
      <c r="H1432" s="11">
        <v>3.0</v>
      </c>
      <c r="I1432" s="11">
        <v>3.0</v>
      </c>
    </row>
    <row r="1433">
      <c r="A1433" s="10" t="s">
        <v>7830</v>
      </c>
      <c r="B1433" s="49" t="str">
        <f t="shared" si="1"/>
        <v>Human Trafficking</v>
      </c>
      <c r="C1433" s="49" t="str">
        <f t="shared" si="2"/>
        <v>Human Trafficking; Intentionally benefitting financially or receiving anything of value for participation in human trafficking</v>
      </c>
      <c r="D1433" s="49" t="str">
        <f t="shared" si="3"/>
        <v>21-5426(a)(2)</v>
      </c>
      <c r="E1433" s="11" t="s">
        <v>133</v>
      </c>
      <c r="F1433" s="11">
        <v>3.0</v>
      </c>
      <c r="G1433" s="11">
        <v>3.0</v>
      </c>
      <c r="H1433" s="11">
        <v>3.0</v>
      </c>
      <c r="I1433" s="11">
        <v>3.0</v>
      </c>
    </row>
    <row r="1434">
      <c r="A1434" s="10" t="s">
        <v>7831</v>
      </c>
      <c r="B1434" s="49" t="str">
        <f t="shared" si="1"/>
        <v>Human Trafficking</v>
      </c>
      <c r="C1434" s="49" t="str">
        <f t="shared" si="2"/>
        <v>Human Trafficking; Intentionally, recruiting, harboring, transporting, providing or obtaining a person for labor or services, through use of force, fraud or coercion for purpose of subjecting person to involuntary servitude or forced labor</v>
      </c>
      <c r="D1434" s="49" t="str">
        <f t="shared" si="3"/>
        <v>21-5426(a)(1)</v>
      </c>
      <c r="E1434" s="11" t="s">
        <v>133</v>
      </c>
      <c r="F1434" s="11">
        <v>3.0</v>
      </c>
      <c r="G1434" s="11">
        <v>3.0</v>
      </c>
      <c r="H1434" s="11">
        <v>3.0</v>
      </c>
      <c r="I1434" s="11">
        <v>3.0</v>
      </c>
    </row>
    <row r="1435">
      <c r="A1435" s="10" t="s">
        <v>7832</v>
      </c>
      <c r="B1435" s="49" t="str">
        <f t="shared" si="1"/>
        <v>Human Trafficking</v>
      </c>
      <c r="C1435" s="49" t="str">
        <f t="shared" si="2"/>
        <v>Human Trafficking; Knowingly coercing employment by obtaining or maintaining labor or services that are performed or provided by another through abusing or threatening to abuse the law or legal process</v>
      </c>
      <c r="D1435" s="49" t="str">
        <f t="shared" si="3"/>
        <v>21-5426(a)(3)(C)</v>
      </c>
      <c r="E1435" s="11" t="s">
        <v>133</v>
      </c>
      <c r="F1435" s="11">
        <v>3.0</v>
      </c>
      <c r="G1435" s="11">
        <v>3.0</v>
      </c>
      <c r="H1435" s="11">
        <v>3.0</v>
      </c>
      <c r="I1435" s="11">
        <v>3.0</v>
      </c>
    </row>
    <row r="1436">
      <c r="A1436" s="10" t="s">
        <v>7833</v>
      </c>
      <c r="B1436" s="49" t="str">
        <f t="shared" si="1"/>
        <v>Human Trafficking</v>
      </c>
      <c r="C1436" s="49" t="str">
        <f t="shared" si="2"/>
        <v>Human Trafficking; Knowingly coercing employment by obtaining or maintaining labor or services that are performed or provided by another through causing or threatening to cause physical injury to any person</v>
      </c>
      <c r="D1436" s="49" t="str">
        <f t="shared" si="3"/>
        <v>21-5426(a)(3)(A)</v>
      </c>
      <c r="E1436" s="11" t="s">
        <v>133</v>
      </c>
      <c r="F1436" s="11">
        <v>3.0</v>
      </c>
      <c r="G1436" s="11">
        <v>3.0</v>
      </c>
      <c r="H1436" s="11">
        <v>3.0</v>
      </c>
      <c r="I1436" s="11">
        <v>3.0</v>
      </c>
    </row>
    <row r="1437">
      <c r="A1437" s="10" t="s">
        <v>7834</v>
      </c>
      <c r="B1437" s="49" t="str">
        <f t="shared" si="1"/>
        <v>Human Trafficking</v>
      </c>
      <c r="C1437" s="49" t="str">
        <f t="shared" si="2"/>
        <v>Human Trafficking; Knowingly coercing employment by obtaining or maintaining labor or services that are performed or provided by another through knowingly destroying, concealing, removing, confiscating or possessing any actual or purported government identification document of another person</v>
      </c>
      <c r="D1437" s="49" t="str">
        <f t="shared" si="3"/>
        <v>21-5426(a)(3)(E)</v>
      </c>
      <c r="E1437" s="11" t="s">
        <v>133</v>
      </c>
      <c r="F1437" s="11">
        <v>3.0</v>
      </c>
      <c r="G1437" s="11">
        <v>3.0</v>
      </c>
      <c r="H1437" s="11">
        <v>3.0</v>
      </c>
      <c r="I1437" s="11">
        <v>3.0</v>
      </c>
    </row>
    <row r="1438">
      <c r="A1438" s="10" t="s">
        <v>7835</v>
      </c>
      <c r="B1438" s="49" t="str">
        <f t="shared" si="1"/>
        <v>Human Trafficking</v>
      </c>
      <c r="C1438" s="49" t="str">
        <f t="shared" si="2"/>
        <v>Human Trafficking; Knowingly coercing employment by obtaining or maintaining labor or services that are performed or provided by another through physically restraining or threatening to physically restrain another person</v>
      </c>
      <c r="D1438" s="49" t="str">
        <f t="shared" si="3"/>
        <v>21-5426(a)(3)(B)</v>
      </c>
      <c r="E1438" s="11" t="s">
        <v>133</v>
      </c>
      <c r="F1438" s="11">
        <v>3.0</v>
      </c>
      <c r="G1438" s="11">
        <v>3.0</v>
      </c>
      <c r="H1438" s="11">
        <v>3.0</v>
      </c>
      <c r="I1438" s="11">
        <v>3.0</v>
      </c>
    </row>
    <row r="1439">
      <c r="A1439" s="10" t="s">
        <v>7836</v>
      </c>
      <c r="B1439" s="49" t="str">
        <f t="shared" si="1"/>
        <v>Human Trafficking</v>
      </c>
      <c r="C1439" s="49" t="str">
        <f t="shared" si="2"/>
        <v>Human Trafficking; Knowingly coercing employment by obtaining or maintaining labor or services that are performed or provided by another through threatening to withhold food, lodging or clothing</v>
      </c>
      <c r="D1439" s="49" t="str">
        <f t="shared" si="3"/>
        <v>21-5426(a)(3)(D)</v>
      </c>
      <c r="E1439" s="11" t="s">
        <v>133</v>
      </c>
      <c r="F1439" s="11">
        <v>3.0</v>
      </c>
      <c r="G1439" s="11">
        <v>3.0</v>
      </c>
      <c r="H1439" s="11">
        <v>3.0</v>
      </c>
      <c r="I1439" s="11">
        <v>3.0</v>
      </c>
    </row>
    <row r="1440">
      <c r="A1440" s="10" t="s">
        <v>7837</v>
      </c>
      <c r="B1440" s="49" t="str">
        <f t="shared" si="1"/>
        <v>Human Trafficking</v>
      </c>
      <c r="C1440" s="49" t="str">
        <f t="shared" si="2"/>
        <v>Human Trafficking; Knowingly hold another in condition of peonage (involuntary servitude) in satisfaction of debt owed</v>
      </c>
      <c r="D1440" s="49" t="str">
        <f t="shared" si="3"/>
        <v>21-5426(a)(4)</v>
      </c>
      <c r="E1440" s="11" t="s">
        <v>133</v>
      </c>
      <c r="F1440" s="11">
        <v>3.0</v>
      </c>
      <c r="G1440" s="11">
        <v>3.0</v>
      </c>
      <c r="H1440" s="11">
        <v>3.0</v>
      </c>
      <c r="I1440" s="11">
        <v>3.0</v>
      </c>
    </row>
    <row r="1441">
      <c r="A1441" s="10" t="s">
        <v>7838</v>
      </c>
      <c r="B1441" s="49" t="str">
        <f t="shared" si="1"/>
        <v>Humane Slaughter</v>
      </c>
      <c r="C1441" s="49" t="str">
        <f t="shared" si="2"/>
        <v>Humane Slaughter; Bleed/slaughter any livestock except by a humane method</v>
      </c>
      <c r="D1441" s="49" t="str">
        <f t="shared" si="3"/>
        <v>47-1403(b)</v>
      </c>
      <c r="E1441" s="11" t="s">
        <v>133</v>
      </c>
      <c r="F1441" s="11">
        <v>3.0</v>
      </c>
      <c r="G1441" s="11">
        <v>3.0</v>
      </c>
      <c r="H1441" s="11">
        <v>3.0</v>
      </c>
      <c r="I1441" s="11">
        <v>3.0</v>
      </c>
    </row>
    <row r="1442">
      <c r="A1442" s="10" t="s">
        <v>7839</v>
      </c>
      <c r="B1442" s="49" t="str">
        <f t="shared" si="1"/>
        <v>Humane Slaughter</v>
      </c>
      <c r="C1442" s="49" t="str">
        <f t="shared" si="2"/>
        <v>Humane Slaughter; Certain method of slaughter declared inhumane</v>
      </c>
      <c r="D1442" s="49" t="str">
        <f t="shared" si="3"/>
        <v>47-1404</v>
      </c>
      <c r="E1442" s="11" t="s">
        <v>133</v>
      </c>
      <c r="F1442" s="11">
        <v>3.0</v>
      </c>
      <c r="G1442" s="11">
        <v>3.0</v>
      </c>
      <c r="H1442" s="11">
        <v>3.0</v>
      </c>
      <c r="I1442" s="11">
        <v>3.0</v>
      </c>
    </row>
    <row r="1443">
      <c r="A1443" s="10" t="s">
        <v>7840</v>
      </c>
      <c r="B1443" s="49" t="str">
        <f t="shared" si="1"/>
        <v>Humane Slaughter</v>
      </c>
      <c r="C1443" s="49" t="str">
        <f t="shared" si="2"/>
        <v>Humane Slaughter; Shackle, hoist, or otherwise bring livestock into position for slaughter, by any method which shall cause injury or pain</v>
      </c>
      <c r="D1443" s="49" t="str">
        <f t="shared" si="3"/>
        <v>47-1403(a)</v>
      </c>
      <c r="E1443" s="11" t="s">
        <v>133</v>
      </c>
      <c r="F1443" s="11">
        <v>3.0</v>
      </c>
      <c r="G1443" s="11">
        <v>3.0</v>
      </c>
      <c r="H1443" s="11">
        <v>3.0</v>
      </c>
      <c r="I1443" s="11">
        <v>3.0</v>
      </c>
    </row>
    <row r="1444">
      <c r="A1444" s="10" t="s">
        <v>7841</v>
      </c>
      <c r="B1444" s="49" t="str">
        <f t="shared" si="1"/>
        <v>ID &amp; Detection of Crimes &amp; Criminals</v>
      </c>
      <c r="C1444" s="49" t="str">
        <f t="shared" si="2"/>
        <v>ID &amp; Detection of Crimes &amp; Criminals; DNA sampling; dissemination of samples or records not in accordance with applicable laws</v>
      </c>
      <c r="D1444" s="49" t="str">
        <f t="shared" si="3"/>
        <v>21-2511(n)(1)</v>
      </c>
      <c r="E1444" s="11" t="s">
        <v>133</v>
      </c>
      <c r="F1444" s="11">
        <v>3.0</v>
      </c>
      <c r="G1444" s="11">
        <v>3.0</v>
      </c>
      <c r="H1444" s="11">
        <v>3.0</v>
      </c>
      <c r="I1444" s="11">
        <v>3.0</v>
      </c>
    </row>
    <row r="1445">
      <c r="A1445" s="10" t="s">
        <v>7842</v>
      </c>
      <c r="B1445" s="49" t="str">
        <f t="shared" si="1"/>
        <v>ID &amp; Detection of Crimes &amp; Criminals</v>
      </c>
      <c r="C1445" s="49" t="str">
        <f t="shared" si="2"/>
        <v>ID &amp; Detection of Crimes &amp; Criminals; DNA sampling; fail to provide sample as required</v>
      </c>
      <c r="D1445" s="49" t="str">
        <f t="shared" si="3"/>
        <v>21-2511(m)</v>
      </c>
      <c r="E1445" s="11" t="s">
        <v>133</v>
      </c>
      <c r="F1445" s="11">
        <v>3.0</v>
      </c>
      <c r="G1445" s="11">
        <v>3.0</v>
      </c>
      <c r="H1445" s="11">
        <v>3.0</v>
      </c>
      <c r="I1445" s="11">
        <v>3.0</v>
      </c>
    </row>
    <row r="1446">
      <c r="A1446" s="10" t="s">
        <v>7843</v>
      </c>
      <c r="B1446" s="49" t="str">
        <f t="shared" si="1"/>
        <v>ID &amp; Detection of Crimes &amp; Criminals</v>
      </c>
      <c r="C1446" s="49" t="str">
        <f t="shared" si="2"/>
        <v>ID &amp; Detection of Crimes &amp; Criminals; DNA sampling; knowingly obtaining samples without authorization</v>
      </c>
      <c r="D1446" s="49" t="str">
        <f t="shared" si="3"/>
        <v>21-2511(o)</v>
      </c>
      <c r="E1446" s="11" t="s">
        <v>133</v>
      </c>
      <c r="F1446" s="11">
        <v>3.0</v>
      </c>
      <c r="G1446" s="11">
        <v>3.0</v>
      </c>
      <c r="H1446" s="11">
        <v>3.0</v>
      </c>
      <c r="I1446" s="11">
        <v>3.0</v>
      </c>
    </row>
    <row r="1447">
      <c r="A1447" s="10" t="s">
        <v>7844</v>
      </c>
      <c r="B1447" s="49" t="str">
        <f t="shared" si="1"/>
        <v>ID &amp; Detection of Crimes &amp; Criminals</v>
      </c>
      <c r="C1447" s="49" t="str">
        <f t="shared" si="2"/>
        <v>ID &amp; Detection of Crimes &amp; Criminals; DNA sampling; requesting of profile records without a legitimate need for such records</v>
      </c>
      <c r="D1447" s="49" t="str">
        <f t="shared" si="3"/>
        <v>21-2511(n)(2)</v>
      </c>
      <c r="E1447" s="11" t="s">
        <v>133</v>
      </c>
      <c r="F1447" s="11">
        <v>3.0</v>
      </c>
      <c r="G1447" s="11">
        <v>3.0</v>
      </c>
      <c r="H1447" s="11">
        <v>3.0</v>
      </c>
      <c r="I1447" s="11">
        <v>3.0</v>
      </c>
    </row>
    <row r="1448">
      <c r="A1448" s="10" t="s">
        <v>7845</v>
      </c>
      <c r="B1448" s="49" t="str">
        <f t="shared" si="1"/>
        <v>ID &amp; Detection of Crimes &amp; Criminals</v>
      </c>
      <c r="C1448" s="49" t="str">
        <f t="shared" si="2"/>
        <v>ID &amp; Detection of Crimes &amp; Criminals; Neglect of any officer to furnish information required by K.S.A. 21-2501, 21-2501a, 21-2502, 21-2503, 21-2504</v>
      </c>
      <c r="D1448" s="49" t="str">
        <f t="shared" si="3"/>
        <v>21-2505</v>
      </c>
      <c r="E1448" s="11" t="s">
        <v>133</v>
      </c>
      <c r="F1448" s="11">
        <v>3.0</v>
      </c>
      <c r="G1448" s="11">
        <v>3.0</v>
      </c>
      <c r="H1448" s="11">
        <v>3.0</v>
      </c>
      <c r="I1448" s="11">
        <v>3.0</v>
      </c>
    </row>
    <row r="1449">
      <c r="A1449" s="10" t="s">
        <v>7846</v>
      </c>
      <c r="B1449" s="49" t="str">
        <f t="shared" si="1"/>
        <v>Identification Cards</v>
      </c>
      <c r="C1449" s="49" t="str">
        <f t="shared" si="2"/>
        <v>Identification Cards; Display canceled ID card</v>
      </c>
      <c r="D1449" s="49" t="str">
        <f t="shared" si="3"/>
        <v>8-1327(a)(9)</v>
      </c>
      <c r="E1449" s="11" t="s">
        <v>133</v>
      </c>
      <c r="F1449" s="11">
        <v>3.0</v>
      </c>
      <c r="G1449" s="11">
        <v>3.0</v>
      </c>
      <c r="H1449" s="11">
        <v>3.0</v>
      </c>
      <c r="I1449" s="11">
        <v>3.0</v>
      </c>
    </row>
    <row r="1450">
      <c r="A1450" s="10" t="s">
        <v>7847</v>
      </c>
      <c r="B1450" s="49" t="str">
        <f t="shared" si="1"/>
        <v>Identification Cards</v>
      </c>
      <c r="C1450" s="49" t="str">
        <f t="shared" si="2"/>
        <v>Identification Cards; Display ID card which belongs to another</v>
      </c>
      <c r="D1450" s="49" t="str">
        <f t="shared" si="3"/>
        <v>8-1327(a)(3)</v>
      </c>
      <c r="E1450" s="11" t="s">
        <v>133</v>
      </c>
      <c r="F1450" s="11">
        <v>3.0</v>
      </c>
      <c r="G1450" s="11">
        <v>3.0</v>
      </c>
      <c r="H1450" s="11">
        <v>3.0</v>
      </c>
      <c r="I1450" s="11">
        <v>3.0</v>
      </c>
    </row>
    <row r="1451">
      <c r="A1451" s="10" t="s">
        <v>7848</v>
      </c>
      <c r="B1451" s="49" t="str">
        <f t="shared" si="1"/>
        <v>Identification Cards</v>
      </c>
      <c r="C1451" s="49" t="str">
        <f t="shared" si="2"/>
        <v>Identification Cards; Display or possess fictitious or fraudulent ID card</v>
      </c>
      <c r="D1451" s="49" t="str">
        <f t="shared" si="3"/>
        <v>8-1327(a)(1)</v>
      </c>
      <c r="E1451" s="11" t="s">
        <v>133</v>
      </c>
      <c r="F1451" s="11">
        <v>3.0</v>
      </c>
      <c r="G1451" s="11">
        <v>3.0</v>
      </c>
      <c r="H1451" s="11">
        <v>3.0</v>
      </c>
      <c r="I1451" s="11">
        <v>3.0</v>
      </c>
    </row>
    <row r="1452">
      <c r="A1452" s="10" t="s">
        <v>7849</v>
      </c>
      <c r="B1452" s="49" t="str">
        <f t="shared" si="1"/>
        <v>Identification Cards</v>
      </c>
      <c r="C1452" s="49" t="str">
        <f t="shared" si="2"/>
        <v>Identification Cards; Display or possess fictitious/ fraudulent ID by one &lt; 21 for purchase of liquor/CMB; 1st conviction</v>
      </c>
      <c r="D1452" s="49" t="str">
        <f t="shared" si="3"/>
        <v>8-1327(c)(4)</v>
      </c>
      <c r="E1452" s="11" t="s">
        <v>133</v>
      </c>
      <c r="F1452" s="11">
        <v>3.0</v>
      </c>
      <c r="G1452" s="11">
        <v>3.0</v>
      </c>
      <c r="H1452" s="11">
        <v>3.0</v>
      </c>
      <c r="I1452" s="11">
        <v>3.0</v>
      </c>
    </row>
    <row r="1453">
      <c r="A1453" s="10" t="s">
        <v>7850</v>
      </c>
      <c r="B1453" s="49" t="str">
        <f t="shared" si="1"/>
        <v>Identification Cards</v>
      </c>
      <c r="C1453" s="49" t="str">
        <f t="shared" si="2"/>
        <v>Identification Cards; Display or possess fictitious/ fraudulent ID by one &lt; 21 for purchase of liquor/CMB; 2nd conviction</v>
      </c>
      <c r="D1453" s="49" t="str">
        <f t="shared" si="3"/>
        <v>8-1327(c)(4)</v>
      </c>
      <c r="E1453" s="11" t="s">
        <v>133</v>
      </c>
      <c r="F1453" s="11">
        <v>3.0</v>
      </c>
      <c r="G1453" s="11">
        <v>3.0</v>
      </c>
      <c r="H1453" s="11">
        <v>3.0</v>
      </c>
      <c r="I1453" s="11">
        <v>3.0</v>
      </c>
    </row>
    <row r="1454">
      <c r="A1454" s="10" t="s">
        <v>7851</v>
      </c>
      <c r="B1454" s="49" t="str">
        <f t="shared" si="1"/>
        <v>Identification Cards</v>
      </c>
      <c r="C1454" s="49" t="str">
        <f t="shared" si="2"/>
        <v>Identification Cards; Display reproduction of an ID card</v>
      </c>
      <c r="D1454" s="49" t="str">
        <f t="shared" si="3"/>
        <v>8-1327(a)(6)</v>
      </c>
      <c r="E1454" s="11" t="s">
        <v>133</v>
      </c>
      <c r="F1454" s="11">
        <v>3.0</v>
      </c>
      <c r="G1454" s="11">
        <v>3.0</v>
      </c>
      <c r="H1454" s="11">
        <v>3.0</v>
      </c>
      <c r="I1454" s="11">
        <v>3.0</v>
      </c>
    </row>
    <row r="1455">
      <c r="A1455" s="10" t="s">
        <v>7852</v>
      </c>
      <c r="B1455" s="49" t="str">
        <f t="shared" si="1"/>
        <v>Identification Cards</v>
      </c>
      <c r="C1455" s="49" t="str">
        <f t="shared" si="2"/>
        <v>Identification Cards; Fail or refuse to surrender any ID card which is canceled</v>
      </c>
      <c r="D1455" s="49" t="str">
        <f t="shared" si="3"/>
        <v>8-1327(a)(8)</v>
      </c>
      <c r="E1455" s="11" t="s">
        <v>133</v>
      </c>
      <c r="F1455" s="11">
        <v>3.0</v>
      </c>
      <c r="G1455" s="11">
        <v>3.0</v>
      </c>
      <c r="H1455" s="11">
        <v>3.0</v>
      </c>
      <c r="I1455" s="11">
        <v>3.0</v>
      </c>
    </row>
    <row r="1456">
      <c r="A1456" s="10" t="s">
        <v>7853</v>
      </c>
      <c r="B1456" s="49" t="str">
        <f t="shared" si="1"/>
        <v>Identification Cards</v>
      </c>
      <c r="C1456" s="49" t="str">
        <f t="shared" si="2"/>
        <v>Identification Cards; Lend any ID card to another or knowingly permit use by another</v>
      </c>
      <c r="D1456" s="49" t="str">
        <f t="shared" si="3"/>
        <v>8-1327(a)(2)</v>
      </c>
      <c r="E1456" s="11" t="s">
        <v>133</v>
      </c>
      <c r="F1456" s="11">
        <v>3.0</v>
      </c>
      <c r="G1456" s="11">
        <v>3.0</v>
      </c>
      <c r="H1456" s="11">
        <v>3.0</v>
      </c>
      <c r="I1456" s="11">
        <v>3.0</v>
      </c>
    </row>
    <row r="1457">
      <c r="A1457" s="10" t="s">
        <v>7854</v>
      </c>
      <c r="B1457" s="49" t="str">
        <f t="shared" si="1"/>
        <v>Identification Cards</v>
      </c>
      <c r="C1457" s="49" t="str">
        <f t="shared" si="2"/>
        <v>Identification Cards; Lend ID card to one &lt; 21 for consumption or purchase of CMB; 1st conviction</v>
      </c>
      <c r="D1457" s="49" t="str">
        <f t="shared" si="3"/>
        <v>8-1327(c)(2)</v>
      </c>
      <c r="E1457" s="11" t="s">
        <v>133</v>
      </c>
      <c r="F1457" s="11">
        <v>3.0</v>
      </c>
      <c r="G1457" s="11">
        <v>3.0</v>
      </c>
      <c r="H1457" s="11">
        <v>3.0</v>
      </c>
      <c r="I1457" s="11">
        <v>3.0</v>
      </c>
    </row>
    <row r="1458">
      <c r="A1458" s="10" t="s">
        <v>7855</v>
      </c>
      <c r="B1458" s="49" t="str">
        <f t="shared" si="1"/>
        <v>Identification Cards</v>
      </c>
      <c r="C1458" s="49" t="str">
        <f t="shared" si="2"/>
        <v>Identification Cards; Lend ID card to one &lt; 21 for consumption or purchase of CMB; 2nd conviction</v>
      </c>
      <c r="D1458" s="49" t="str">
        <f t="shared" si="3"/>
        <v>8-1327(c)(2)</v>
      </c>
      <c r="E1458" s="11" t="s">
        <v>133</v>
      </c>
      <c r="F1458" s="11">
        <v>3.0</v>
      </c>
      <c r="G1458" s="11">
        <v>3.0</v>
      </c>
      <c r="H1458" s="11">
        <v>3.0</v>
      </c>
      <c r="I1458" s="11">
        <v>3.0</v>
      </c>
    </row>
    <row r="1459">
      <c r="A1459" s="10" t="s">
        <v>7856</v>
      </c>
      <c r="B1459" s="49" t="str">
        <f t="shared" si="1"/>
        <v>Identification Cards</v>
      </c>
      <c r="C1459" s="49" t="str">
        <f t="shared" si="2"/>
        <v>Identification Cards; Lend ID card to person &lt; 21 for purchase of alcohol; 1st conviction</v>
      </c>
      <c r="D1459" s="49" t="str">
        <f t="shared" si="3"/>
        <v>8-1327(c)(1)</v>
      </c>
      <c r="E1459" s="11" t="s">
        <v>133</v>
      </c>
      <c r="F1459" s="11">
        <v>3.0</v>
      </c>
      <c r="G1459" s="11">
        <v>3.0</v>
      </c>
      <c r="H1459" s="11">
        <v>3.0</v>
      </c>
      <c r="I1459" s="11">
        <v>3.0</v>
      </c>
    </row>
    <row r="1460">
      <c r="A1460" s="10" t="s">
        <v>7857</v>
      </c>
      <c r="B1460" s="49" t="str">
        <f t="shared" si="1"/>
        <v>Identification Cards</v>
      </c>
      <c r="C1460" s="49" t="str">
        <f t="shared" si="2"/>
        <v>Identification Cards; Lend ID card to person &lt; 21 for purchase of alcohol; 2nd conviction</v>
      </c>
      <c r="D1460" s="49" t="str">
        <f t="shared" si="3"/>
        <v>8-1327(c)(1)</v>
      </c>
      <c r="E1460" s="11" t="s">
        <v>133</v>
      </c>
      <c r="F1460" s="11">
        <v>3.0</v>
      </c>
      <c r="G1460" s="11">
        <v>3.0</v>
      </c>
      <c r="H1460" s="11">
        <v>3.0</v>
      </c>
      <c r="I1460" s="11">
        <v>3.0</v>
      </c>
    </row>
    <row r="1461">
      <c r="A1461" s="10" t="s">
        <v>7858</v>
      </c>
      <c r="B1461" s="49" t="str">
        <f t="shared" si="1"/>
        <v>Identification Cards</v>
      </c>
      <c r="C1461" s="49" t="str">
        <f t="shared" si="2"/>
        <v>Identification Cards; Lend ID/DL or other ID to aid another in obtaining ID; 1st conviction</v>
      </c>
      <c r="D1461" s="49" t="str">
        <f t="shared" si="3"/>
        <v>8-1327(c)(3)</v>
      </c>
      <c r="E1461" s="11" t="s">
        <v>133</v>
      </c>
      <c r="F1461" s="11">
        <v>3.0</v>
      </c>
      <c r="G1461" s="11">
        <v>3.0</v>
      </c>
      <c r="H1461" s="11">
        <v>3.0</v>
      </c>
      <c r="I1461" s="11">
        <v>3.0</v>
      </c>
    </row>
    <row r="1462">
      <c r="A1462" s="10" t="s">
        <v>7859</v>
      </c>
      <c r="B1462" s="49" t="str">
        <f t="shared" si="1"/>
        <v>Identification Cards</v>
      </c>
      <c r="C1462" s="49" t="str">
        <f t="shared" si="2"/>
        <v>Identification Cards; Lend ID/DL or other ID to aid another in obtaining ID; 2nd conviction</v>
      </c>
      <c r="D1462" s="49" t="str">
        <f t="shared" si="3"/>
        <v>8-1327(c)(3)</v>
      </c>
      <c r="E1462" s="11" t="s">
        <v>133</v>
      </c>
      <c r="F1462" s="11">
        <v>3.0</v>
      </c>
      <c r="G1462" s="11">
        <v>3.0</v>
      </c>
      <c r="H1462" s="11">
        <v>3.0</v>
      </c>
      <c r="I1462" s="11">
        <v>3.0</v>
      </c>
    </row>
    <row r="1463">
      <c r="A1463" s="10" t="s">
        <v>7860</v>
      </c>
      <c r="B1463" s="49" t="str">
        <f t="shared" si="1"/>
        <v>Identification Cards</v>
      </c>
      <c r="C1463" s="49" t="str">
        <f t="shared" si="2"/>
        <v>Identification Cards; Permit unlawful use of ID card</v>
      </c>
      <c r="D1463" s="49" t="str">
        <f t="shared" si="3"/>
        <v>8-1327(a)(4)</v>
      </c>
      <c r="E1463" s="11" t="s">
        <v>133</v>
      </c>
      <c r="F1463" s="11">
        <v>3.0</v>
      </c>
      <c r="G1463" s="11">
        <v>3.0</v>
      </c>
      <c r="H1463" s="11">
        <v>3.0</v>
      </c>
      <c r="I1463" s="11">
        <v>3.0</v>
      </c>
    </row>
    <row r="1464">
      <c r="A1464" s="10" t="s">
        <v>7861</v>
      </c>
      <c r="B1464" s="49" t="str">
        <f t="shared" si="1"/>
        <v>Identification Cards</v>
      </c>
      <c r="C1464" s="49" t="str">
        <f t="shared" si="2"/>
        <v>Identification Cards; Reproduce ID card to be mistaken for valid</v>
      </c>
      <c r="D1464" s="49" t="str">
        <f t="shared" si="3"/>
        <v>8-1327(a)(7)</v>
      </c>
      <c r="E1464" s="11" t="s">
        <v>133</v>
      </c>
      <c r="F1464" s="11">
        <v>3.0</v>
      </c>
      <c r="G1464" s="11">
        <v>3.0</v>
      </c>
      <c r="H1464" s="11">
        <v>3.0</v>
      </c>
      <c r="I1464" s="11">
        <v>3.0</v>
      </c>
    </row>
    <row r="1465">
      <c r="A1465" s="10" t="s">
        <v>7862</v>
      </c>
      <c r="B1465" s="49" t="str">
        <f t="shared" si="1"/>
        <v>Identity Fraud</v>
      </c>
      <c r="C1465" s="49" t="str">
        <f t="shared" si="2"/>
        <v>Identity Fraud; Altering, amending, counterfeiting, making, manufacturing or otherwise replicating any document containing personal identifying information with intent to deceive</v>
      </c>
      <c r="D1465" s="49" t="str">
        <f t="shared" si="3"/>
        <v>21-6107(b)(2)</v>
      </c>
      <c r="E1465" s="11" t="s">
        <v>133</v>
      </c>
      <c r="F1465" s="11">
        <v>3.0</v>
      </c>
      <c r="G1465" s="11">
        <v>3.0</v>
      </c>
      <c r="H1465" s="11">
        <v>3.0</v>
      </c>
      <c r="I1465" s="11">
        <v>3.0</v>
      </c>
    </row>
    <row r="1466">
      <c r="A1466" s="10" t="s">
        <v>7863</v>
      </c>
      <c r="B1466" s="49" t="str">
        <f t="shared" si="1"/>
        <v>Identity Fraud</v>
      </c>
      <c r="C1466" s="49" t="str">
        <f t="shared" si="2"/>
        <v>Identity Fraud; Using or supplying information the person knows to be false in order to obtain a document containing personal identifying information</v>
      </c>
      <c r="D1466" s="49" t="str">
        <f t="shared" si="3"/>
        <v>21-6107(b)(1)</v>
      </c>
      <c r="E1466" s="11" t="s">
        <v>133</v>
      </c>
      <c r="F1466" s="11">
        <v>3.0</v>
      </c>
      <c r="G1466" s="11">
        <v>3.0</v>
      </c>
      <c r="H1466" s="11">
        <v>3.0</v>
      </c>
      <c r="I1466" s="11">
        <v>3.0</v>
      </c>
    </row>
    <row r="1467">
      <c r="A1467" s="10" t="s">
        <v>7864</v>
      </c>
      <c r="B1467" s="49" t="str">
        <f t="shared" si="1"/>
        <v>Identity Theft</v>
      </c>
      <c r="C1467" s="49" t="str">
        <f t="shared" si="2"/>
        <v>Identity Theft; Misrepresenting a person to subject that person to economic or bodily harm; monetary loss to victim less than $100,000</v>
      </c>
      <c r="D1467" s="49" t="str">
        <f t="shared" si="3"/>
        <v>21-6107(a)(2)</v>
      </c>
      <c r="E1467" s="11" t="s">
        <v>133</v>
      </c>
      <c r="F1467" s="11">
        <v>3.0</v>
      </c>
      <c r="G1467" s="11">
        <v>3.0</v>
      </c>
      <c r="H1467" s="11">
        <v>3.0</v>
      </c>
      <c r="I1467" s="11">
        <v>3.0</v>
      </c>
    </row>
    <row r="1468">
      <c r="A1468" s="10" t="s">
        <v>7865</v>
      </c>
      <c r="B1468" s="49" t="str">
        <f t="shared" si="1"/>
        <v>Identity Theft</v>
      </c>
      <c r="C1468" s="49" t="str">
        <f t="shared" si="2"/>
        <v>Identity Theft; Misrepresenting a person to subject that person to economic or bodily harm; monetary loss to victim more than $100,000</v>
      </c>
      <c r="D1468" s="49" t="str">
        <f t="shared" si="3"/>
        <v>21-6107(a)(2)</v>
      </c>
      <c r="E1468" s="11" t="s">
        <v>133</v>
      </c>
      <c r="F1468" s="11">
        <v>3.0</v>
      </c>
      <c r="G1468" s="11">
        <v>3.0</v>
      </c>
      <c r="H1468" s="11">
        <v>3.0</v>
      </c>
      <c r="I1468" s="11">
        <v>3.0</v>
      </c>
    </row>
    <row r="1469">
      <c r="A1469" s="10" t="s">
        <v>7866</v>
      </c>
      <c r="B1469" s="49" t="str">
        <f t="shared" si="1"/>
        <v>Identity Theft</v>
      </c>
      <c r="C1469" s="49" t="str">
        <f t="shared" si="2"/>
        <v>Identity Theft; Obtaining, possessing, transferring, using, selling or purchasing personal identifying information, with intent to defraud, to receive a benefit; monetary loss $100,000 or less</v>
      </c>
      <c r="D1469" s="49" t="str">
        <f t="shared" si="3"/>
        <v>21-6107(a)(1)</v>
      </c>
      <c r="E1469" s="11" t="s">
        <v>133</v>
      </c>
      <c r="F1469" s="11">
        <v>3.0</v>
      </c>
      <c r="G1469" s="11">
        <v>3.0</v>
      </c>
      <c r="H1469" s="11">
        <v>3.0</v>
      </c>
      <c r="I1469" s="11">
        <v>3.0</v>
      </c>
    </row>
    <row r="1470">
      <c r="A1470" s="10" t="s">
        <v>7867</v>
      </c>
      <c r="B1470" s="49" t="str">
        <f t="shared" si="1"/>
        <v>Identity Theft</v>
      </c>
      <c r="C1470" s="49" t="str">
        <f t="shared" si="2"/>
        <v>Identity Theft; Obtaining, possessing, transferring, using, selling or purchasing personal identifying information, with intent to defraud, to receive a benefit; monetary loss more than $100,000</v>
      </c>
      <c r="D1470" s="49" t="str">
        <f t="shared" si="3"/>
        <v>21-6107(a)(1)</v>
      </c>
      <c r="E1470" s="11" t="s">
        <v>133</v>
      </c>
      <c r="F1470" s="11">
        <v>3.0</v>
      </c>
      <c r="G1470" s="11">
        <v>3.0</v>
      </c>
      <c r="H1470" s="11">
        <v>3.0</v>
      </c>
      <c r="I1470" s="11">
        <v>3.0</v>
      </c>
    </row>
    <row r="1471">
      <c r="A1471" s="10" t="s">
        <v>7868</v>
      </c>
      <c r="B1471" s="49" t="str">
        <f t="shared" si="1"/>
        <v>Illegal BINGO operation</v>
      </c>
      <c r="C1471" s="49" t="str">
        <f t="shared" si="2"/>
        <v>Illegal BINGO operation; Knowing and unlawful management, operation or conduct of such</v>
      </c>
      <c r="D1471" s="49" t="str">
        <f t="shared" si="3"/>
        <v>21-6405(a)</v>
      </c>
      <c r="E1471" s="11" t="s">
        <v>133</v>
      </c>
      <c r="F1471" s="11">
        <v>3.0</v>
      </c>
      <c r="G1471" s="11">
        <v>3.0</v>
      </c>
      <c r="H1471" s="11">
        <v>3.0</v>
      </c>
      <c r="I1471" s="11">
        <v>3.0</v>
      </c>
    </row>
    <row r="1472">
      <c r="A1472" s="10" t="s">
        <v>7869</v>
      </c>
      <c r="B1472" s="49" t="str">
        <f t="shared" si="1"/>
        <v>Illegal Ownership or Keeping of a Dog</v>
      </c>
      <c r="C1472" s="49" t="str">
        <f t="shared" si="2"/>
        <v>Illegal Ownership or Keeping of a Dog</v>
      </c>
      <c r="D1472" s="49" t="str">
        <f t="shared" si="3"/>
        <v>21-6415(a)</v>
      </c>
      <c r="E1472" s="11" t="s">
        <v>133</v>
      </c>
      <c r="F1472" s="11">
        <v>3.0</v>
      </c>
      <c r="G1472" s="11">
        <v>3.0</v>
      </c>
      <c r="H1472" s="11">
        <v>3.0</v>
      </c>
      <c r="I1472" s="11">
        <v>3.0</v>
      </c>
    </row>
    <row r="1473">
      <c r="A1473" s="10" t="s">
        <v>7870</v>
      </c>
      <c r="B1473" s="49" t="str">
        <f t="shared" si="1"/>
        <v>Illegal Use of Weapons of Mass Destruction</v>
      </c>
      <c r="C1473" s="49" t="str">
        <f t="shared" si="2"/>
        <v>Illegal Use of Weapons of Mass Destruction; Knowingly and without lawful authority, develop, produce, stockpile, transfer, acquire, retain or possess any biological agent toxin or delivery system for use as a weapon, or attempt, conspire or solicit to commit such acts</v>
      </c>
      <c r="D1473" s="49" t="str">
        <f t="shared" si="3"/>
        <v>21-5422(a)(1)(A)</v>
      </c>
      <c r="E1473" s="11" t="s">
        <v>133</v>
      </c>
      <c r="F1473" s="11">
        <v>3.0</v>
      </c>
      <c r="G1473" s="11">
        <v>3.0</v>
      </c>
      <c r="H1473" s="11">
        <v>3.0</v>
      </c>
      <c r="I1473" s="11">
        <v>3.0</v>
      </c>
    </row>
    <row r="1474">
      <c r="A1474" s="10" t="s">
        <v>7871</v>
      </c>
      <c r="B1474" s="49" t="str">
        <f t="shared" si="1"/>
        <v>Illegal Use of Weapons of Mass Destruction</v>
      </c>
      <c r="C1474" s="49" t="str">
        <f t="shared" si="2"/>
        <v>Illegal Use of Weapons of Mass Destruction; Knowingly and without lawful authority, develop, produce, stockpile, transfer, acquire, retain or possess any chemical weapon, or attempt, conspire or solicit to commit such acts</v>
      </c>
      <c r="D1474" s="49" t="str">
        <f t="shared" si="3"/>
        <v>21-5422(a)(1)(B)</v>
      </c>
      <c r="E1474" s="11" t="s">
        <v>133</v>
      </c>
      <c r="F1474" s="11">
        <v>3.0</v>
      </c>
      <c r="G1474" s="11">
        <v>3.0</v>
      </c>
      <c r="H1474" s="11">
        <v>3.0</v>
      </c>
      <c r="I1474" s="11">
        <v>3.0</v>
      </c>
    </row>
    <row r="1475">
      <c r="A1475" s="10" t="s">
        <v>7872</v>
      </c>
      <c r="B1475" s="49" t="str">
        <f t="shared" si="1"/>
        <v>Illegal Use of Weapons of Mass Destruction</v>
      </c>
      <c r="C1475" s="49" t="str">
        <f t="shared" si="2"/>
        <v>Illegal Use of Weapons of Mass Destruction; Knowingly and without lawful authority, develop, produce, stockpile, transfer, acquire, retain or possess any nuclear materials or nuclear byproduct materials for use as a weapon, or attempt, conspire or solicit to commit such acts</v>
      </c>
      <c r="D1475" s="49" t="str">
        <f t="shared" si="3"/>
        <v>21-5422(a)(1)(C)</v>
      </c>
      <c r="E1475" s="11" t="s">
        <v>133</v>
      </c>
      <c r="F1475" s="11">
        <v>3.0</v>
      </c>
      <c r="G1475" s="11">
        <v>3.0</v>
      </c>
      <c r="H1475" s="11">
        <v>3.0</v>
      </c>
      <c r="I1475" s="11">
        <v>3.0</v>
      </c>
    </row>
    <row r="1476">
      <c r="A1476" s="10" t="s">
        <v>7873</v>
      </c>
      <c r="B1476" s="49" t="str">
        <f t="shared" si="1"/>
        <v>Illegal Use of Weapons of Mass Destruction</v>
      </c>
      <c r="C1476" s="49" t="str">
        <f t="shared" si="2"/>
        <v>Illegal Use of Weapons of Mass Destruction; Knowingly assist a foreign state or organization to use WMDs, or attempt, conspire or solicit to commit such acts</v>
      </c>
      <c r="D1476" s="49" t="str">
        <f t="shared" si="3"/>
        <v>21-5422(a)(2)</v>
      </c>
      <c r="E1476" s="11" t="s">
        <v>133</v>
      </c>
      <c r="F1476" s="11">
        <v>3.0</v>
      </c>
      <c r="G1476" s="11">
        <v>3.0</v>
      </c>
      <c r="H1476" s="11">
        <v>3.0</v>
      </c>
      <c r="I1476" s="11">
        <v>3.0</v>
      </c>
    </row>
    <row r="1477">
      <c r="A1477" s="10" t="s">
        <v>7874</v>
      </c>
      <c r="B1477" s="49" t="str">
        <f t="shared" si="1"/>
        <v>Illegal Use of Weapons of Mass Destruction</v>
      </c>
      <c r="C1477" s="49" t="str">
        <f t="shared" si="2"/>
        <v>Illegal Use of Weapons of Mass Destruction; Threaten to use WMDs, or attempt, conspire or solicit to commit such act</v>
      </c>
      <c r="D1477" s="49" t="str">
        <f t="shared" si="3"/>
        <v>21-5422(a)(3)</v>
      </c>
      <c r="E1477" s="11" t="s">
        <v>133</v>
      </c>
      <c r="F1477" s="11">
        <v>3.0</v>
      </c>
      <c r="G1477" s="11">
        <v>3.0</v>
      </c>
      <c r="H1477" s="11">
        <v>3.0</v>
      </c>
      <c r="I1477" s="11">
        <v>3.0</v>
      </c>
    </row>
    <row r="1478">
      <c r="A1478" s="10" t="s">
        <v>7875</v>
      </c>
      <c r="B1478" s="49" t="str">
        <f t="shared" si="1"/>
        <v>Impairing a Security Interest</v>
      </c>
      <c r="C1478" s="49" t="str">
        <f t="shared" si="2"/>
        <v>Impairing a Security Interest; With intent to defraud secured party; Damage, destroy or conceal any personal property subject to a security interest; $25,000 or more</v>
      </c>
      <c r="D1478" s="49" t="str">
        <f t="shared" si="3"/>
        <v>21-5830(a)(1)</v>
      </c>
      <c r="E1478" s="11" t="s">
        <v>133</v>
      </c>
      <c r="F1478" s="11">
        <v>3.0</v>
      </c>
      <c r="G1478" s="11">
        <v>3.0</v>
      </c>
      <c r="H1478" s="11">
        <v>3.0</v>
      </c>
      <c r="I1478" s="11">
        <v>3.0</v>
      </c>
    </row>
    <row r="1479">
      <c r="A1479" s="10" t="s">
        <v>7876</v>
      </c>
      <c r="B1479" s="49" t="str">
        <f t="shared" si="1"/>
        <v>Impairing a Security Interest</v>
      </c>
      <c r="C1479" s="49" t="str">
        <f t="shared" si="2"/>
        <v>Impairing a Security Interest; With intent to defraud secured party; Damage, destroy or conceal any personal property subject to a security interest; at least $1000 but less than $25, 000</v>
      </c>
      <c r="D1479" s="49" t="str">
        <f t="shared" si="3"/>
        <v>21-5830(a)(1)</v>
      </c>
      <c r="E1479" s="11" t="s">
        <v>133</v>
      </c>
      <c r="F1479" s="11">
        <v>3.0</v>
      </c>
      <c r="G1479" s="11">
        <v>3.0</v>
      </c>
      <c r="H1479" s="11">
        <v>3.0</v>
      </c>
      <c r="I1479" s="11">
        <v>3.0</v>
      </c>
    </row>
    <row r="1480">
      <c r="A1480" s="10" t="s">
        <v>7877</v>
      </c>
      <c r="B1480" s="49" t="str">
        <f t="shared" si="1"/>
        <v>Impairing a Security Interest</v>
      </c>
      <c r="C1480" s="49" t="str">
        <f t="shared" si="2"/>
        <v>Impairing a Security Interest; With intent to defraud secured party; Fail to account for the proceeds of the sale, exchange or other disposition of any personal property subject to a security interest; $25,000 or more</v>
      </c>
      <c r="D1480" s="49" t="str">
        <f t="shared" si="3"/>
        <v>21-5830(a)(3)</v>
      </c>
      <c r="E1480" s="11" t="s">
        <v>133</v>
      </c>
      <c r="F1480" s="11">
        <v>3.0</v>
      </c>
      <c r="G1480" s="11">
        <v>3.0</v>
      </c>
      <c r="H1480" s="11">
        <v>3.0</v>
      </c>
      <c r="I1480" s="11">
        <v>3.0</v>
      </c>
    </row>
    <row r="1481">
      <c r="A1481" s="10" t="s">
        <v>7878</v>
      </c>
      <c r="B1481" s="49" t="str">
        <f t="shared" si="1"/>
        <v>Impairing a Security Interest</v>
      </c>
      <c r="C1481" s="49" t="str">
        <f t="shared" si="2"/>
        <v>Impairing a Security Interest; With intent to defraud secured party; Fail to account for the proceeds of the sale, exchange or other disposition of any personal property subject to a security interest; at least $1,000 but less than $25,000</v>
      </c>
      <c r="D1481" s="49" t="str">
        <f t="shared" si="3"/>
        <v>21-5830(a)(3)</v>
      </c>
      <c r="E1481" s="11" t="s">
        <v>133</v>
      </c>
      <c r="F1481" s="11">
        <v>3.0</v>
      </c>
      <c r="G1481" s="11">
        <v>3.0</v>
      </c>
      <c r="H1481" s="11">
        <v>3.0</v>
      </c>
      <c r="I1481" s="11">
        <v>3.0</v>
      </c>
    </row>
    <row r="1482">
      <c r="A1482" s="10" t="s">
        <v>7879</v>
      </c>
      <c r="B1482" s="49" t="str">
        <f t="shared" si="1"/>
        <v>Impairing a Security Interest</v>
      </c>
      <c r="C1482" s="49" t="str">
        <f t="shared" si="2"/>
        <v>Impairing a Security Interest; With intent to defraud secured party; Sell, exchange or otherwise dispose of any personal property subject to a security interest without consent of secured party; $25,000 or more</v>
      </c>
      <c r="D1482" s="49" t="str">
        <f t="shared" si="3"/>
        <v>21-5830(a)(2)</v>
      </c>
      <c r="E1482" s="11" t="s">
        <v>133</v>
      </c>
      <c r="F1482" s="11">
        <v>3.0</v>
      </c>
      <c r="G1482" s="11">
        <v>3.0</v>
      </c>
      <c r="H1482" s="11">
        <v>3.0</v>
      </c>
      <c r="I1482" s="11">
        <v>3.0</v>
      </c>
    </row>
    <row r="1483">
      <c r="A1483" s="10" t="s">
        <v>7880</v>
      </c>
      <c r="B1483" s="49" t="str">
        <f t="shared" si="1"/>
        <v>Impairing a Security Interest</v>
      </c>
      <c r="C1483" s="49" t="str">
        <f t="shared" si="2"/>
        <v>Impairing a Security Interest; With intent to defraud secured party; Sell, exchange or otherwise dispose of any personal property subject to a security interest without consent of secured party; at least $1,000 but less than $25,000</v>
      </c>
      <c r="D1483" s="49" t="str">
        <f t="shared" si="3"/>
        <v>21-5830(a)(2)</v>
      </c>
      <c r="E1483" s="11" t="s">
        <v>133</v>
      </c>
      <c r="F1483" s="11">
        <v>3.0</v>
      </c>
      <c r="G1483" s="11">
        <v>3.0</v>
      </c>
      <c r="H1483" s="11">
        <v>3.0</v>
      </c>
      <c r="I1483" s="11">
        <v>3.0</v>
      </c>
    </row>
    <row r="1484">
      <c r="A1484" s="10" t="s">
        <v>7881</v>
      </c>
      <c r="B1484" s="49" t="str">
        <f t="shared" si="1"/>
        <v>Impairing a Security Interest</v>
      </c>
      <c r="C1484" s="49" t="str">
        <f t="shared" si="2"/>
        <v>Impairing a Security Interest; With intent to defraud the secured party; Damaging, destroying or concealing any personal property subject to a security interest; value less than $1,000 or security interest less than $1000</v>
      </c>
      <c r="D1484" s="49" t="str">
        <f t="shared" si="3"/>
        <v>21-5830(a)(1)</v>
      </c>
      <c r="E1484" s="11" t="s">
        <v>133</v>
      </c>
      <c r="F1484" s="11">
        <v>3.0</v>
      </c>
      <c r="G1484" s="11">
        <v>3.0</v>
      </c>
      <c r="H1484" s="11">
        <v>3.0</v>
      </c>
      <c r="I1484" s="11">
        <v>3.0</v>
      </c>
    </row>
    <row r="1485">
      <c r="A1485" s="10" t="s">
        <v>7882</v>
      </c>
      <c r="B1485" s="49" t="str">
        <f t="shared" si="1"/>
        <v>Impairing a Security Interest</v>
      </c>
      <c r="C1485" s="49" t="str">
        <f t="shared" si="2"/>
        <v>Impairing a Security Interest; With intent to defraud the secured party; Failure to account to the secured party for the proceeds of the sale, exchange or other disposition of any personal property subject to a security interest; value less than $1,000 or security interest less than $1,000</v>
      </c>
      <c r="D1485" s="49" t="str">
        <f t="shared" si="3"/>
        <v>21-5830(a)(3)</v>
      </c>
      <c r="E1485" s="11" t="s">
        <v>133</v>
      </c>
      <c r="F1485" s="11">
        <v>3.0</v>
      </c>
      <c r="G1485" s="11">
        <v>3.0</v>
      </c>
      <c r="H1485" s="11">
        <v>3.0</v>
      </c>
      <c r="I1485" s="11">
        <v>3.0</v>
      </c>
    </row>
    <row r="1486">
      <c r="A1486" s="10" t="s">
        <v>7883</v>
      </c>
      <c r="B1486" s="49" t="str">
        <f t="shared" si="1"/>
        <v>Impairing a Security Interest</v>
      </c>
      <c r="C1486" s="49" t="str">
        <f t="shared" si="2"/>
        <v>Impairing a Security Interest; With intent to defraud the secured party; Unauthorized selling, exchanging or otherwise disposing of any personal property subject to a security interest without the written consent of the secured party; value less than $1,000 or security interest less than $1,000</v>
      </c>
      <c r="D1486" s="49" t="str">
        <f t="shared" si="3"/>
        <v>21-5830(a)(2)</v>
      </c>
      <c r="E1486" s="11" t="s">
        <v>133</v>
      </c>
      <c r="F1486" s="11">
        <v>3.0</v>
      </c>
      <c r="G1486" s="11">
        <v>3.0</v>
      </c>
      <c r="H1486" s="11">
        <v>3.0</v>
      </c>
      <c r="I1486" s="11">
        <v>3.0</v>
      </c>
    </row>
    <row r="1487">
      <c r="A1487" s="10" t="s">
        <v>7884</v>
      </c>
      <c r="B1487" s="49" t="str">
        <f t="shared" si="1"/>
        <v>Incest</v>
      </c>
      <c r="C1487" s="49" t="str">
        <f t="shared" si="2"/>
        <v>Incest; Marriage to or engaging in sexual intercourse or sodomy with a person who is 18 or more and a known biological relative</v>
      </c>
      <c r="D1487" s="49" t="str">
        <f t="shared" si="3"/>
        <v>21-5604(a)</v>
      </c>
      <c r="E1487" s="11" t="s">
        <v>133</v>
      </c>
      <c r="F1487" s="11">
        <v>3.0</v>
      </c>
      <c r="G1487" s="11">
        <v>3.0</v>
      </c>
      <c r="H1487" s="11">
        <v>3.0</v>
      </c>
      <c r="I1487" s="11">
        <v>3.0</v>
      </c>
    </row>
    <row r="1488">
      <c r="A1488" s="10" t="s">
        <v>7885</v>
      </c>
      <c r="B1488" s="49" t="str">
        <f t="shared" si="1"/>
        <v>Incitement to Riot</v>
      </c>
      <c r="C1488" s="49" t="str">
        <f t="shared" si="2"/>
        <v>Incitement to Riot</v>
      </c>
      <c r="D1488" s="49" t="str">
        <f t="shared" si="3"/>
        <v>21-6201(b)</v>
      </c>
      <c r="E1488" s="11" t="s">
        <v>133</v>
      </c>
      <c r="F1488" s="11">
        <v>3.0</v>
      </c>
      <c r="G1488" s="11">
        <v>3.0</v>
      </c>
      <c r="H1488" s="11">
        <v>3.0</v>
      </c>
      <c r="I1488" s="11">
        <v>3.0</v>
      </c>
    </row>
    <row r="1489">
      <c r="A1489" s="10" t="s">
        <v>7886</v>
      </c>
      <c r="B1489" s="49" t="str">
        <f t="shared" si="1"/>
        <v>Income Tax Returns</v>
      </c>
      <c r="C1489" s="49" t="str">
        <f t="shared" si="2"/>
        <v>Income Tax Returns; Unauthorized disclosure or use of information for commercial purposes</v>
      </c>
      <c r="D1489" s="49" t="str">
        <f t="shared" si="3"/>
        <v>21-6104(a)</v>
      </c>
      <c r="E1489" s="11" t="s">
        <v>133</v>
      </c>
      <c r="F1489" s="11">
        <v>3.0</v>
      </c>
      <c r="G1489" s="11">
        <v>3.0</v>
      </c>
      <c r="H1489" s="11">
        <v>3.0</v>
      </c>
      <c r="I1489" s="11">
        <v>3.0</v>
      </c>
    </row>
    <row r="1490">
      <c r="A1490" s="10" t="s">
        <v>7887</v>
      </c>
      <c r="B1490" s="49" t="str">
        <f t="shared" si="1"/>
        <v>Installing Communications Facilities for Gamblers</v>
      </c>
      <c r="C1490" s="49" t="str">
        <f t="shared" si="2"/>
        <v>Installing Communications Facilities for Gamblers; Allowing continued use of communication facilities knowing they are being used principally for transferring information for making or settling bets</v>
      </c>
      <c r="D1490" s="49" t="str">
        <f t="shared" si="3"/>
        <v>21-6409(a)(3)</v>
      </c>
      <c r="E1490" s="11" t="s">
        <v>133</v>
      </c>
      <c r="F1490" s="11">
        <v>3.0</v>
      </c>
      <c r="G1490" s="11">
        <v>3.0</v>
      </c>
      <c r="H1490" s="11">
        <v>3.0</v>
      </c>
      <c r="I1490" s="11">
        <v>3.0</v>
      </c>
    </row>
    <row r="1491">
      <c r="A1491" s="10" t="s">
        <v>7888</v>
      </c>
      <c r="B1491" s="49" t="str">
        <f t="shared" si="1"/>
        <v>Installing Communications Facilities for Gamblers</v>
      </c>
      <c r="C1491" s="49" t="str">
        <f t="shared" si="2"/>
        <v>Installing Communications Facilities for Gamblers; Knowing that such facilities will be used principally for transferring information to be used in making or settling bets</v>
      </c>
      <c r="D1491" s="49" t="str">
        <f t="shared" si="3"/>
        <v>21-6409(a)(2)</v>
      </c>
      <c r="E1491" s="11" t="s">
        <v>133</v>
      </c>
      <c r="F1491" s="11">
        <v>3.0</v>
      </c>
      <c r="G1491" s="11">
        <v>3.0</v>
      </c>
      <c r="H1491" s="11">
        <v>3.0</v>
      </c>
      <c r="I1491" s="11">
        <v>3.0</v>
      </c>
    </row>
    <row r="1492">
      <c r="A1492" s="10" t="s">
        <v>7889</v>
      </c>
      <c r="B1492" s="49" t="str">
        <f t="shared" si="1"/>
        <v>Installing Communications Facilities for Gamblers</v>
      </c>
      <c r="C1492" s="49" t="str">
        <f t="shared" si="2"/>
        <v>Installing Communications Facilities for Gamblers; Within a place known by installer to be a gambling place</v>
      </c>
      <c r="D1492" s="49" t="str">
        <f t="shared" si="3"/>
        <v>21-6409(a)(1)</v>
      </c>
      <c r="E1492" s="11" t="s">
        <v>133</v>
      </c>
      <c r="F1492" s="11">
        <v>3.0</v>
      </c>
      <c r="G1492" s="11">
        <v>3.0</v>
      </c>
      <c r="H1492" s="11">
        <v>3.0</v>
      </c>
      <c r="I1492" s="11">
        <v>3.0</v>
      </c>
    </row>
    <row r="1493">
      <c r="A1493" s="10" t="s">
        <v>7890</v>
      </c>
      <c r="B1493" s="49" t="str">
        <f t="shared" si="1"/>
        <v>Insurance Holding Company Act</v>
      </c>
      <c r="C1493" s="49" t="str">
        <f t="shared" si="2"/>
        <v>Insurance Holding Company Act; Making false statements, reports or filings with intent to deceive the commissioner</v>
      </c>
      <c r="D1493" s="49" t="str">
        <f t="shared" si="3"/>
        <v>40-3311</v>
      </c>
      <c r="E1493" s="11" t="s">
        <v>133</v>
      </c>
      <c r="F1493" s="11">
        <v>3.0</v>
      </c>
      <c r="G1493" s="11">
        <v>3.0</v>
      </c>
      <c r="H1493" s="11">
        <v>3.0</v>
      </c>
      <c r="I1493" s="11">
        <v>3.0</v>
      </c>
    </row>
    <row r="1494">
      <c r="A1494" s="10" t="s">
        <v>7891</v>
      </c>
      <c r="B1494" s="49" t="str">
        <f t="shared" si="1"/>
        <v>Insurance Holding Company Act</v>
      </c>
      <c r="C1494" s="49" t="str">
        <f t="shared" si="2"/>
        <v>Insurance Holding Company Act; Willful violation of the act by a director, officer, employee or agent</v>
      </c>
      <c r="D1494" s="49" t="str">
        <f t="shared" si="3"/>
        <v>40-3311</v>
      </c>
      <c r="E1494" s="11" t="s">
        <v>133</v>
      </c>
      <c r="F1494" s="11">
        <v>3.0</v>
      </c>
      <c r="G1494" s="11">
        <v>3.0</v>
      </c>
      <c r="H1494" s="11">
        <v>3.0</v>
      </c>
      <c r="I1494" s="11">
        <v>3.0</v>
      </c>
    </row>
    <row r="1495">
      <c r="A1495" s="10" t="s">
        <v>7892</v>
      </c>
      <c r="B1495" s="49" t="str">
        <f t="shared" si="1"/>
        <v>Insurance</v>
      </c>
      <c r="C1495" s="49" t="str">
        <f t="shared" si="2"/>
        <v>Insurance; Fraud; knowingly/willfully make any false or fraudulent statement/representation in or with reference to any application for life insurance, or for the purpose of obtaining any fee, commission, money or benefits from any company transacting business under this act</v>
      </c>
      <c r="D1495" s="49" t="str">
        <f t="shared" si="3"/>
        <v>40-417</v>
      </c>
      <c r="E1495" s="11" t="s">
        <v>133</v>
      </c>
      <c r="F1495" s="11">
        <v>3.0</v>
      </c>
      <c r="G1495" s="11">
        <v>3.0</v>
      </c>
      <c r="H1495" s="11">
        <v>3.0</v>
      </c>
      <c r="I1495" s="11">
        <v>3.0</v>
      </c>
    </row>
    <row r="1496">
      <c r="A1496" s="10" t="s">
        <v>7893</v>
      </c>
      <c r="B1496" s="49" t="str">
        <f t="shared" si="1"/>
        <v>Insurance</v>
      </c>
      <c r="C1496" s="49" t="str">
        <f t="shared" si="2"/>
        <v>Insurance; Fraudulent Acts; $25,000 or more</v>
      </c>
      <c r="D1496" s="49" t="str">
        <f t="shared" si="3"/>
        <v>40-2,118(a)</v>
      </c>
      <c r="E1496" s="11" t="s">
        <v>133</v>
      </c>
      <c r="F1496" s="11">
        <v>3.0</v>
      </c>
      <c r="G1496" s="11">
        <v>3.0</v>
      </c>
      <c r="H1496" s="11">
        <v>3.0</v>
      </c>
      <c r="I1496" s="11">
        <v>3.0</v>
      </c>
    </row>
    <row r="1497">
      <c r="A1497" s="10" t="s">
        <v>7894</v>
      </c>
      <c r="B1497" s="49" t="str">
        <f t="shared" si="1"/>
        <v>Insurance</v>
      </c>
      <c r="C1497" s="49" t="str">
        <f t="shared" si="2"/>
        <v>Insurance; Fraudulent Acts; an amount less than $1,000</v>
      </c>
      <c r="D1497" s="49" t="str">
        <f t="shared" si="3"/>
        <v>40-2,118(a)</v>
      </c>
      <c r="E1497" s="11" t="s">
        <v>133</v>
      </c>
      <c r="F1497" s="11">
        <v>3.0</v>
      </c>
      <c r="G1497" s="11">
        <v>3.0</v>
      </c>
      <c r="H1497" s="11">
        <v>3.0</v>
      </c>
      <c r="I1497" s="11">
        <v>3.0</v>
      </c>
    </row>
    <row r="1498">
      <c r="A1498" s="10" t="s">
        <v>7895</v>
      </c>
      <c r="B1498" s="49" t="str">
        <f t="shared" si="1"/>
        <v>Insurance</v>
      </c>
      <c r="C1498" s="49" t="str">
        <f t="shared" si="2"/>
        <v>Insurance; Fraudulent Acts; at least $1,000 but less than $5,000</v>
      </c>
      <c r="D1498" s="49" t="str">
        <f t="shared" si="3"/>
        <v>40-2,118(a)</v>
      </c>
      <c r="E1498" s="11" t="s">
        <v>133</v>
      </c>
      <c r="F1498" s="11">
        <v>3.0</v>
      </c>
      <c r="G1498" s="11">
        <v>3.0</v>
      </c>
      <c r="H1498" s="11">
        <v>3.0</v>
      </c>
      <c r="I1498" s="11">
        <v>3.0</v>
      </c>
    </row>
    <row r="1499">
      <c r="A1499" s="10" t="s">
        <v>7896</v>
      </c>
      <c r="B1499" s="49" t="str">
        <f t="shared" si="1"/>
        <v>Insurance</v>
      </c>
      <c r="C1499" s="49" t="str">
        <f t="shared" si="2"/>
        <v>Insurance; Fraudulent Acts; at least $5,000 but less than $25,000</v>
      </c>
      <c r="D1499" s="49" t="str">
        <f t="shared" si="3"/>
        <v>40-2,118(a)</v>
      </c>
      <c r="E1499" s="11" t="s">
        <v>133</v>
      </c>
      <c r="F1499" s="11">
        <v>3.0</v>
      </c>
      <c r="G1499" s="11">
        <v>3.0</v>
      </c>
      <c r="H1499" s="11">
        <v>3.0</v>
      </c>
      <c r="I1499" s="11">
        <v>3.0</v>
      </c>
    </row>
    <row r="1500">
      <c r="A1500" s="10" t="s">
        <v>7897</v>
      </c>
      <c r="B1500" s="49" t="str">
        <f t="shared" si="1"/>
        <v>Insurance</v>
      </c>
      <c r="C1500" s="49" t="str">
        <f t="shared" si="2"/>
        <v>Insurance; Insurance agent or broker failure to pay premium; $25,000 or more</v>
      </c>
      <c r="D1500" s="49" t="str">
        <f t="shared" si="3"/>
        <v>40-247(a)</v>
      </c>
      <c r="E1500" s="11" t="s">
        <v>133</v>
      </c>
      <c r="F1500" s="11">
        <v>3.0</v>
      </c>
      <c r="G1500" s="11">
        <v>3.0</v>
      </c>
      <c r="H1500" s="11">
        <v>3.0</v>
      </c>
      <c r="I1500" s="11">
        <v>3.0</v>
      </c>
    </row>
    <row r="1501">
      <c r="A1501" s="10" t="s">
        <v>7898</v>
      </c>
      <c r="B1501" s="49" t="str">
        <f t="shared" si="1"/>
        <v>Insurance</v>
      </c>
      <c r="C1501" s="49" t="str">
        <f t="shared" si="2"/>
        <v>Insurance; Insurance agent or broker failure to pay premium; at least $1000 less than $25,000</v>
      </c>
      <c r="D1501" s="49" t="str">
        <f t="shared" si="3"/>
        <v>40-247(a)</v>
      </c>
      <c r="E1501" s="11" t="s">
        <v>133</v>
      </c>
      <c r="F1501" s="11">
        <v>3.0</v>
      </c>
      <c r="G1501" s="11">
        <v>3.0</v>
      </c>
      <c r="H1501" s="11">
        <v>3.0</v>
      </c>
      <c r="I1501" s="11">
        <v>3.0</v>
      </c>
    </row>
    <row r="1502">
      <c r="A1502" s="10" t="s">
        <v>7899</v>
      </c>
      <c r="B1502" s="49" t="str">
        <f t="shared" si="1"/>
        <v>Insurance</v>
      </c>
      <c r="C1502" s="49" t="str">
        <f t="shared" si="2"/>
        <v>Insurance; Insurance agent or broker failure to pay premium; premium is less than $1000 and agent or broker has been convicted of this two or more times within 5 yrs</v>
      </c>
      <c r="D1502" s="49" t="str">
        <f t="shared" si="3"/>
        <v>40-247(a)</v>
      </c>
      <c r="E1502" s="11" t="s">
        <v>133</v>
      </c>
      <c r="F1502" s="11">
        <v>3.0</v>
      </c>
      <c r="G1502" s="11">
        <v>3.0</v>
      </c>
      <c r="H1502" s="11">
        <v>3.0</v>
      </c>
      <c r="I1502" s="11">
        <v>3.0</v>
      </c>
    </row>
    <row r="1503">
      <c r="A1503" s="10" t="s">
        <v>7900</v>
      </c>
      <c r="B1503" s="49" t="str">
        <f t="shared" si="1"/>
        <v>Insurance</v>
      </c>
      <c r="C1503" s="49" t="str">
        <f t="shared" si="2"/>
        <v>Insurance; Insurer or broker failing to pay premium to company; loss of &lt; $1000</v>
      </c>
      <c r="D1503" s="49" t="str">
        <f t="shared" si="3"/>
        <v>40-247(a)</v>
      </c>
      <c r="E1503" s="11" t="s">
        <v>133</v>
      </c>
      <c r="F1503" s="11">
        <v>3.0</v>
      </c>
      <c r="G1503" s="11">
        <v>3.0</v>
      </c>
      <c r="H1503" s="11">
        <v>3.0</v>
      </c>
      <c r="I1503" s="11">
        <v>3.0</v>
      </c>
    </row>
    <row r="1504">
      <c r="A1504" s="10" t="s">
        <v>7901</v>
      </c>
      <c r="B1504" s="49" t="str">
        <f t="shared" si="1"/>
        <v>Interference With Conduct of Public Business</v>
      </c>
      <c r="C1504" s="49" t="str">
        <f t="shared" si="2"/>
        <v>Interference With Conduct of Public Business; Knowingly deny to any public official, public employee, or any invitee on such premises, the lawful rights of such official, employee, or invitee to enter, to use the facilities or to leave any such public building</v>
      </c>
      <c r="D1504" s="49" t="str">
        <f t="shared" si="3"/>
        <v>21-5922(a)(1)</v>
      </c>
      <c r="E1504" s="11" t="s">
        <v>133</v>
      </c>
      <c r="F1504" s="11">
        <v>3.0</v>
      </c>
      <c r="G1504" s="11">
        <v>3.0</v>
      </c>
      <c r="H1504" s="11">
        <v>3.0</v>
      </c>
      <c r="I1504" s="11">
        <v>3.0</v>
      </c>
    </row>
    <row r="1505">
      <c r="A1505" s="10" t="s">
        <v>7902</v>
      </c>
      <c r="B1505" s="49" t="str">
        <f t="shared" si="1"/>
        <v>Interference With Conduct of Public Business</v>
      </c>
      <c r="C1505" s="49" t="str">
        <f t="shared" si="2"/>
        <v>Interference With Conduct of Public Business; Knowingly impede any public official or employee in the lawful performance of duties or activities through the use of restraint, abduction, coercion, or intimidation or by force and violence or threat thereof</v>
      </c>
      <c r="D1505" s="49" t="str">
        <f t="shared" si="3"/>
        <v>21-5922(a)(2)</v>
      </c>
      <c r="E1505" s="11" t="s">
        <v>133</v>
      </c>
      <c r="F1505" s="11">
        <v>3.0</v>
      </c>
      <c r="G1505" s="11">
        <v>3.0</v>
      </c>
      <c r="H1505" s="11">
        <v>3.0</v>
      </c>
      <c r="I1505" s="11">
        <v>3.0</v>
      </c>
    </row>
    <row r="1506">
      <c r="A1506" s="10" t="s">
        <v>7903</v>
      </c>
      <c r="B1506" s="49" t="str">
        <f t="shared" si="1"/>
        <v>Interference With Conduct of Public Business</v>
      </c>
      <c r="C1506" s="49" t="str">
        <f t="shared" si="2"/>
        <v>Interference With Conduct of Public Business; Knowingly impede, disrupt or hinder the normal proceedings of any executive body or official, by any act of intrusion</v>
      </c>
      <c r="D1506" s="49" t="str">
        <f t="shared" si="3"/>
        <v>21-5922(a)(5)</v>
      </c>
      <c r="E1506" s="11" t="s">
        <v>133</v>
      </c>
      <c r="F1506" s="11">
        <v>3.0</v>
      </c>
      <c r="G1506" s="11">
        <v>3.0</v>
      </c>
      <c r="H1506" s="11">
        <v>3.0</v>
      </c>
      <c r="I1506" s="11">
        <v>3.0</v>
      </c>
    </row>
    <row r="1507">
      <c r="A1507" s="10" t="s">
        <v>7904</v>
      </c>
      <c r="B1507" s="49" t="str">
        <f t="shared" si="1"/>
        <v>Interference With Conduct of Public Business</v>
      </c>
      <c r="C1507" s="49" t="str">
        <f t="shared" si="2"/>
        <v>Interference With Conduct of Public Business; Knowingly impede, disrupt or hinder the normal proceedings of any meeting or session conducted by a judicial or legislative body or official, by any act of intrusion or by any act designed to intimidate, coerce or hinder any member of such body or any official engaged in the performance of duties at such meeting or session</v>
      </c>
      <c r="D1507" s="49" t="str">
        <f t="shared" si="3"/>
        <v>21-5922(a)(4)</v>
      </c>
      <c r="E1507" s="11" t="s">
        <v>133</v>
      </c>
      <c r="F1507" s="11">
        <v>3.0</v>
      </c>
      <c r="G1507" s="11">
        <v>3.0</v>
      </c>
      <c r="H1507" s="11">
        <v>3.0</v>
      </c>
      <c r="I1507" s="11">
        <v>3.0</v>
      </c>
    </row>
    <row r="1508">
      <c r="A1508" s="10" t="s">
        <v>7905</v>
      </c>
      <c r="B1508" s="49" t="str">
        <f t="shared" si="1"/>
        <v>Interference With Conduct of Public Business</v>
      </c>
      <c r="C1508" s="49" t="str">
        <f t="shared" si="2"/>
        <v>Interference With Conduct of Public Business; Knowingly refuse or fail to leave any public building upon being requested to do so by the chief administrative officer if such person is committing, threatens to commit, or incites others to commit, any act which did or would if completed, disrupt, impair, interfere with, or obstruct the lawful missions, processes, procedures or functions being carried on in such public building</v>
      </c>
      <c r="D1508" s="49" t="str">
        <f t="shared" si="3"/>
        <v>21-5922(a)(3)</v>
      </c>
      <c r="E1508" s="11" t="s">
        <v>133</v>
      </c>
      <c r="F1508" s="11">
        <v>3.0</v>
      </c>
      <c r="G1508" s="11">
        <v>3.0</v>
      </c>
      <c r="H1508" s="11">
        <v>3.0</v>
      </c>
      <c r="I1508" s="11">
        <v>3.0</v>
      </c>
    </row>
    <row r="1509">
      <c r="A1509" s="10" t="s">
        <v>7906</v>
      </c>
      <c r="B1509" s="49" t="str">
        <f t="shared" si="1"/>
        <v>Interference With Custody</v>
      </c>
      <c r="C1509" s="49" t="str">
        <f t="shared" si="2"/>
        <v>Interference With Custody; Of a committed person</v>
      </c>
      <c r="D1509" s="49" t="str">
        <f t="shared" si="3"/>
        <v>21-5410(a)</v>
      </c>
      <c r="E1509" s="11" t="s">
        <v>133</v>
      </c>
      <c r="F1509" s="11">
        <v>3.0</v>
      </c>
      <c r="G1509" s="11">
        <v>3.0</v>
      </c>
      <c r="H1509" s="11">
        <v>3.0</v>
      </c>
      <c r="I1509" s="11">
        <v>3.0</v>
      </c>
    </row>
    <row r="1510">
      <c r="A1510" s="10" t="s">
        <v>7907</v>
      </c>
      <c r="B1510" s="49" t="str">
        <f t="shared" si="1"/>
        <v>Interference with Law Enforcement</v>
      </c>
      <c r="C1510" s="49" t="str">
        <f t="shared" si="2"/>
        <v>Interference with Law Enforcement; Falsely reporting death or disappearance of a child under 13 and intending that officer shall act in reliance upon such information</v>
      </c>
      <c r="D1510" s="49" t="str">
        <f t="shared" si="3"/>
        <v>21-5904(a)(1)(D)</v>
      </c>
      <c r="E1510" s="11" t="s">
        <v>133</v>
      </c>
      <c r="F1510" s="11">
        <v>3.0</v>
      </c>
      <c r="G1510" s="11">
        <v>3.0</v>
      </c>
      <c r="H1510" s="11">
        <v>3.0</v>
      </c>
      <c r="I1510" s="11">
        <v>3.0</v>
      </c>
    </row>
    <row r="1511">
      <c r="A1511" s="10" t="s">
        <v>7908</v>
      </c>
      <c r="B1511" s="49" t="str">
        <f t="shared" si="1"/>
        <v>Interference with Law Enforcement</v>
      </c>
      <c r="C1511" s="49" t="str">
        <f t="shared" si="2"/>
        <v>Interference with Law Enforcement; In the case of a felony; Concealing, destroying or materially altering evidence with intent to prevent or hinder the apprehension or prosecution of a person</v>
      </c>
      <c r="D1511" s="49" t="str">
        <f t="shared" si="3"/>
        <v>21-5904(a)(2)</v>
      </c>
      <c r="E1511" s="11" t="s">
        <v>133</v>
      </c>
      <c r="F1511" s="11">
        <v>3.0</v>
      </c>
      <c r="G1511" s="11">
        <v>3.0</v>
      </c>
      <c r="H1511" s="11">
        <v>3.0</v>
      </c>
      <c r="I1511" s="11">
        <v>3.0</v>
      </c>
    </row>
    <row r="1512">
      <c r="A1512" s="10" t="s">
        <v>7909</v>
      </c>
      <c r="B1512" s="49" t="str">
        <f t="shared" si="1"/>
        <v>Interference with Law Enforcement</v>
      </c>
      <c r="C1512" s="49" t="str">
        <f t="shared" si="2"/>
        <v>Interference with Law Enforcement; In the case of a felony; Falsely reporting to law enforcement officer or state investigative agency any information, knowing that such information is false and intending to influence, impede or obstruct such officer's or agency's duty</v>
      </c>
      <c r="D1512" s="49" t="str">
        <f t="shared" si="3"/>
        <v>21-5904(a)(1)(C)</v>
      </c>
      <c r="E1512" s="11" t="s">
        <v>133</v>
      </c>
      <c r="F1512" s="11">
        <v>3.0</v>
      </c>
      <c r="G1512" s="11">
        <v>3.0</v>
      </c>
      <c r="H1512" s="11">
        <v>3.0</v>
      </c>
      <c r="I1512" s="11">
        <v>3.0</v>
      </c>
    </row>
    <row r="1513">
      <c r="A1513" s="10" t="s">
        <v>7910</v>
      </c>
      <c r="B1513" s="49" t="str">
        <f t="shared" si="1"/>
        <v>Interference with Law Enforcement</v>
      </c>
      <c r="C1513" s="49" t="str">
        <f t="shared" si="2"/>
        <v>Interference with Law Enforcement; In the case of a felony; Falsely reporting to law enforcement officer or state investigative agency that a law enforcement officer has commited a crime or misconduct in such officer's duties knowing such information is false and intending that the officer or agency act in reliance on such information</v>
      </c>
      <c r="D1513" s="49" t="str">
        <f t="shared" si="3"/>
        <v>21-5904(a)(1)(B)</v>
      </c>
      <c r="E1513" s="11" t="s">
        <v>133</v>
      </c>
      <c r="F1513" s="11">
        <v>3.0</v>
      </c>
      <c r="G1513" s="11">
        <v>3.0</v>
      </c>
      <c r="H1513" s="11">
        <v>3.0</v>
      </c>
      <c r="I1513" s="11">
        <v>3.0</v>
      </c>
    </row>
    <row r="1514">
      <c r="A1514" s="10" t="s">
        <v>7911</v>
      </c>
      <c r="B1514" s="49" t="str">
        <f t="shared" si="1"/>
        <v>Interference with Law Enforcement</v>
      </c>
      <c r="C1514" s="49" t="str">
        <f t="shared" si="2"/>
        <v>Interference with Law Enforcement; In the case of a felony; Falsely reporting to law enforcement officer or state investigative agency that person has committed a crime, knowing the information is false and intending that the officer or agency act in reliance on that information</v>
      </c>
      <c r="D1514" s="49" t="str">
        <f t="shared" si="3"/>
        <v>21-5904(a)(1)(A)</v>
      </c>
      <c r="E1514" s="11" t="s">
        <v>133</v>
      </c>
      <c r="F1514" s="11">
        <v>3.0</v>
      </c>
      <c r="G1514" s="11">
        <v>3.0</v>
      </c>
      <c r="H1514" s="11">
        <v>3.0</v>
      </c>
      <c r="I1514" s="11">
        <v>3.0</v>
      </c>
    </row>
    <row r="1515">
      <c r="A1515" s="10" t="s">
        <v>7912</v>
      </c>
      <c r="B1515" s="49" t="str">
        <f t="shared" si="1"/>
        <v>Interference with Law Enforcement</v>
      </c>
      <c r="C1515" s="49" t="str">
        <f t="shared" si="2"/>
        <v>Interference with Law Enforcement; In the case of a felony; Knowingly obstruct, resist or oppose any person authorized by law to serve process in service or attempt to serve any writ, warrant, process or order of court or in discharge of any official duty</v>
      </c>
      <c r="D1515" s="49" t="str">
        <f t="shared" si="3"/>
        <v>21-5904(a)(3)</v>
      </c>
      <c r="E1515" s="11" t="s">
        <v>133</v>
      </c>
      <c r="F1515" s="11">
        <v>3.0</v>
      </c>
      <c r="G1515" s="11">
        <v>3.0</v>
      </c>
      <c r="H1515" s="11">
        <v>3.0</v>
      </c>
      <c r="I1515" s="11">
        <v>3.0</v>
      </c>
    </row>
    <row r="1516">
      <c r="A1516" s="10" t="s">
        <v>7913</v>
      </c>
      <c r="B1516" s="49" t="str">
        <f t="shared" si="1"/>
        <v>Interference with Law Enforcement</v>
      </c>
      <c r="C1516" s="49" t="str">
        <f t="shared" si="2"/>
        <v>Interference with Law Enforcement; In the case of a misdemeanor; Concealing, destroying or materially altering evidence with intent to prevent or hinder the apprehension or prosecution of a person</v>
      </c>
      <c r="D1516" s="49" t="str">
        <f t="shared" si="3"/>
        <v>21-5904(a)(2)</v>
      </c>
      <c r="E1516" s="11" t="s">
        <v>133</v>
      </c>
      <c r="F1516" s="11">
        <v>3.0</v>
      </c>
      <c r="G1516" s="11">
        <v>3.0</v>
      </c>
      <c r="H1516" s="11">
        <v>3.0</v>
      </c>
      <c r="I1516" s="11">
        <v>3.0</v>
      </c>
    </row>
    <row r="1517">
      <c r="A1517" s="10" t="s">
        <v>7914</v>
      </c>
      <c r="B1517" s="49" t="str">
        <f t="shared" si="1"/>
        <v>Interference with Law Enforcement</v>
      </c>
      <c r="C1517" s="49" t="str">
        <f t="shared" si="2"/>
        <v>Interference with Law Enforcement; In the case of a misdemeanor; Falsely reporting to law enforcement officer or state investigative agency any information, knowing that such information is false and intending to influence, impede or obstruct such officer's or agency's duty</v>
      </c>
      <c r="D1517" s="49" t="str">
        <f t="shared" si="3"/>
        <v>21-5904(a)(1)(C)</v>
      </c>
      <c r="E1517" s="11" t="s">
        <v>133</v>
      </c>
      <c r="F1517" s="11">
        <v>3.0</v>
      </c>
      <c r="G1517" s="11">
        <v>3.0</v>
      </c>
      <c r="H1517" s="11">
        <v>3.0</v>
      </c>
      <c r="I1517" s="11">
        <v>3.0</v>
      </c>
    </row>
    <row r="1518">
      <c r="A1518" s="10" t="s">
        <v>7915</v>
      </c>
      <c r="B1518" s="49" t="str">
        <f t="shared" si="1"/>
        <v>Interference with Law Enforcement</v>
      </c>
      <c r="C1518" s="49" t="str">
        <f t="shared" si="2"/>
        <v>Interference with Law Enforcement; In the case of a misdemeanor; Falsely reporting to law enforcement officer or state investigative agency that a law enforcement officer has commited a crime or misconduct in such officer's duties knowing such information is false and intending that the officer or agency act in reliance on such information</v>
      </c>
      <c r="D1518" s="49" t="str">
        <f t="shared" si="3"/>
        <v>21-5904(a)(1)(B)</v>
      </c>
      <c r="E1518" s="11" t="s">
        <v>133</v>
      </c>
      <c r="F1518" s="11">
        <v>3.0</v>
      </c>
      <c r="G1518" s="11">
        <v>3.0</v>
      </c>
      <c r="H1518" s="11">
        <v>3.0</v>
      </c>
      <c r="I1518" s="11">
        <v>3.0</v>
      </c>
    </row>
    <row r="1519">
      <c r="A1519" s="10" t="s">
        <v>7916</v>
      </c>
      <c r="B1519" s="49" t="str">
        <f t="shared" si="1"/>
        <v>Interference with Law Enforcement</v>
      </c>
      <c r="C1519" s="49" t="str">
        <f t="shared" si="2"/>
        <v>Interference with Law Enforcement; In the case of a misdemeanor; Falsely reporting to law enforcement officer or state investigative agency that person has committed a crime, knowing the information is false and intending that the officer or agency act in reliance on that information</v>
      </c>
      <c r="D1519" s="49" t="str">
        <f t="shared" si="3"/>
        <v>21-5904(a)(1)(A)</v>
      </c>
      <c r="E1519" s="11" t="s">
        <v>133</v>
      </c>
      <c r="F1519" s="11">
        <v>3.0</v>
      </c>
      <c r="G1519" s="11">
        <v>3.0</v>
      </c>
      <c r="H1519" s="11">
        <v>3.0</v>
      </c>
      <c r="I1519" s="11">
        <v>3.0</v>
      </c>
    </row>
    <row r="1520">
      <c r="A1520" s="10" t="s">
        <v>7917</v>
      </c>
      <c r="B1520" s="49" t="str">
        <f t="shared" si="1"/>
        <v>Interference with Law Enforcement</v>
      </c>
      <c r="C1520" s="49" t="str">
        <f t="shared" si="2"/>
        <v>Interference with Law Enforcement; In the case of a misdemeanor; Knowingly obstruct, resist or oppose any person authorized by law to serve process in service or attempt to serve any writ, warrant, process or order of court or in discharge of any official duty</v>
      </c>
      <c r="D1520" s="49" t="str">
        <f t="shared" si="3"/>
        <v>21-5904(a)(3)</v>
      </c>
      <c r="E1520" s="11" t="s">
        <v>133</v>
      </c>
      <c r="F1520" s="11">
        <v>3.0</v>
      </c>
      <c r="G1520" s="11">
        <v>3.0</v>
      </c>
      <c r="H1520" s="11">
        <v>3.0</v>
      </c>
      <c r="I1520" s="11">
        <v>3.0</v>
      </c>
    </row>
    <row r="1521">
      <c r="A1521" s="10" t="s">
        <v>7918</v>
      </c>
      <c r="B1521" s="49" t="str">
        <f t="shared" si="1"/>
        <v>Interference With Parental Custody</v>
      </c>
      <c r="C1521" s="49" t="str">
        <f t="shared" si="2"/>
        <v>Interference With Parental Custody; By parent if parent is entitled to joint custody</v>
      </c>
      <c r="D1521" s="49" t="str">
        <f t="shared" si="3"/>
        <v>21-5409(a)</v>
      </c>
      <c r="E1521" s="11" t="s">
        <v>133</v>
      </c>
      <c r="F1521" s="11">
        <v>3.0</v>
      </c>
      <c r="G1521" s="11">
        <v>3.0</v>
      </c>
      <c r="H1521" s="11">
        <v>3.0</v>
      </c>
      <c r="I1521" s="11">
        <v>3.0</v>
      </c>
    </row>
    <row r="1522">
      <c r="A1522" s="10" t="s">
        <v>7919</v>
      </c>
      <c r="B1522" s="49" t="str">
        <f t="shared" si="1"/>
        <v>Interference with Parental Custody</v>
      </c>
      <c r="C1522" s="49" t="str">
        <f t="shared" si="2"/>
        <v>Interference with Parental Custody; Taking or enticing away any child under 16 with intent to detain or conceal such child from parent, guardian, or other person having the lawful charge of the child</v>
      </c>
      <c r="D1522" s="49" t="str">
        <f t="shared" si="3"/>
        <v>21-5409(a)</v>
      </c>
      <c r="E1522" s="11" t="s">
        <v>133</v>
      </c>
      <c r="F1522" s="11">
        <v>3.0</v>
      </c>
      <c r="G1522" s="11">
        <v>3.0</v>
      </c>
      <c r="H1522" s="11">
        <v>3.0</v>
      </c>
      <c r="I1522" s="11">
        <v>3.0</v>
      </c>
    </row>
    <row r="1523">
      <c r="A1523" s="10" t="s">
        <v>7920</v>
      </c>
      <c r="B1523" s="49" t="str">
        <f t="shared" si="1"/>
        <v>Interference with the Judicial Process</v>
      </c>
      <c r="C1523" s="49" t="str">
        <f t="shared" si="2"/>
        <v>Interference with the Judicial Process; Attempting to Influence a Judicial Officer</v>
      </c>
      <c r="D1523" s="49" t="str">
        <f t="shared" si="3"/>
        <v>21-5905(a)(1)</v>
      </c>
      <c r="E1523" s="11" t="s">
        <v>133</v>
      </c>
      <c r="F1523" s="11">
        <v>3.0</v>
      </c>
      <c r="G1523" s="11">
        <v>3.0</v>
      </c>
      <c r="H1523" s="11">
        <v>3.0</v>
      </c>
      <c r="I1523" s="11">
        <v>3.0</v>
      </c>
    </row>
    <row r="1524">
      <c r="A1524" s="10" t="s">
        <v>7921</v>
      </c>
      <c r="B1524" s="49" t="str">
        <f t="shared" si="1"/>
        <v>Interference with the Judicial Process</v>
      </c>
      <c r="C1524" s="49" t="str">
        <f t="shared" si="2"/>
        <v>Interference with the Judicial Process; Attempting to influence, impede or obstruct a judicial officer or prosecutor by communicating threat of violence</v>
      </c>
      <c r="D1524" s="49" t="str">
        <f t="shared" si="3"/>
        <v>21-5905(a)(2)(A)</v>
      </c>
      <c r="E1524" s="11" t="s">
        <v>133</v>
      </c>
      <c r="F1524" s="11">
        <v>3.0</v>
      </c>
      <c r="G1524" s="11">
        <v>3.0</v>
      </c>
      <c r="H1524" s="11">
        <v>3.0</v>
      </c>
      <c r="I1524" s="11">
        <v>3.0</v>
      </c>
    </row>
    <row r="1525">
      <c r="A1525" s="10" t="s">
        <v>7922</v>
      </c>
      <c r="B1525" s="49" t="str">
        <f t="shared" si="1"/>
        <v>Interference with the Judicial Process</v>
      </c>
      <c r="C1525" s="49" t="str">
        <f t="shared" si="2"/>
        <v>Interference with the Judicial Process; Attempting to influence, impede or obstruct a judicial officer or prosecutor by harassing by repeated vituperative (abusive) communication</v>
      </c>
      <c r="D1525" s="49" t="str">
        <f t="shared" si="3"/>
        <v>21-5905(a)(2)(B)</v>
      </c>
      <c r="E1525" s="11" t="s">
        <v>133</v>
      </c>
      <c r="F1525" s="11">
        <v>3.0</v>
      </c>
      <c r="G1525" s="11">
        <v>3.0</v>
      </c>
      <c r="H1525" s="11">
        <v>3.0</v>
      </c>
      <c r="I1525" s="11">
        <v>3.0</v>
      </c>
    </row>
    <row r="1526">
      <c r="A1526" s="10" t="s">
        <v>7923</v>
      </c>
      <c r="B1526" s="49" t="str">
        <f t="shared" si="1"/>
        <v>Interference with the Judicial Process</v>
      </c>
      <c r="C1526" s="49" t="str">
        <f t="shared" si="2"/>
        <v>Interference with the Judicial Process; Attempting to influence, impede or obstruct a judicial officer or prosecutor by picketing, parading or demonstrating in or near a building housing a judicial officer or prosecutor</v>
      </c>
      <c r="D1526" s="49" t="str">
        <f t="shared" si="3"/>
        <v>21-5905(a)(3)</v>
      </c>
      <c r="E1526" s="11" t="s">
        <v>133</v>
      </c>
      <c r="F1526" s="11">
        <v>3.0</v>
      </c>
      <c r="G1526" s="11">
        <v>3.0</v>
      </c>
      <c r="H1526" s="11">
        <v>3.0</v>
      </c>
      <c r="I1526" s="11">
        <v>3.0</v>
      </c>
    </row>
    <row r="1527">
      <c r="A1527" s="10" t="s">
        <v>7924</v>
      </c>
      <c r="B1527" s="49" t="str">
        <f t="shared" si="1"/>
        <v>Interference with the Judicial Process</v>
      </c>
      <c r="C1527" s="49" t="str">
        <f t="shared" si="2"/>
        <v>Interference with the Judicial Process; Attempting to influence, impede or obstruct a judicial officer or prosecutor by picketing, parading or demonstrating near a judicial officer's or prosecutor's residence</v>
      </c>
      <c r="D1527" s="49" t="str">
        <f t="shared" si="3"/>
        <v>21-5905(a)(2)(C)</v>
      </c>
      <c r="E1527" s="11" t="s">
        <v>133</v>
      </c>
      <c r="F1527" s="11">
        <v>3.0</v>
      </c>
      <c r="G1527" s="11">
        <v>3.0</v>
      </c>
      <c r="H1527" s="11">
        <v>3.0</v>
      </c>
      <c r="I1527" s="11">
        <v>3.0</v>
      </c>
    </row>
    <row r="1528">
      <c r="A1528" s="10" t="s">
        <v>7925</v>
      </c>
      <c r="B1528" s="49" t="str">
        <f t="shared" si="1"/>
        <v>Interference with the Judicial Process</v>
      </c>
      <c r="C1528" s="49" t="str">
        <f t="shared" si="2"/>
        <v>Interference with the Judicial Process; Corrupt Conduct of a Juror; Intentionally promising or agree to wrongfully give a verdict for or against any party in any proceeding</v>
      </c>
      <c r="D1528" s="49" t="str">
        <f t="shared" si="3"/>
        <v>21-5905(a)(6)(B)</v>
      </c>
      <c r="E1528" s="11" t="s">
        <v>133</v>
      </c>
      <c r="F1528" s="11">
        <v>3.0</v>
      </c>
      <c r="G1528" s="11">
        <v>3.0</v>
      </c>
      <c r="H1528" s="11">
        <v>3.0</v>
      </c>
      <c r="I1528" s="11">
        <v>3.0</v>
      </c>
    </row>
    <row r="1529">
      <c r="A1529" s="10" t="s">
        <v>7926</v>
      </c>
      <c r="B1529" s="49" t="str">
        <f t="shared" si="1"/>
        <v>Interference with the Judicial Process</v>
      </c>
      <c r="C1529" s="49" t="str">
        <f t="shared" si="2"/>
        <v>Interference with the Judicial Process; Corrupt Conduct of a Juror; Intentionally soliciting, accepting or agreeing to accept a benefit as consideration for a promise to wrongfully give a verdict for or against any party in any proceeding</v>
      </c>
      <c r="D1529" s="49" t="str">
        <f t="shared" si="3"/>
        <v>21-5905(a)(6)(A)</v>
      </c>
      <c r="E1529" s="11" t="s">
        <v>133</v>
      </c>
      <c r="F1529" s="11">
        <v>3.0</v>
      </c>
      <c r="G1529" s="11">
        <v>3.0</v>
      </c>
      <c r="H1529" s="11">
        <v>3.0</v>
      </c>
      <c r="I1529" s="11">
        <v>3.0</v>
      </c>
    </row>
    <row r="1530">
      <c r="A1530" s="10" t="s">
        <v>7927</v>
      </c>
      <c r="B1530" s="49" t="str">
        <f t="shared" si="1"/>
        <v>Interference with the Judicial Process</v>
      </c>
      <c r="C1530" s="49" t="str">
        <f t="shared" si="2"/>
        <v>Interference with the Judicial Process; Corrupt Conduct of a Juror; Knowingly receive evidence or information pertaining to the trial of which such juror has been or will be sworn, without the authority of the court or officer before whom such juror has been summoned, and without immediate disclosure of the same</v>
      </c>
      <c r="D1530" s="49" t="str">
        <f t="shared" si="3"/>
        <v>21-5905(a)(6)(C)</v>
      </c>
      <c r="E1530" s="11" t="s">
        <v>133</v>
      </c>
      <c r="F1530" s="11">
        <v>3.0</v>
      </c>
      <c r="G1530" s="11">
        <v>3.0</v>
      </c>
      <c r="H1530" s="11">
        <v>3.0</v>
      </c>
      <c r="I1530" s="11">
        <v>3.0</v>
      </c>
    </row>
    <row r="1531">
      <c r="A1531" s="10" t="s">
        <v>7928</v>
      </c>
      <c r="B1531" s="49" t="str">
        <f t="shared" si="1"/>
        <v>Interference with the Judicial Process</v>
      </c>
      <c r="C1531" s="49" t="str">
        <f t="shared" si="2"/>
        <v>Interference with the Judicial Process; In the case of a felony; Intentionally in any criminal proceeding or investigation; Alter, damage, remove or destroy any record, document or thing with intent to prevent its production or use as evidence</v>
      </c>
      <c r="D1531" s="49" t="str">
        <f t="shared" si="3"/>
        <v>21-5905(a)(5)(C)</v>
      </c>
      <c r="E1531" s="11" t="s">
        <v>133</v>
      </c>
      <c r="F1531" s="11">
        <v>3.0</v>
      </c>
      <c r="G1531" s="11">
        <v>3.0</v>
      </c>
      <c r="H1531" s="11">
        <v>3.0</v>
      </c>
      <c r="I1531" s="11">
        <v>3.0</v>
      </c>
    </row>
    <row r="1532">
      <c r="A1532" s="10" t="s">
        <v>7929</v>
      </c>
      <c r="B1532" s="49" t="str">
        <f t="shared" si="1"/>
        <v>Interference with the Judicial Process</v>
      </c>
      <c r="C1532" s="49" t="str">
        <f t="shared" si="2"/>
        <v>Interference with the Judicial Process; In the case of a felony; Intentionally in any criminal proceeding or investigation; Induce witness or informant to withhold or unreasonably delay producing testimony, information, document or thing</v>
      </c>
      <c r="D1532" s="49" t="str">
        <f t="shared" si="3"/>
        <v>21-5905(a)(5)(A)</v>
      </c>
      <c r="E1532" s="11" t="s">
        <v>133</v>
      </c>
      <c r="F1532" s="11">
        <v>3.0</v>
      </c>
      <c r="G1532" s="11">
        <v>3.0</v>
      </c>
      <c r="H1532" s="11">
        <v>3.0</v>
      </c>
      <c r="I1532" s="11">
        <v>3.0</v>
      </c>
    </row>
    <row r="1533">
      <c r="A1533" s="10" t="s">
        <v>7930</v>
      </c>
      <c r="B1533" s="49" t="str">
        <f t="shared" si="1"/>
        <v>Interference with the Judicial Process</v>
      </c>
      <c r="C1533" s="49" t="str">
        <f t="shared" si="2"/>
        <v>Interference with the Judicial Process; In the case of a felony; Intentionally in any criminal proceeding or investigation; Make, present, or use a false record, document or thing with intent that the same appear in evidence to mislead the court, master or law enforcement officer</v>
      </c>
      <c r="D1533" s="49" t="str">
        <f t="shared" si="3"/>
        <v>21-5905(a)(5)(D)</v>
      </c>
      <c r="E1533" s="11" t="s">
        <v>133</v>
      </c>
      <c r="F1533" s="11">
        <v>3.0</v>
      </c>
      <c r="G1533" s="11">
        <v>3.0</v>
      </c>
      <c r="H1533" s="11">
        <v>3.0</v>
      </c>
      <c r="I1533" s="11">
        <v>3.0</v>
      </c>
    </row>
    <row r="1534">
      <c r="A1534" s="10" t="s">
        <v>7931</v>
      </c>
      <c r="B1534" s="49" t="str">
        <f t="shared" si="1"/>
        <v>Interference with the Judicial Process</v>
      </c>
      <c r="C1534" s="49" t="str">
        <f t="shared" si="2"/>
        <v>Interference with the Judicial Process; In the case of a felony; Intentionally in any criminal proceeding or investigation; withhold or unreasonably delay production of testimony, information, document or thing after a court orders production of the same</v>
      </c>
      <c r="D1534" s="49" t="str">
        <f t="shared" si="3"/>
        <v>21-5905(a)(5)(B)</v>
      </c>
      <c r="E1534" s="11" t="s">
        <v>133</v>
      </c>
      <c r="F1534" s="11">
        <v>3.0</v>
      </c>
      <c r="G1534" s="11">
        <v>3.0</v>
      </c>
      <c r="H1534" s="11">
        <v>3.0</v>
      </c>
      <c r="I1534" s="11">
        <v>3.0</v>
      </c>
    </row>
    <row r="1535">
      <c r="A1535" s="10" t="s">
        <v>7932</v>
      </c>
      <c r="B1535" s="49" t="str">
        <f t="shared" si="1"/>
        <v>Interference with the Judicial Process</v>
      </c>
      <c r="C1535" s="49" t="str">
        <f t="shared" si="2"/>
        <v>Interference with the Judicial Process; Intentionally in any criminal proceeding or investigation; Alter, damage, remove or destroy any record, document or thing the  intent to prevent its production or use as evidence</v>
      </c>
      <c r="D1535" s="49" t="str">
        <f t="shared" si="3"/>
        <v>21-5905(a)(5)(C)</v>
      </c>
      <c r="E1535" s="11" t="s">
        <v>133</v>
      </c>
      <c r="F1535" s="11">
        <v>3.0</v>
      </c>
      <c r="G1535" s="11">
        <v>3.0</v>
      </c>
      <c r="H1535" s="11">
        <v>3.0</v>
      </c>
      <c r="I1535" s="11">
        <v>3.0</v>
      </c>
    </row>
    <row r="1536">
      <c r="A1536" s="10" t="s">
        <v>7933</v>
      </c>
      <c r="B1536" s="49" t="str">
        <f t="shared" si="1"/>
        <v>Interference with the Judicial Process</v>
      </c>
      <c r="C1536" s="49" t="str">
        <f t="shared" si="2"/>
        <v>Interference with the Judicial Process; Intentionally in any criminal proceeding or investigation; Induce witness or informant to withhold or unreasonably delay producing testimony, information, document or thing</v>
      </c>
      <c r="D1536" s="49" t="str">
        <f t="shared" si="3"/>
        <v>21-5905(a)(5)(A)</v>
      </c>
      <c r="E1536" s="11" t="s">
        <v>133</v>
      </c>
      <c r="F1536" s="11">
        <v>3.0</v>
      </c>
      <c r="G1536" s="11">
        <v>3.0</v>
      </c>
      <c r="H1536" s="11">
        <v>3.0</v>
      </c>
      <c r="I1536" s="11">
        <v>3.0</v>
      </c>
    </row>
    <row r="1537">
      <c r="A1537" s="10" t="s">
        <v>7934</v>
      </c>
      <c r="B1537" s="49" t="str">
        <f t="shared" si="1"/>
        <v>Interference with the Judicial Process</v>
      </c>
      <c r="C1537" s="49" t="str">
        <f t="shared" si="2"/>
        <v>Interference with the Judicial Process; Intentionally in any criminal proceeding or investigation; Make, present, or use a false record, document or thing with the intent that the same appear in evidence to mislead the court, master or law enforcement officer</v>
      </c>
      <c r="D1537" s="49" t="str">
        <f t="shared" si="3"/>
        <v>21-5905(a)(5)(D)</v>
      </c>
      <c r="E1537" s="11" t="s">
        <v>133</v>
      </c>
      <c r="F1537" s="11">
        <v>3.0</v>
      </c>
      <c r="G1537" s="11">
        <v>3.0</v>
      </c>
      <c r="H1537" s="11">
        <v>3.0</v>
      </c>
      <c r="I1537" s="11">
        <v>3.0</v>
      </c>
    </row>
    <row r="1538">
      <c r="A1538" s="10" t="s">
        <v>7935</v>
      </c>
      <c r="B1538" s="49" t="str">
        <f t="shared" si="1"/>
        <v>Interference with the Judicial Process</v>
      </c>
      <c r="C1538" s="49" t="str">
        <f t="shared" si="2"/>
        <v>Interference with the Judicial Process; Intentionally in any criminal proceeding or investigation; withhold or unreasonably delay production of testimony, information, document or thing after a court orders production of the same</v>
      </c>
      <c r="D1538" s="49" t="str">
        <f t="shared" si="3"/>
        <v>21-5905(a)(5)(B)</v>
      </c>
      <c r="E1538" s="11" t="s">
        <v>133</v>
      </c>
      <c r="F1538" s="11">
        <v>3.0</v>
      </c>
      <c r="G1538" s="11">
        <v>3.0</v>
      </c>
      <c r="H1538" s="11">
        <v>3.0</v>
      </c>
      <c r="I1538" s="11">
        <v>3.0</v>
      </c>
    </row>
    <row r="1539">
      <c r="A1539" s="10" t="s">
        <v>7936</v>
      </c>
      <c r="B1539" s="49" t="str">
        <f t="shared" si="1"/>
        <v>Interference with the Judicial Process</v>
      </c>
      <c r="C1539" s="49" t="str">
        <f t="shared" si="2"/>
        <v>Interference with the Judicial Process; Knowingly accepting or agreeing to accept anything of value as consideration for a promise not to initiate or aid in a prosecution if the crime is a felony</v>
      </c>
      <c r="D1539" s="49" t="str">
        <f t="shared" si="3"/>
        <v>21-5905(a)(4)(A)</v>
      </c>
      <c r="E1539" s="11" t="s">
        <v>133</v>
      </c>
      <c r="F1539" s="11">
        <v>3.0</v>
      </c>
      <c r="G1539" s="11">
        <v>3.0</v>
      </c>
      <c r="H1539" s="11">
        <v>3.0</v>
      </c>
      <c r="I1539" s="11">
        <v>3.0</v>
      </c>
    </row>
    <row r="1540">
      <c r="A1540" s="10" t="s">
        <v>7937</v>
      </c>
      <c r="B1540" s="49" t="str">
        <f t="shared" si="1"/>
        <v>Interference with the Judicial Process</v>
      </c>
      <c r="C1540" s="49" t="str">
        <f t="shared" si="2"/>
        <v>Interference with the Judicial Process; Knowingly accepting or agreeing to accept anything of value as consideration for a promise to conceal or destroy evidence of a crime if the crime is a felony</v>
      </c>
      <c r="D1540" s="49" t="str">
        <f t="shared" si="3"/>
        <v>21-5905(a)(4)(B)</v>
      </c>
      <c r="E1540" s="11" t="s">
        <v>133</v>
      </c>
      <c r="F1540" s="11">
        <v>3.0</v>
      </c>
      <c r="G1540" s="11">
        <v>3.0</v>
      </c>
      <c r="H1540" s="11">
        <v>3.0</v>
      </c>
      <c r="I1540" s="11">
        <v>3.0</v>
      </c>
    </row>
    <row r="1541">
      <c r="A1541" s="10" t="s">
        <v>7938</v>
      </c>
      <c r="B1541" s="49" t="str">
        <f t="shared" si="1"/>
        <v>Interference with the Judicial Process</v>
      </c>
      <c r="C1541" s="49" t="str">
        <f t="shared" si="2"/>
        <v>Interference with the Judicial Process; Knowingly accepting or agreeing to accept anything of value as consideration for a promise to conceal or destroy evidence of a misdemeanor</v>
      </c>
      <c r="D1541" s="49" t="str">
        <f t="shared" si="3"/>
        <v>21-5905(a)(4)(B)</v>
      </c>
      <c r="E1541" s="11" t="s">
        <v>133</v>
      </c>
      <c r="F1541" s="11">
        <v>3.0</v>
      </c>
      <c r="G1541" s="11">
        <v>3.0</v>
      </c>
      <c r="H1541" s="11">
        <v>3.0</v>
      </c>
      <c r="I1541" s="11">
        <v>3.0</v>
      </c>
    </row>
    <row r="1542">
      <c r="A1542" s="10" t="s">
        <v>7939</v>
      </c>
      <c r="B1542" s="49" t="str">
        <f t="shared" si="1"/>
        <v>Interference with the Judicial Process</v>
      </c>
      <c r="C1542" s="49" t="str">
        <f t="shared" si="2"/>
        <v>Interference with the Judicial Process; Knowingly accepting or agreeing to accept anything of value as consideration for a promise to not to initiate or aid in a prosecution of a person who has committed a misdemeanor</v>
      </c>
      <c r="D1542" s="49" t="str">
        <f t="shared" si="3"/>
        <v>21-5905(a)(4)(A)</v>
      </c>
      <c r="E1542" s="11" t="s">
        <v>133</v>
      </c>
      <c r="F1542" s="11">
        <v>3.0</v>
      </c>
      <c r="G1542" s="11">
        <v>3.0</v>
      </c>
      <c r="H1542" s="11">
        <v>3.0</v>
      </c>
      <c r="I1542" s="11">
        <v>3.0</v>
      </c>
    </row>
    <row r="1543">
      <c r="A1543" s="10" t="s">
        <v>7940</v>
      </c>
      <c r="B1543" s="49" t="str">
        <f t="shared" si="1"/>
        <v>Interference with the Judicial Process</v>
      </c>
      <c r="C1543" s="49" t="str">
        <f t="shared" si="2"/>
        <v>Interference with the Judicial Process; Knowingly making available personal information about a judge or a judge's immediate family member if dissemination of such information poses an imminent and serious threat to such judge or family member and person knows or reasonably should know of such threat; 1st conviction</v>
      </c>
      <c r="D1543" s="49" t="str">
        <f t="shared" si="3"/>
        <v>21-5905(a)(7)</v>
      </c>
      <c r="E1543" s="11" t="s">
        <v>133</v>
      </c>
      <c r="F1543" s="11">
        <v>3.0</v>
      </c>
      <c r="G1543" s="11">
        <v>3.0</v>
      </c>
      <c r="H1543" s="11">
        <v>3.0</v>
      </c>
      <c r="I1543" s="11">
        <v>3.0</v>
      </c>
    </row>
    <row r="1544">
      <c r="A1544" s="10" t="s">
        <v>7941</v>
      </c>
      <c r="B1544" s="49" t="str">
        <f t="shared" si="1"/>
        <v>Interference with the Judicial Process</v>
      </c>
      <c r="C1544" s="49" t="str">
        <f t="shared" si="2"/>
        <v>Interference with the Judicial Process; Knowingly making available personal information about a judge or a judge's immediate family member if dissemination of such information poses an imminent and serious threat to such judge or family member and person knows or reasonably should know of such threat; 2nd or subsequent conviction</v>
      </c>
      <c r="D1544" s="49" t="str">
        <f t="shared" si="3"/>
        <v>21-5905(a)(7)</v>
      </c>
      <c r="E1544" s="11" t="s">
        <v>133</v>
      </c>
      <c r="F1544" s="11">
        <v>3.0</v>
      </c>
      <c r="G1544" s="11">
        <v>3.0</v>
      </c>
      <c r="H1544" s="11">
        <v>3.0</v>
      </c>
      <c r="I1544" s="11">
        <v>3.0</v>
      </c>
    </row>
    <row r="1545">
      <c r="A1545" s="10" t="s">
        <v>7942</v>
      </c>
      <c r="B1545" s="49" t="str">
        <f t="shared" si="1"/>
        <v>Interstate Compact on Placement of Children</v>
      </c>
      <c r="C1545" s="49" t="str">
        <f t="shared" si="2"/>
        <v>Interstate Compact on Placement of Children; Failure of any professional to comply with provisions of compact</v>
      </c>
      <c r="D1545" s="49" t="str">
        <f t="shared" si="3"/>
        <v>38-1206</v>
      </c>
      <c r="E1545" s="11" t="s">
        <v>133</v>
      </c>
      <c r="F1545" s="11">
        <v>3.0</v>
      </c>
      <c r="G1545" s="11">
        <v>3.0</v>
      </c>
      <c r="H1545" s="11">
        <v>3.0</v>
      </c>
      <c r="I1545" s="11">
        <v>3.0</v>
      </c>
    </row>
    <row r="1546">
      <c r="A1546" s="10" t="s">
        <v>7943</v>
      </c>
      <c r="B1546" s="49" t="str">
        <f t="shared" si="1"/>
        <v>Intimidation of Witness or Victim</v>
      </c>
      <c r="C1546" s="49" t="str">
        <f t="shared" si="2"/>
        <v>Intimidation of Witness or Victim; Prevent or dissuade, or attempt to prevent or dissuade any witness or victim from attending or giving testimony at any civil or criminal trial, proceeding or inquiry authorized by law</v>
      </c>
      <c r="D1546" s="49" t="str">
        <f t="shared" si="3"/>
        <v>21-5909(a)(1)</v>
      </c>
      <c r="E1546" s="11" t="s">
        <v>133</v>
      </c>
      <c r="F1546" s="11">
        <v>3.0</v>
      </c>
      <c r="G1546" s="11">
        <v>3.0</v>
      </c>
      <c r="H1546" s="11">
        <v>3.0</v>
      </c>
      <c r="I1546" s="11">
        <v>3.0</v>
      </c>
    </row>
    <row r="1547">
      <c r="A1547" s="10" t="s">
        <v>7944</v>
      </c>
      <c r="B1547" s="49" t="str">
        <f t="shared" si="1"/>
        <v>Intimidation of Witness or Victim</v>
      </c>
      <c r="C1547" s="49" t="str">
        <f t="shared" si="2"/>
        <v>Intimidation of Witness or Victim; Prevent or dissuade, or attempt to prevent or dissuade any witness, victim or person acting on behalf of a victim from arresting, causing or seeking the arrest of any person in connection with the victimization of a victim</v>
      </c>
      <c r="D1547" s="49" t="str">
        <f t="shared" si="3"/>
        <v>21-5909(a)(2)(D)</v>
      </c>
      <c r="E1547" s="11" t="s">
        <v>133</v>
      </c>
      <c r="F1547" s="11">
        <v>3.0</v>
      </c>
      <c r="G1547" s="11">
        <v>3.0</v>
      </c>
      <c r="H1547" s="11">
        <v>3.0</v>
      </c>
      <c r="I1547" s="11">
        <v>3.0</v>
      </c>
    </row>
    <row r="1548">
      <c r="A1548" s="10" t="s">
        <v>7945</v>
      </c>
      <c r="B1548" s="49" t="str">
        <f t="shared" si="1"/>
        <v>Intimidation of Witness or Victim</v>
      </c>
      <c r="C1548" s="49" t="str">
        <f t="shared" si="2"/>
        <v>Intimidation of Witness or Victim; Prevent or dissuade, or attempt to prevent or dissuade any witness, victim or person acting on behalf of a victim from causing a civil action to be filed and prosecuted and assisting in its prosecution</v>
      </c>
      <c r="D1548" s="49" t="str">
        <f t="shared" si="3"/>
        <v>21-5909(a)(2)(C)</v>
      </c>
      <c r="E1548" s="11" t="s">
        <v>133</v>
      </c>
      <c r="F1548" s="11">
        <v>3.0</v>
      </c>
      <c r="G1548" s="11">
        <v>3.0</v>
      </c>
      <c r="H1548" s="11">
        <v>3.0</v>
      </c>
      <c r="I1548" s="11">
        <v>3.0</v>
      </c>
    </row>
    <row r="1549">
      <c r="A1549" s="10" t="s">
        <v>7946</v>
      </c>
      <c r="B1549" s="49" t="str">
        <f t="shared" si="1"/>
        <v>Intimidation of Witness or Victim</v>
      </c>
      <c r="C1549" s="49" t="str">
        <f t="shared" si="2"/>
        <v>Intimidation of Witness or Victim; Prevent or dissuade, or attempt to prevent or dissuade any witness, victim or person acting on behalf of a victim from causing a complaint, indictment or information to be sought and prosecuted, or causing a violation of probation, parole or assignment to a community correctional services program to be reported and prosecuted, and assisting in its prosecution</v>
      </c>
      <c r="D1549" s="49" t="str">
        <f t="shared" si="3"/>
        <v>21-5909(a)(2)(B)</v>
      </c>
      <c r="E1549" s="11" t="s">
        <v>133</v>
      </c>
      <c r="F1549" s="11">
        <v>3.0</v>
      </c>
      <c r="G1549" s="11">
        <v>3.0</v>
      </c>
      <c r="H1549" s="11">
        <v>3.0</v>
      </c>
      <c r="I1549" s="11">
        <v>3.0</v>
      </c>
    </row>
    <row r="1550">
      <c r="A1550" s="10" t="s">
        <v>7947</v>
      </c>
      <c r="B1550" s="49" t="str">
        <f t="shared" si="1"/>
        <v>Intimidation of Witness or Victim</v>
      </c>
      <c r="C1550" s="49" t="str">
        <f t="shared" si="2"/>
        <v>Intimidation of Witness or Victim; Prevent or dissuade, or attempt to prevent or dissuade any witness, victim or person acting on behalf of a victim from making any report of the victimization of a victim</v>
      </c>
      <c r="D1550" s="49" t="str">
        <f t="shared" si="3"/>
        <v>21-5909(a)(2)(A)</v>
      </c>
      <c r="E1550" s="11" t="s">
        <v>133</v>
      </c>
      <c r="F1550" s="11">
        <v>3.0</v>
      </c>
      <c r="G1550" s="11">
        <v>3.0</v>
      </c>
      <c r="H1550" s="11">
        <v>3.0</v>
      </c>
      <c r="I1550" s="11">
        <v>3.0</v>
      </c>
    </row>
    <row r="1551">
      <c r="A1551" s="10" t="s">
        <v>7948</v>
      </c>
      <c r="B1551" s="49" t="str">
        <f t="shared" si="1"/>
        <v>Irrigation Districts</v>
      </c>
      <c r="C1551" s="49" t="str">
        <f t="shared" si="2"/>
        <v>Irrigation Districts; Discrimination in rates unlawful</v>
      </c>
      <c r="D1551" s="49" t="str">
        <f t="shared" si="3"/>
        <v>42-389</v>
      </c>
      <c r="E1551" s="11" t="s">
        <v>133</v>
      </c>
      <c r="F1551" s="11">
        <v>3.0</v>
      </c>
      <c r="G1551" s="11">
        <v>3.0</v>
      </c>
      <c r="H1551" s="11">
        <v>3.0</v>
      </c>
      <c r="I1551" s="11">
        <v>3.0</v>
      </c>
    </row>
    <row r="1552">
      <c r="A1552" s="10" t="s">
        <v>7949</v>
      </c>
      <c r="B1552" s="49" t="str">
        <f t="shared" si="1"/>
        <v>Irrigation Districts</v>
      </c>
      <c r="C1552" s="49" t="str">
        <f t="shared" si="2"/>
        <v>Irrigation Districts; Failure of proprietors to construct or maintain head gate</v>
      </c>
      <c r="D1552" s="49" t="str">
        <f t="shared" si="3"/>
        <v>42-3,102</v>
      </c>
      <c r="E1552" s="11" t="s">
        <v>133</v>
      </c>
      <c r="F1552" s="11">
        <v>3.0</v>
      </c>
      <c r="G1552" s="11">
        <v>3.0</v>
      </c>
      <c r="H1552" s="11">
        <v>3.0</v>
      </c>
      <c r="I1552" s="11">
        <v>3.0</v>
      </c>
    </row>
    <row r="1553">
      <c r="A1553" s="10" t="s">
        <v>7950</v>
      </c>
      <c r="B1553" s="49" t="str">
        <f t="shared" si="1"/>
        <v>Irrigation Districts</v>
      </c>
      <c r="C1553" s="49" t="str">
        <f t="shared" si="2"/>
        <v>Irrigation Districts; Failure to construct devices, or to lock head gate and deliver key, or to maintain such devices</v>
      </c>
      <c r="D1553" s="49" t="str">
        <f t="shared" si="3"/>
        <v>42-3,101</v>
      </c>
      <c r="E1553" s="11" t="s">
        <v>133</v>
      </c>
      <c r="F1553" s="11">
        <v>3.0</v>
      </c>
      <c r="G1553" s="11">
        <v>3.0</v>
      </c>
      <c r="H1553" s="11">
        <v>3.0</v>
      </c>
      <c r="I1553" s="11">
        <v>3.0</v>
      </c>
    </row>
    <row r="1554">
      <c r="A1554" s="10" t="s">
        <v>7951</v>
      </c>
      <c r="B1554" s="49" t="str">
        <f t="shared" si="1"/>
        <v>Irrigation Districts</v>
      </c>
      <c r="C1554" s="49" t="str">
        <f t="shared" si="2"/>
        <v>Irrigation Districts; Penalty for excessive charges</v>
      </c>
      <c r="D1554" s="49" t="str">
        <f t="shared" si="3"/>
        <v>42-390</v>
      </c>
      <c r="E1554" s="11" t="s">
        <v>133</v>
      </c>
      <c r="F1554" s="11">
        <v>3.0</v>
      </c>
      <c r="G1554" s="11">
        <v>3.0</v>
      </c>
      <c r="H1554" s="11">
        <v>3.0</v>
      </c>
      <c r="I1554" s="11">
        <v>3.0</v>
      </c>
    </row>
    <row r="1555">
      <c r="A1555" s="10" t="s">
        <v>7952</v>
      </c>
      <c r="B1555" s="49" t="str">
        <f t="shared" si="1"/>
        <v>Irrigation Districts</v>
      </c>
      <c r="C1555" s="49" t="str">
        <f t="shared" si="2"/>
        <v>Irrigation Districts; Refusal to furnish water upon tender of charges</v>
      </c>
      <c r="D1555" s="49" t="str">
        <f t="shared" si="3"/>
        <v>42-391</v>
      </c>
      <c r="E1555" s="11" t="s">
        <v>133</v>
      </c>
      <c r="F1555" s="11">
        <v>3.0</v>
      </c>
      <c r="G1555" s="11">
        <v>3.0</v>
      </c>
      <c r="H1555" s="11">
        <v>3.0</v>
      </c>
      <c r="I1555" s="11">
        <v>3.0</v>
      </c>
    </row>
    <row r="1556">
      <c r="A1556" s="10" t="s">
        <v>7953</v>
      </c>
      <c r="B1556" s="49" t="str">
        <f t="shared" si="1"/>
        <v>Irrigation Districts</v>
      </c>
      <c r="C1556" s="49" t="str">
        <f t="shared" si="2"/>
        <v>Irrigation Districts; Unlawful acts affecting artesian well</v>
      </c>
      <c r="D1556" s="49" t="str">
        <f t="shared" si="3"/>
        <v>42-399</v>
      </c>
      <c r="E1556" s="11" t="s">
        <v>133</v>
      </c>
      <c r="F1556" s="11">
        <v>3.0</v>
      </c>
      <c r="G1556" s="11">
        <v>3.0</v>
      </c>
      <c r="H1556" s="11">
        <v>3.0</v>
      </c>
      <c r="I1556" s="11">
        <v>3.0</v>
      </c>
    </row>
    <row r="1557">
      <c r="A1557" s="10" t="s">
        <v>7954</v>
      </c>
      <c r="B1557" s="49" t="str">
        <f t="shared" si="1"/>
        <v>Irrigation Districts</v>
      </c>
      <c r="C1557" s="49" t="str">
        <f t="shared" si="2"/>
        <v>Irrigation Districts; Unlawful acts affecting works</v>
      </c>
      <c r="D1557" s="49" t="str">
        <f t="shared" si="3"/>
        <v>42-395</v>
      </c>
      <c r="E1557" s="11" t="s">
        <v>133</v>
      </c>
      <c r="F1557" s="11">
        <v>3.0</v>
      </c>
      <c r="G1557" s="11">
        <v>3.0</v>
      </c>
      <c r="H1557" s="11">
        <v>3.0</v>
      </c>
      <c r="I1557" s="11">
        <v>3.0</v>
      </c>
    </row>
    <row r="1558">
      <c r="A1558" s="10" t="s">
        <v>7955</v>
      </c>
      <c r="B1558" s="49" t="str">
        <f t="shared" si="1"/>
        <v>Irrigation Districts</v>
      </c>
      <c r="C1558" s="49" t="str">
        <f t="shared" si="2"/>
        <v>Irrigation Districts; Waste of water by water bailiff, ditch rider, superintendent or other in charge</v>
      </c>
      <c r="D1558" s="49" t="str">
        <f t="shared" si="3"/>
        <v>42-394</v>
      </c>
      <c r="E1558" s="11" t="s">
        <v>133</v>
      </c>
      <c r="F1558" s="11">
        <v>3.0</v>
      </c>
      <c r="G1558" s="11">
        <v>3.0</v>
      </c>
      <c r="H1558" s="11">
        <v>3.0</v>
      </c>
      <c r="I1558" s="11">
        <v>3.0</v>
      </c>
    </row>
    <row r="1559">
      <c r="A1559" s="10" t="s">
        <v>7956</v>
      </c>
      <c r="B1559" s="49" t="str">
        <f t="shared" si="1"/>
        <v>Irrigation</v>
      </c>
      <c r="C1559" s="49" t="str">
        <f t="shared" si="2"/>
        <v>Irrigation; Unlawful acts affecting irrigating canals where ditch company has secured the right of way</v>
      </c>
      <c r="D1559" s="49" t="str">
        <f t="shared" si="3"/>
        <v>42-122</v>
      </c>
      <c r="E1559" s="11" t="s">
        <v>133</v>
      </c>
      <c r="F1559" s="11">
        <v>3.0</v>
      </c>
      <c r="G1559" s="11">
        <v>3.0</v>
      </c>
      <c r="H1559" s="11">
        <v>3.0</v>
      </c>
      <c r="I1559" s="11">
        <v>3.0</v>
      </c>
    </row>
    <row r="1560">
      <c r="A1560" s="10" t="s">
        <v>7957</v>
      </c>
      <c r="B1560" s="49" t="str">
        <f t="shared" si="1"/>
        <v>Jurors</v>
      </c>
      <c r="C1560" s="49" t="str">
        <f t="shared" si="2"/>
        <v>Jurors; Failure to or falsely answering questions on juror questionnaires</v>
      </c>
      <c r="D1560" s="49" t="str">
        <f t="shared" si="3"/>
        <v>43-161</v>
      </c>
      <c r="E1560" s="11" t="s">
        <v>133</v>
      </c>
      <c r="F1560" s="11">
        <v>3.0</v>
      </c>
      <c r="G1560" s="11">
        <v>3.0</v>
      </c>
      <c r="H1560" s="11">
        <v>3.0</v>
      </c>
      <c r="I1560" s="11">
        <v>3.0</v>
      </c>
    </row>
    <row r="1561">
      <c r="A1561" s="10" t="s">
        <v>7958</v>
      </c>
      <c r="B1561" s="49" t="str">
        <f t="shared" si="1"/>
        <v>Jurors</v>
      </c>
      <c r="C1561" s="49" t="str">
        <f t="shared" si="2"/>
        <v>Jurors; Penalty for seeking jury service or to have another placed on jury list</v>
      </c>
      <c r="D1561" s="49" t="str">
        <f t="shared" si="3"/>
        <v>43-127</v>
      </c>
      <c r="E1561" s="11" t="s">
        <v>133</v>
      </c>
      <c r="F1561" s="11">
        <v>3.0</v>
      </c>
      <c r="G1561" s="11">
        <v>3.0</v>
      </c>
      <c r="H1561" s="11">
        <v>3.0</v>
      </c>
      <c r="I1561" s="11">
        <v>3.0</v>
      </c>
    </row>
    <row r="1562">
      <c r="A1562" s="10" t="s">
        <v>7959</v>
      </c>
      <c r="B1562" s="49" t="str">
        <f t="shared" si="1"/>
        <v>Juvenile Justice Code</v>
      </c>
      <c r="C1562" s="49" t="str">
        <f t="shared" si="2"/>
        <v>Juvenile Justice Code; Unauthorized disclosure of juvenile diagnostic, treatment or medical records</v>
      </c>
      <c r="D1562" s="49" t="str">
        <f t="shared" si="3"/>
        <v>38-2311(a)</v>
      </c>
      <c r="E1562" s="11" t="s">
        <v>133</v>
      </c>
      <c r="F1562" s="11">
        <v>3.0</v>
      </c>
      <c r="G1562" s="11">
        <v>3.0</v>
      </c>
      <c r="H1562" s="11">
        <v>3.0</v>
      </c>
      <c r="I1562" s="11">
        <v>3.0</v>
      </c>
    </row>
    <row r="1563">
      <c r="A1563" s="10" t="s">
        <v>7960</v>
      </c>
      <c r="B1563" s="49" t="str">
        <f t="shared" si="1"/>
        <v>Juvenile Justice Code</v>
      </c>
      <c r="C1563" s="49" t="str">
        <f t="shared" si="2"/>
        <v>Juvenile Justice Code; Unauthorized disclosure of juvenile HIV or Hepatitis B test results or reports</v>
      </c>
      <c r="D1563" s="49" t="str">
        <f t="shared" si="3"/>
        <v>38-2317(h)</v>
      </c>
      <c r="E1563" s="11" t="s">
        <v>133</v>
      </c>
      <c r="F1563" s="11">
        <v>3.0</v>
      </c>
      <c r="G1563" s="11">
        <v>3.0</v>
      </c>
      <c r="H1563" s="11">
        <v>3.0</v>
      </c>
      <c r="I1563" s="11">
        <v>3.0</v>
      </c>
    </row>
    <row r="1564">
      <c r="A1564" s="10" t="s">
        <v>7961</v>
      </c>
      <c r="B1564" s="49" t="str">
        <f t="shared" si="1"/>
        <v>Kansas Act Against Discrimination</v>
      </c>
      <c r="C1564" s="49" t="str">
        <f t="shared" si="2"/>
        <v>Kansas Act Against Discrimination; Destroying any employment records required to be kept under the laws of the state of Kansas for the purpose of hindering any proceeding commenced pursuant to this act</v>
      </c>
      <c r="D1564" s="49" t="str">
        <f t="shared" si="3"/>
        <v>44-1041(a)</v>
      </c>
      <c r="E1564" s="11" t="s">
        <v>133</v>
      </c>
      <c r="F1564" s="11">
        <v>3.0</v>
      </c>
      <c r="G1564" s="11">
        <v>3.0</v>
      </c>
      <c r="H1564" s="11">
        <v>3.0</v>
      </c>
      <c r="I1564" s="11">
        <v>3.0</v>
      </c>
    </row>
    <row r="1565">
      <c r="A1565" s="10" t="s">
        <v>7962</v>
      </c>
      <c r="B1565" s="49" t="str">
        <f t="shared" si="1"/>
        <v>Kansas Act Against Discrimination</v>
      </c>
      <c r="C1565" s="49" t="str">
        <f t="shared" si="2"/>
        <v>Kansas Act Against Discrimination; Destroying any records or other information involved in any proceeding brought pursuant to this act for the purpose of hindering such proceedings</v>
      </c>
      <c r="D1565" s="49" t="str">
        <f t="shared" si="3"/>
        <v>44-1041(b)</v>
      </c>
      <c r="E1565" s="11" t="s">
        <v>133</v>
      </c>
      <c r="F1565" s="11">
        <v>3.0</v>
      </c>
      <c r="G1565" s="11">
        <v>3.0</v>
      </c>
      <c r="H1565" s="11">
        <v>3.0</v>
      </c>
      <c r="I1565" s="11">
        <v>3.0</v>
      </c>
    </row>
    <row r="1566">
      <c r="A1566" s="10" t="s">
        <v>7963</v>
      </c>
      <c r="B1566" s="49" t="str">
        <f t="shared" si="1"/>
        <v>Kansas Act Against Discrimination</v>
      </c>
      <c r="C1566" s="49" t="str">
        <f t="shared" si="2"/>
        <v>Kansas Act Against Discrimination; Failure to comply with subpoena of Kansas Human Rights Commission or falsifying reports or other documents</v>
      </c>
      <c r="D1566" s="49" t="str">
        <f t="shared" si="3"/>
        <v>44-1020</v>
      </c>
      <c r="E1566" s="11" t="s">
        <v>133</v>
      </c>
      <c r="F1566" s="11">
        <v>3.0</v>
      </c>
      <c r="G1566" s="11">
        <v>3.0</v>
      </c>
      <c r="H1566" s="11">
        <v>3.0</v>
      </c>
      <c r="I1566" s="11">
        <v>3.0</v>
      </c>
    </row>
    <row r="1567">
      <c r="A1567" s="10" t="s">
        <v>7964</v>
      </c>
      <c r="B1567" s="49" t="str">
        <f t="shared" si="1"/>
        <v>Kansas Act Against Discrimination</v>
      </c>
      <c r="C1567" s="49" t="str">
        <f t="shared" si="2"/>
        <v>Kansas Act Against Discrimination; Intentionally and falsely swear, testify, affirm, declare or subscribe to any material fact upon oath or affirmation required by the Kansas act against discrimination; at felony trial</v>
      </c>
      <c r="D1567" s="49" t="str">
        <f t="shared" si="3"/>
        <v>44-1039</v>
      </c>
      <c r="E1567" s="11" t="s">
        <v>133</v>
      </c>
      <c r="F1567" s="11">
        <v>3.0</v>
      </c>
      <c r="G1567" s="11">
        <v>3.0</v>
      </c>
      <c r="H1567" s="11">
        <v>3.0</v>
      </c>
      <c r="I1567" s="11">
        <v>3.0</v>
      </c>
    </row>
    <row r="1568">
      <c r="A1568" s="10" t="s">
        <v>7965</v>
      </c>
      <c r="B1568" s="49" t="str">
        <f t="shared" si="1"/>
        <v>Kansas Act Against Discrimination</v>
      </c>
      <c r="C1568" s="49" t="str">
        <f t="shared" si="2"/>
        <v>Kansas Act Against Discrimination; Intentionally and falsely swear, testify, affirm, declare or subscribe to any material fact upon oath or affirmation required by the Kansas act against discrimination; at proceeding other than felony trial</v>
      </c>
      <c r="D1568" s="49" t="str">
        <f t="shared" si="3"/>
        <v>44-1039</v>
      </c>
      <c r="E1568" s="11" t="s">
        <v>133</v>
      </c>
      <c r="F1568" s="11">
        <v>3.0</v>
      </c>
      <c r="G1568" s="11">
        <v>3.0</v>
      </c>
      <c r="H1568" s="11">
        <v>3.0</v>
      </c>
      <c r="I1568" s="11">
        <v>3.0</v>
      </c>
    </row>
    <row r="1569">
      <c r="A1569" s="10" t="s">
        <v>7966</v>
      </c>
      <c r="B1569" s="49" t="str">
        <f t="shared" si="1"/>
        <v>Kansas Act Against Discrimination</v>
      </c>
      <c r="C1569" s="49" t="str">
        <f t="shared" si="2"/>
        <v>Kansas Act Against Discrimination; Willfully resist, prevent, impede or interfere with commission or any of its members or representatives in performance of duty under this act; willfully violate an order of the commission</v>
      </c>
      <c r="D1569" s="49" t="str">
        <f t="shared" si="3"/>
        <v>44-1013</v>
      </c>
      <c r="E1569" s="11" t="s">
        <v>133</v>
      </c>
      <c r="F1569" s="11">
        <v>3.0</v>
      </c>
      <c r="G1569" s="11">
        <v>3.0</v>
      </c>
      <c r="H1569" s="11">
        <v>3.0</v>
      </c>
      <c r="I1569" s="11">
        <v>3.0</v>
      </c>
    </row>
    <row r="1570">
      <c r="A1570" s="10" t="s">
        <v>7967</v>
      </c>
      <c r="B1570" s="49" t="str">
        <f t="shared" si="1"/>
        <v>Kansas Age Discrimination In Employment Act</v>
      </c>
      <c r="C1570" s="49" t="str">
        <f t="shared" si="2"/>
        <v>Kansas Age Discrimination In Employment Act; Willfully resist, prevent, impede or interfere with the commission, members or representatives in the performance of duty under this act or willfully violate an order of the commission</v>
      </c>
      <c r="D1570" s="49" t="str">
        <f t="shared" si="3"/>
        <v>44-1117(a)</v>
      </c>
      <c r="E1570" s="11" t="s">
        <v>133</v>
      </c>
      <c r="F1570" s="11">
        <v>3.0</v>
      </c>
      <c r="G1570" s="11">
        <v>3.0</v>
      </c>
      <c r="H1570" s="11">
        <v>3.0</v>
      </c>
      <c r="I1570" s="11">
        <v>3.0</v>
      </c>
    </row>
    <row r="1571">
      <c r="A1571" s="10" t="s">
        <v>7968</v>
      </c>
      <c r="B1571" s="49" t="str">
        <f t="shared" si="1"/>
        <v>Kansas Healing Arts Act</v>
      </c>
      <c r="C1571" s="49" t="str">
        <f t="shared" si="2"/>
        <v>Kansas Healing Arts Act; False impersonation</v>
      </c>
      <c r="D1571" s="49" t="str">
        <f t="shared" si="3"/>
        <v>65-2860</v>
      </c>
      <c r="E1571" s="11" t="s">
        <v>133</v>
      </c>
      <c r="F1571" s="11">
        <v>3.0</v>
      </c>
      <c r="G1571" s="11">
        <v>3.0</v>
      </c>
      <c r="H1571" s="11">
        <v>3.0</v>
      </c>
      <c r="I1571" s="11">
        <v>3.0</v>
      </c>
    </row>
    <row r="1572">
      <c r="A1572" s="10" t="s">
        <v>7969</v>
      </c>
      <c r="B1572" s="49" t="str">
        <f t="shared" si="1"/>
        <v>Kansas Healing Arts Act</v>
      </c>
      <c r="C1572" s="49" t="str">
        <f t="shared" si="2"/>
        <v>Kansas Healing Arts Act; False swearing</v>
      </c>
      <c r="D1572" s="49" t="str">
        <f t="shared" si="3"/>
        <v>65-2861</v>
      </c>
      <c r="E1572" s="11" t="s">
        <v>133</v>
      </c>
      <c r="F1572" s="11">
        <v>3.0</v>
      </c>
      <c r="G1572" s="11">
        <v>3.0</v>
      </c>
      <c r="H1572" s="11">
        <v>3.0</v>
      </c>
      <c r="I1572" s="11">
        <v>3.0</v>
      </c>
    </row>
    <row r="1573">
      <c r="A1573" s="10" t="s">
        <v>7970</v>
      </c>
      <c r="B1573" s="49" t="str">
        <f t="shared" si="1"/>
        <v>Kansas Healing Arts Act</v>
      </c>
      <c r="C1573" s="49" t="str">
        <f t="shared" si="2"/>
        <v>Kansas Healing Arts Act; Falsify or forge the declaration of another/willfully conceal or withhold personal knowledge of the revocation of a declaration with intent to cause a withholding or withdrawal of life-sustaining procedures contrary to the wishes of the declarant, and which directly causes life-sustaining procedures to be withheld or withdrawn and death to be hastened</v>
      </c>
      <c r="D1573" s="49" t="str">
        <f t="shared" si="3"/>
        <v>65-28,107(c)</v>
      </c>
      <c r="E1573" s="11" t="s">
        <v>133</v>
      </c>
      <c r="F1573" s="11">
        <v>3.0</v>
      </c>
      <c r="G1573" s="11">
        <v>3.0</v>
      </c>
      <c r="H1573" s="11">
        <v>3.0</v>
      </c>
      <c r="I1573" s="11">
        <v>3.0</v>
      </c>
    </row>
    <row r="1574">
      <c r="A1574" s="10" t="s">
        <v>7971</v>
      </c>
      <c r="B1574" s="49" t="str">
        <f t="shared" si="1"/>
        <v>Kansas Healing Arts Act</v>
      </c>
      <c r="C1574" s="49" t="str">
        <f t="shared" si="2"/>
        <v>Kansas Healing Arts Act; Filling false documents</v>
      </c>
      <c r="D1574" s="49" t="str">
        <f t="shared" si="3"/>
        <v>65-2859</v>
      </c>
      <c r="E1574" s="11" t="s">
        <v>133</v>
      </c>
      <c r="F1574" s="11">
        <v>3.0</v>
      </c>
      <c r="G1574" s="11">
        <v>3.0</v>
      </c>
      <c r="H1574" s="11">
        <v>3.0</v>
      </c>
      <c r="I1574" s="11">
        <v>3.0</v>
      </c>
    </row>
    <row r="1575">
      <c r="A1575" s="10" t="s">
        <v>7972</v>
      </c>
      <c r="B1575" s="49" t="str">
        <f t="shared" si="1"/>
        <v>Kansas Healing Arts Act</v>
      </c>
      <c r="C1575" s="49" t="str">
        <f t="shared" si="2"/>
        <v>Kansas Healing Arts Act; License prerequisite to practice</v>
      </c>
      <c r="D1575" s="49" t="str">
        <f t="shared" si="3"/>
        <v>65-2803(a)</v>
      </c>
      <c r="E1575" s="11" t="s">
        <v>133</v>
      </c>
      <c r="F1575" s="11">
        <v>3.0</v>
      </c>
      <c r="G1575" s="11">
        <v>3.0</v>
      </c>
      <c r="H1575" s="11">
        <v>3.0</v>
      </c>
      <c r="I1575" s="11">
        <v>3.0</v>
      </c>
    </row>
    <row r="1576">
      <c r="A1576" s="10" t="s">
        <v>7973</v>
      </c>
      <c r="B1576" s="49" t="str">
        <f t="shared" si="1"/>
        <v>Kansas Healing Arts Act</v>
      </c>
      <c r="C1576" s="49" t="str">
        <f t="shared" si="2"/>
        <v>Kansas Healing Arts Act; Open/maintain an office for practice of the healing arts or, announce/hold out to the public the intention, authority or skill to practice the healing arts by the use of any professional degree or designation, sign, card, circular, device, advertisement or representation if not licensed</v>
      </c>
      <c r="D1576" s="49" t="str">
        <f t="shared" si="3"/>
        <v>65-2867</v>
      </c>
      <c r="E1576" s="11" t="s">
        <v>133</v>
      </c>
      <c r="F1576" s="11">
        <v>3.0</v>
      </c>
      <c r="G1576" s="11">
        <v>3.0</v>
      </c>
      <c r="H1576" s="11">
        <v>3.0</v>
      </c>
      <c r="I1576" s="11">
        <v>3.0</v>
      </c>
    </row>
    <row r="1577">
      <c r="A1577" s="10" t="s">
        <v>7974</v>
      </c>
      <c r="B1577" s="49" t="str">
        <f t="shared" si="1"/>
        <v>Kansas Healing Arts Act</v>
      </c>
      <c r="C1577" s="49" t="str">
        <f t="shared" si="2"/>
        <v>Kansas Healing Arts Act; Penalties for violations of act; 1st and 2nd conviction</v>
      </c>
      <c r="D1577" s="49" t="str">
        <f t="shared" si="3"/>
        <v>65-2862</v>
      </c>
      <c r="E1577" s="11" t="s">
        <v>133</v>
      </c>
      <c r="F1577" s="11">
        <v>3.0</v>
      </c>
      <c r="G1577" s="11">
        <v>3.0</v>
      </c>
      <c r="H1577" s="11">
        <v>3.0</v>
      </c>
      <c r="I1577" s="11">
        <v>3.0</v>
      </c>
    </row>
    <row r="1578">
      <c r="A1578" s="10" t="s">
        <v>7975</v>
      </c>
      <c r="B1578" s="49" t="str">
        <f t="shared" si="1"/>
        <v>Kansas Healing Arts Act</v>
      </c>
      <c r="C1578" s="49" t="str">
        <f t="shared" si="2"/>
        <v>Kansas Healing Arts Act; Unauthorized disclosure of criminal history record information, criminal intelligence information and information relating to criminal and background investigations</v>
      </c>
      <c r="D1578" s="49" t="str">
        <f t="shared" si="3"/>
        <v>65-2839a(c)</v>
      </c>
      <c r="E1578" s="11" t="s">
        <v>133</v>
      </c>
      <c r="F1578" s="11">
        <v>3.0</v>
      </c>
      <c r="G1578" s="11">
        <v>3.0</v>
      </c>
      <c r="H1578" s="11">
        <v>3.0</v>
      </c>
      <c r="I1578" s="11">
        <v>3.0</v>
      </c>
    </row>
    <row r="1579">
      <c r="A1579" s="10" t="s">
        <v>7976</v>
      </c>
      <c r="B1579" s="49" t="str">
        <f t="shared" si="1"/>
        <v>Kansas Healing Arts Act</v>
      </c>
      <c r="C1579" s="49" t="str">
        <f t="shared" si="2"/>
        <v>Kansas Healing Arts Act; Willfully conceal, cancel, deface, obliterate or damage the declaration of another without declarant's consent; falsify or forge a revocation of the declaration of another</v>
      </c>
      <c r="D1579" s="49" t="str">
        <f t="shared" si="3"/>
        <v>65-28,107(b)</v>
      </c>
      <c r="E1579" s="11" t="s">
        <v>133</v>
      </c>
      <c r="F1579" s="11">
        <v>3.0</v>
      </c>
      <c r="G1579" s="11">
        <v>3.0</v>
      </c>
      <c r="H1579" s="11">
        <v>3.0</v>
      </c>
      <c r="I1579" s="11">
        <v>3.0</v>
      </c>
    </row>
    <row r="1580">
      <c r="A1580" s="10" t="s">
        <v>7977</v>
      </c>
      <c r="B1580" s="49" t="str">
        <f t="shared" si="1"/>
        <v>Kansas Highway Patrol</v>
      </c>
      <c r="C1580" s="49" t="str">
        <f t="shared" si="2"/>
        <v>Kansas Highway Patrol; Violation of rules/regulations checks for verification on VIN's/fraud</v>
      </c>
      <c r="D1580" s="49" t="str">
        <f t="shared" si="3"/>
        <v>74-2135</v>
      </c>
      <c r="E1580" s="11" t="s">
        <v>133</v>
      </c>
      <c r="F1580" s="11">
        <v>3.0</v>
      </c>
      <c r="G1580" s="11">
        <v>3.0</v>
      </c>
      <c r="H1580" s="11">
        <v>3.0</v>
      </c>
      <c r="I1580" s="11">
        <v>3.0</v>
      </c>
    </row>
    <row r="1581">
      <c r="A1581" s="10" t="s">
        <v>7978</v>
      </c>
      <c r="B1581" s="49" t="str">
        <f t="shared" si="1"/>
        <v>Kansas Liquor Control Act</v>
      </c>
      <c r="C1581" s="49" t="str">
        <f t="shared" si="2"/>
        <v>Kansas Liquor Control Act; Warehouse; false reports and unlawful removal</v>
      </c>
      <c r="D1581" s="49" t="str">
        <f t="shared" si="3"/>
        <v>41-405</v>
      </c>
      <c r="E1581" s="11" t="s">
        <v>133</v>
      </c>
      <c r="F1581" s="11">
        <v>3.0</v>
      </c>
      <c r="G1581" s="11">
        <v>3.0</v>
      </c>
      <c r="H1581" s="11">
        <v>3.0</v>
      </c>
      <c r="I1581" s="11">
        <v>3.0</v>
      </c>
    </row>
    <row r="1582">
      <c r="A1582" s="10" t="s">
        <v>7979</v>
      </c>
      <c r="B1582" s="49" t="str">
        <f t="shared" si="1"/>
        <v>Kansas Money Transmitter Act</v>
      </c>
      <c r="C1582" s="49" t="str">
        <f t="shared" si="2"/>
        <v>Kansas Money Transmitter Act; Penalty for knowingly violating provisions of the Act</v>
      </c>
      <c r="D1582" s="49" t="str">
        <f t="shared" si="3"/>
        <v>9-512</v>
      </c>
      <c r="E1582" s="11" t="s">
        <v>133</v>
      </c>
      <c r="F1582" s="11">
        <v>3.0</v>
      </c>
      <c r="G1582" s="11">
        <v>3.0</v>
      </c>
      <c r="H1582" s="11">
        <v>3.0</v>
      </c>
      <c r="I1582" s="11">
        <v>3.0</v>
      </c>
    </row>
    <row r="1583">
      <c r="A1583" s="10" t="s">
        <v>7980</v>
      </c>
      <c r="B1583" s="49" t="str">
        <f t="shared" si="1"/>
        <v>Kansas Offender Registration Act</v>
      </c>
      <c r="C1583" s="49" t="str">
        <f t="shared" si="2"/>
        <v>Kansas Offender Registration Act; Aggravated failure to register as required                                                                                            * See 2016 Supp. K.S.A. 22-4903</v>
      </c>
      <c r="D1583" s="49" t="str">
        <f t="shared" si="3"/>
        <v>22-4903(b)</v>
      </c>
      <c r="E1583" s="11" t="s">
        <v>133</v>
      </c>
      <c r="F1583" s="11">
        <v>3.0</v>
      </c>
      <c r="G1583" s="11">
        <v>3.0</v>
      </c>
      <c r="H1583" s="11">
        <v>3.0</v>
      </c>
      <c r="I1583" s="11">
        <v>3.0</v>
      </c>
    </row>
    <row r="1584">
      <c r="A1584" s="10" t="s">
        <v>7981</v>
      </c>
      <c r="B1584" s="49" t="str">
        <f t="shared" si="1"/>
        <v>Kansas Offender Registration Act</v>
      </c>
      <c r="C1584" s="49" t="str">
        <f t="shared" si="2"/>
        <v>Kansas Offender Registration Act; Failure to register as required; 1st conviction                                                                                       * See 2016 Supp. K.S.A. 22-4903</v>
      </c>
      <c r="D1584" s="49" t="str">
        <f t="shared" si="3"/>
        <v>22-4903(a)</v>
      </c>
      <c r="E1584" s="11" t="s">
        <v>133</v>
      </c>
      <c r="F1584" s="11">
        <v>3.0</v>
      </c>
      <c r="G1584" s="11">
        <v>3.0</v>
      </c>
      <c r="H1584" s="11">
        <v>3.0</v>
      </c>
      <c r="I1584" s="11">
        <v>3.0</v>
      </c>
    </row>
    <row r="1585">
      <c r="A1585" s="10" t="s">
        <v>7982</v>
      </c>
      <c r="B1585" s="49" t="str">
        <f t="shared" si="1"/>
        <v>Kansas Offender Registration Act</v>
      </c>
      <c r="C1585" s="49" t="str">
        <f t="shared" si="2"/>
        <v>Kansas Offender Registration Act; Failure to register as required; 2nd conviction                                                                                      * See 2016 Supp. K.S.A. 22-4903</v>
      </c>
      <c r="D1585" s="49" t="str">
        <f t="shared" si="3"/>
        <v>22-4903(a)</v>
      </c>
      <c r="E1585" s="11" t="s">
        <v>133</v>
      </c>
      <c r="F1585" s="11">
        <v>3.0</v>
      </c>
      <c r="G1585" s="11">
        <v>3.0</v>
      </c>
      <c r="H1585" s="11">
        <v>3.0</v>
      </c>
      <c r="I1585" s="11">
        <v>3.0</v>
      </c>
    </row>
    <row r="1586">
      <c r="A1586" s="10" t="s">
        <v>7983</v>
      </c>
      <c r="B1586" s="49" t="str">
        <f t="shared" si="1"/>
        <v>Kansas Offender Registration Act</v>
      </c>
      <c r="C1586" s="49" t="str">
        <f t="shared" si="2"/>
        <v>Kansas Offender Registration Act; Failure to register as required; 3rd and subs. conviction                                                                      * See 2016 Supp. K.S.A. 22-4903</v>
      </c>
      <c r="D1586" s="49" t="str">
        <f t="shared" si="3"/>
        <v>22-4903(a)</v>
      </c>
      <c r="E1586" s="11" t="s">
        <v>133</v>
      </c>
      <c r="F1586" s="11">
        <v>3.0</v>
      </c>
      <c r="G1586" s="11">
        <v>3.0</v>
      </c>
      <c r="H1586" s="11">
        <v>3.0</v>
      </c>
      <c r="I1586" s="11">
        <v>3.0</v>
      </c>
    </row>
    <row r="1587">
      <c r="A1587" s="10" t="s">
        <v>7984</v>
      </c>
      <c r="B1587" s="49" t="str">
        <f t="shared" si="1"/>
        <v>Kansas Offender Registration Act</v>
      </c>
      <c r="C1587" s="49" t="str">
        <f t="shared" si="2"/>
        <v>Kansas Offender Registration Act; Failure to remit payment as required by K.S.A. 22-4905(k); failure to remit one full payment                                        * See 2016 Supp. K.S.A. 22-4903</v>
      </c>
      <c r="D1587" s="49" t="str">
        <f t="shared" si="3"/>
        <v>22-4903(a)</v>
      </c>
      <c r="E1587" s="11" t="s">
        <v>133</v>
      </c>
      <c r="F1587" s="11">
        <v>3.0</v>
      </c>
      <c r="G1587" s="11">
        <v>3.0</v>
      </c>
      <c r="H1587" s="11">
        <v>3.0</v>
      </c>
      <c r="I1587" s="11">
        <v>3.0</v>
      </c>
    </row>
    <row r="1588">
      <c r="A1588" s="10" t="s">
        <v>7985</v>
      </c>
      <c r="B1588" s="49" t="str">
        <f t="shared" si="1"/>
        <v>Kansas Offender Registration Act</v>
      </c>
      <c r="C1588" s="49" t="str">
        <f t="shared" si="2"/>
        <v>Kansas Offender Registration Act; Failure to remit payment as required by K.S.A. 22-4905(k); failure to remit two or more full payments                          * See 2016 Supp. K.S.A. 22-4903</v>
      </c>
      <c r="D1588" s="49" t="str">
        <f t="shared" si="3"/>
        <v>22-4903(a)</v>
      </c>
      <c r="E1588" s="11" t="s">
        <v>133</v>
      </c>
      <c r="F1588" s="11">
        <v>3.0</v>
      </c>
      <c r="G1588" s="11">
        <v>3.0</v>
      </c>
      <c r="H1588" s="11">
        <v>3.0</v>
      </c>
      <c r="I1588" s="11">
        <v>3.0</v>
      </c>
    </row>
    <row r="1589">
      <c r="A1589" s="10" t="s">
        <v>7986</v>
      </c>
      <c r="B1589" s="49" t="str">
        <f t="shared" si="1"/>
        <v>Kansas Sheep Council</v>
      </c>
      <c r="C1589" s="49" t="str">
        <f t="shared" si="2"/>
        <v>Kansas Sheep Council; Violation of provisions of act</v>
      </c>
      <c r="D1589" s="49" t="str">
        <f t="shared" si="3"/>
        <v>47-2007</v>
      </c>
      <c r="E1589" s="11" t="s">
        <v>133</v>
      </c>
      <c r="F1589" s="11">
        <v>3.0</v>
      </c>
      <c r="G1589" s="11">
        <v>3.0</v>
      </c>
      <c r="H1589" s="11">
        <v>3.0</v>
      </c>
      <c r="I1589" s="11">
        <v>3.0</v>
      </c>
    </row>
    <row r="1590">
      <c r="A1590" s="10" t="s">
        <v>7987</v>
      </c>
      <c r="B1590" s="49" t="str">
        <f t="shared" si="1"/>
        <v>Kansas Uniform Securities Act</v>
      </c>
      <c r="C1590" s="49" t="str">
        <f t="shared" si="2"/>
        <v>Kansas Uniform Securities Act; Criminal Penalties; Intentional violation of this act, or rule adopted or order issued under this act, except as provided in subsections (a) (2) through (a) (4) of K.S.A. 17-12a508, K.S.A. 2005 Supp. 17-12a504, (filing requirement) and amendments thereto, or the notice filing requirements of K.S.A. 2005 Supp. 17-12a302, (required filing of record) or 17-12a405, (notice filing requirement) and amendments thereto.  An individual may be fined, but not imprisoned, if the individual did not have knowledge of the rule or order</v>
      </c>
      <c r="D1590" s="49" t="str">
        <f t="shared" si="3"/>
        <v>17-12a101 et. seq.</v>
      </c>
      <c r="E1590" s="11" t="s">
        <v>133</v>
      </c>
      <c r="F1590" s="11">
        <v>3.0</v>
      </c>
      <c r="G1590" s="11">
        <v>3.0</v>
      </c>
      <c r="H1590" s="11">
        <v>3.0</v>
      </c>
      <c r="I1590" s="11">
        <v>3.0</v>
      </c>
    </row>
    <row r="1591">
      <c r="A1591" s="10" t="s">
        <v>7988</v>
      </c>
      <c r="B1591" s="49" t="str">
        <f t="shared" si="1"/>
        <v>Kansas Uniform Securities Act</v>
      </c>
      <c r="C1591" s="49" t="str">
        <f t="shared" si="2"/>
        <v>Kansas Uniform Securities Act; Criminal Penalties; Intentional violation of this act, or rule adopted or order issued under this act, except as provided in subsections (a) (2) through (a) (4) of K.S.A. 17-12a508, K.S.A. 2005 Supp. 17-12a504, (filing requirement) or the notice filing requirements of K.S.A. 2005 Supp. 17-12a302, (required filing of record) or 17-12a405, (notice filing requirement); if the victim was an elder person  An individual may be fined, but not imprisoned, if the individual did not have knowledge of the rule or order</v>
      </c>
      <c r="D1591" s="49" t="str">
        <f t="shared" si="3"/>
        <v>17-12a101 et. seq.</v>
      </c>
      <c r="E1591" s="11" t="s">
        <v>133</v>
      </c>
      <c r="F1591" s="11">
        <v>3.0</v>
      </c>
      <c r="G1591" s="11">
        <v>3.0</v>
      </c>
      <c r="H1591" s="11">
        <v>3.0</v>
      </c>
      <c r="I1591" s="11">
        <v>3.0</v>
      </c>
    </row>
    <row r="1592">
      <c r="A1592" s="10" t="s">
        <v>7989</v>
      </c>
      <c r="B1592" s="49" t="str">
        <f t="shared" si="1"/>
        <v>Kansas Uniform Securities Act</v>
      </c>
      <c r="C1592" s="49" t="str">
        <f t="shared" si="2"/>
        <v>Kansas Uniform Securities Act; Intentional fraud in providing investment advice; employ a device, scheme, or artifice to defraud another; $1,000,000 or more (presumptive imprisonment)</v>
      </c>
      <c r="D1592" s="49" t="str">
        <f t="shared" si="3"/>
        <v>17-12a502(a)(1)</v>
      </c>
      <c r="E1592" s="11" t="s">
        <v>133</v>
      </c>
      <c r="F1592" s="11">
        <v>3.0</v>
      </c>
      <c r="G1592" s="11">
        <v>3.0</v>
      </c>
      <c r="H1592" s="11">
        <v>3.0</v>
      </c>
      <c r="I1592" s="11">
        <v>3.0</v>
      </c>
    </row>
    <row r="1593">
      <c r="A1593" s="10" t="s">
        <v>7990</v>
      </c>
      <c r="B1593" s="49" t="str">
        <f t="shared" si="1"/>
        <v>Kansas Uniform Securities Act</v>
      </c>
      <c r="C1593" s="49" t="str">
        <f t="shared" si="2"/>
        <v>Kansas Uniform Securities Act; Intentional fraud in providing investment advice; employ a device, scheme, or artifice to defraud another; $1,000,000 or more; if victim was an elder person (presumptive imprisonment)</v>
      </c>
      <c r="D1593" s="49" t="str">
        <f t="shared" si="3"/>
        <v>17-12a502(a)(1)</v>
      </c>
      <c r="E1593" s="11" t="s">
        <v>133</v>
      </c>
      <c r="F1593" s="11">
        <v>3.0</v>
      </c>
      <c r="G1593" s="11">
        <v>3.0</v>
      </c>
      <c r="H1593" s="11">
        <v>3.0</v>
      </c>
      <c r="I1593" s="11">
        <v>3.0</v>
      </c>
    </row>
    <row r="1594">
      <c r="A1594" s="10" t="s">
        <v>7991</v>
      </c>
      <c r="B1594" s="49" t="str">
        <f t="shared" si="1"/>
        <v>Kansas Uniform Securities Act</v>
      </c>
      <c r="C1594" s="49" t="str">
        <f t="shared" si="2"/>
        <v>Kansas Uniform Securities Act; Intentional fraud in providing investment advice; employ a device, scheme, or artifice to defraud another; at least $100,000 but less than $250,000 (presumptive imprisonment)</v>
      </c>
      <c r="D1594" s="49" t="str">
        <f t="shared" si="3"/>
        <v>17-12a502(a)(1)</v>
      </c>
      <c r="E1594" s="11" t="s">
        <v>133</v>
      </c>
      <c r="F1594" s="11">
        <v>3.0</v>
      </c>
      <c r="G1594" s="11">
        <v>3.0</v>
      </c>
      <c r="H1594" s="11">
        <v>3.0</v>
      </c>
      <c r="I1594" s="11">
        <v>3.0</v>
      </c>
    </row>
    <row r="1595">
      <c r="A1595" s="10" t="s">
        <v>7992</v>
      </c>
      <c r="B1595" s="49" t="str">
        <f t="shared" si="1"/>
        <v>Kansas Uniform Securities Act</v>
      </c>
      <c r="C1595" s="49" t="str">
        <f t="shared" si="2"/>
        <v>Kansas Uniform Securities Act; Intentional fraud in providing investment advice; employ a device, scheme, or artifice to defraud another; at least $100,000 but less than $250,000; if victim was an elder person (presumptive imprisonment)</v>
      </c>
      <c r="D1595" s="49" t="str">
        <f t="shared" si="3"/>
        <v>17-12a502(a)(1)</v>
      </c>
      <c r="E1595" s="11" t="s">
        <v>133</v>
      </c>
      <c r="F1595" s="11">
        <v>3.0</v>
      </c>
      <c r="G1595" s="11">
        <v>3.0</v>
      </c>
      <c r="H1595" s="11">
        <v>3.0</v>
      </c>
      <c r="I1595" s="11">
        <v>3.0</v>
      </c>
    </row>
    <row r="1596">
      <c r="A1596" s="10" t="s">
        <v>7993</v>
      </c>
      <c r="B1596" s="49" t="str">
        <f t="shared" si="1"/>
        <v>Kansas Uniform Securities Act</v>
      </c>
      <c r="C1596" s="49" t="str">
        <f t="shared" si="2"/>
        <v>Kansas Uniform Securities Act; Intentional fraud in providing investment advice; employ a device, scheme, or artifice to defraud another; at least $25,000 but less than $100,000 (presumptive imprisonment)</v>
      </c>
      <c r="D1596" s="49" t="str">
        <f t="shared" si="3"/>
        <v>17-12a502(a)(1)</v>
      </c>
      <c r="E1596" s="11" t="s">
        <v>133</v>
      </c>
      <c r="F1596" s="11">
        <v>3.0</v>
      </c>
      <c r="G1596" s="11">
        <v>3.0</v>
      </c>
      <c r="H1596" s="11">
        <v>3.0</v>
      </c>
      <c r="I1596" s="11">
        <v>3.0</v>
      </c>
    </row>
    <row r="1597">
      <c r="A1597" s="10" t="s">
        <v>7994</v>
      </c>
      <c r="B1597" s="49" t="str">
        <f t="shared" si="1"/>
        <v>Kansas Uniform Securities Act</v>
      </c>
      <c r="C1597" s="49" t="str">
        <f t="shared" si="2"/>
        <v>Kansas Uniform Securities Act; Intentional fraud in providing investment advice; employ a device, scheme, or artifice to defraud another; at least $25,000 but less than $100,000; if victim was an elder person (presumptive imprisonment)</v>
      </c>
      <c r="D1597" s="49" t="str">
        <f t="shared" si="3"/>
        <v>17-12a502(a)(1)</v>
      </c>
      <c r="E1597" s="11" t="s">
        <v>133</v>
      </c>
      <c r="F1597" s="11">
        <v>3.0</v>
      </c>
      <c r="G1597" s="11">
        <v>3.0</v>
      </c>
      <c r="H1597" s="11">
        <v>3.0</v>
      </c>
      <c r="I1597" s="11">
        <v>3.0</v>
      </c>
    </row>
    <row r="1598">
      <c r="A1598" s="10" t="s">
        <v>7995</v>
      </c>
      <c r="B1598" s="49" t="str">
        <f t="shared" si="1"/>
        <v>Kansas Uniform Securities Act</v>
      </c>
      <c r="C1598" s="49" t="str">
        <f t="shared" si="2"/>
        <v>Kansas Uniform Securities Act; Intentional fraud in providing investment advice; employ a device, scheme, or artifice to defraud another; at least $250,000 but less than $1,000,000 (presumptive imprisonment)</v>
      </c>
      <c r="D1598" s="49" t="str">
        <f t="shared" si="3"/>
        <v>17-12a502(a)(1)</v>
      </c>
      <c r="E1598" s="11" t="s">
        <v>133</v>
      </c>
      <c r="F1598" s="11">
        <v>3.0</v>
      </c>
      <c r="G1598" s="11">
        <v>3.0</v>
      </c>
      <c r="H1598" s="11">
        <v>3.0</v>
      </c>
      <c r="I1598" s="11">
        <v>3.0</v>
      </c>
    </row>
    <row r="1599">
      <c r="A1599" s="10" t="s">
        <v>7996</v>
      </c>
      <c r="B1599" s="49" t="str">
        <f t="shared" si="1"/>
        <v>Kansas Uniform Securities Act</v>
      </c>
      <c r="C1599" s="49" t="str">
        <f t="shared" si="2"/>
        <v>Kansas Uniform Securities Act; Intentional fraud in providing investment advice; employ a device, scheme, or artifice to defraud another; at least $250,000 but less than $1,000,000; if victim was an elder person (presumptive imprisonment)</v>
      </c>
      <c r="D1599" s="49" t="str">
        <f t="shared" si="3"/>
        <v>17-12a502(a)(1)</v>
      </c>
      <c r="E1599" s="11" t="s">
        <v>133</v>
      </c>
      <c r="F1599" s="11">
        <v>3.0</v>
      </c>
      <c r="G1599" s="11">
        <v>3.0</v>
      </c>
      <c r="H1599" s="11">
        <v>3.0</v>
      </c>
      <c r="I1599" s="11">
        <v>3.0</v>
      </c>
    </row>
    <row r="1600">
      <c r="A1600" s="10" t="s">
        <v>7997</v>
      </c>
      <c r="B1600" s="49" t="str">
        <f t="shared" si="1"/>
        <v>Kansas Uniform Securities Act</v>
      </c>
      <c r="C1600" s="49" t="str">
        <f t="shared" si="2"/>
        <v>Kansas Uniform Securities Act; Intentional fraud in providing investment advice; employ a device, scheme, or artifice to defraud another; less than $25,000</v>
      </c>
      <c r="D1600" s="49" t="str">
        <f t="shared" si="3"/>
        <v>17-12a502(a)(1)</v>
      </c>
      <c r="E1600" s="11" t="s">
        <v>133</v>
      </c>
      <c r="F1600" s="11">
        <v>3.0</v>
      </c>
      <c r="G1600" s="11">
        <v>3.0</v>
      </c>
      <c r="H1600" s="11">
        <v>3.0</v>
      </c>
      <c r="I1600" s="11">
        <v>3.0</v>
      </c>
    </row>
    <row r="1601">
      <c r="A1601" s="10" t="s">
        <v>7998</v>
      </c>
      <c r="B1601" s="49" t="str">
        <f t="shared" si="1"/>
        <v>Kansas Uniform Securities Act</v>
      </c>
      <c r="C1601" s="49" t="str">
        <f t="shared" si="2"/>
        <v>Kansas Uniform Securities Act; Intentional fraud in providing investment advice; employ a device, scheme, or artifice to defraud another; less than $25,000; if victim was an elder person</v>
      </c>
      <c r="D1601" s="49" t="str">
        <f t="shared" si="3"/>
        <v>17-12a502(a)(1)</v>
      </c>
      <c r="E1601" s="11" t="s">
        <v>133</v>
      </c>
      <c r="F1601" s="11">
        <v>3.0</v>
      </c>
      <c r="G1601" s="11">
        <v>3.0</v>
      </c>
      <c r="H1601" s="11">
        <v>3.0</v>
      </c>
      <c r="I1601" s="11">
        <v>3.0</v>
      </c>
    </row>
    <row r="1602">
      <c r="A1602" s="10" t="s">
        <v>7999</v>
      </c>
      <c r="B1602" s="49" t="str">
        <f t="shared" si="1"/>
        <v>Kansas Uniform Securities Act</v>
      </c>
      <c r="C1602" s="49" t="str">
        <f t="shared" si="2"/>
        <v>Kansas Uniform Securities Act; Intentional fraud in providing investment advice; engage in act, practice, or course of business that operates as a fraud or deceit; $1,000,000 or more (presumptive imprisonment)</v>
      </c>
      <c r="D1602" s="49" t="str">
        <f t="shared" si="3"/>
        <v>17-12a502(a)(2)</v>
      </c>
      <c r="E1602" s="11" t="s">
        <v>133</v>
      </c>
      <c r="F1602" s="11">
        <v>3.0</v>
      </c>
      <c r="G1602" s="11">
        <v>3.0</v>
      </c>
      <c r="H1602" s="11">
        <v>3.0</v>
      </c>
      <c r="I1602" s="11">
        <v>3.0</v>
      </c>
    </row>
    <row r="1603">
      <c r="A1603" s="10" t="s">
        <v>8000</v>
      </c>
      <c r="B1603" s="49" t="str">
        <f t="shared" si="1"/>
        <v>Kansas Uniform Securities Act</v>
      </c>
      <c r="C1603" s="49" t="str">
        <f t="shared" si="2"/>
        <v>Kansas Uniform Securities Act; Intentional fraud in providing investment advice; engage in act, practice, or course of business that operates as a fraud or deceit; $1,000,000 or more; if victim was an elder person (presumptive imprisonment)</v>
      </c>
      <c r="D1603" s="49" t="str">
        <f t="shared" si="3"/>
        <v>17-12a502(a)(2)</v>
      </c>
      <c r="E1603" s="11" t="s">
        <v>133</v>
      </c>
      <c r="F1603" s="11">
        <v>3.0</v>
      </c>
      <c r="G1603" s="11">
        <v>3.0</v>
      </c>
      <c r="H1603" s="11">
        <v>3.0</v>
      </c>
      <c r="I1603" s="11">
        <v>3.0</v>
      </c>
    </row>
    <row r="1604">
      <c r="A1604" s="10" t="s">
        <v>8001</v>
      </c>
      <c r="B1604" s="49" t="str">
        <f t="shared" si="1"/>
        <v>Kansas Uniform Securities Act</v>
      </c>
      <c r="C1604" s="49" t="str">
        <f t="shared" si="2"/>
        <v>Kansas Uniform Securities Act; Intentional fraud in providing investment advice; engage in act, practice, or course of business that operates as a fraud or deceit; at least $100,000 but less than $250,000 (presumptive imprisonment)</v>
      </c>
      <c r="D1604" s="49" t="str">
        <f t="shared" si="3"/>
        <v>17-12a502(a)(2)</v>
      </c>
      <c r="E1604" s="11" t="s">
        <v>133</v>
      </c>
      <c r="F1604" s="11">
        <v>3.0</v>
      </c>
      <c r="G1604" s="11">
        <v>3.0</v>
      </c>
      <c r="H1604" s="11">
        <v>3.0</v>
      </c>
      <c r="I1604" s="11">
        <v>3.0</v>
      </c>
    </row>
    <row r="1605">
      <c r="A1605" s="10" t="s">
        <v>8002</v>
      </c>
      <c r="B1605" s="49" t="str">
        <f t="shared" si="1"/>
        <v>Kansas Uniform Securities Act</v>
      </c>
      <c r="C1605" s="49" t="str">
        <f t="shared" si="2"/>
        <v>Kansas Uniform Securities Act; Intentional fraud in providing investment advice; engage in act, practice, or course of business that operates as a fraud or deceit; at least $100,000 but less than $250,000; if victim was an elder person (presumptive imprisonment)</v>
      </c>
      <c r="D1605" s="49" t="str">
        <f t="shared" si="3"/>
        <v>17-12a502(a)(2)</v>
      </c>
      <c r="E1605" s="11" t="s">
        <v>133</v>
      </c>
      <c r="F1605" s="11">
        <v>3.0</v>
      </c>
      <c r="G1605" s="11">
        <v>3.0</v>
      </c>
      <c r="H1605" s="11">
        <v>3.0</v>
      </c>
      <c r="I1605" s="11">
        <v>3.0</v>
      </c>
    </row>
    <row r="1606">
      <c r="A1606" s="10" t="s">
        <v>8003</v>
      </c>
      <c r="B1606" s="49" t="str">
        <f t="shared" si="1"/>
        <v>Kansas Uniform Securities Act</v>
      </c>
      <c r="C1606" s="49" t="str">
        <f t="shared" si="2"/>
        <v>Kansas Uniform Securities Act; Intentional fraud in providing investment advice; engage in act, practice, or course of business that operates as a fraud or deceit; at least $25,000 but less than $100,000 (presumptive imprisonment)</v>
      </c>
      <c r="D1606" s="49" t="str">
        <f t="shared" si="3"/>
        <v>17-12a502(a)(2)</v>
      </c>
      <c r="E1606" s="11" t="s">
        <v>133</v>
      </c>
      <c r="F1606" s="11">
        <v>3.0</v>
      </c>
      <c r="G1606" s="11">
        <v>3.0</v>
      </c>
      <c r="H1606" s="11">
        <v>3.0</v>
      </c>
      <c r="I1606" s="11">
        <v>3.0</v>
      </c>
    </row>
    <row r="1607">
      <c r="A1607" s="10" t="s">
        <v>8004</v>
      </c>
      <c r="B1607" s="49" t="str">
        <f t="shared" si="1"/>
        <v>Kansas Uniform Securities Act</v>
      </c>
      <c r="C1607" s="49" t="str">
        <f t="shared" si="2"/>
        <v>Kansas Uniform Securities Act; Intentional fraud in providing investment advice; engage in act, practice, or course of business that operates as a fraud or deceit; at least $25,000 but less than $100,000; if victim was an elder person (presumptive imprisonment)</v>
      </c>
      <c r="D1607" s="49" t="str">
        <f t="shared" si="3"/>
        <v>17-12a502(a)(2)</v>
      </c>
      <c r="E1607" s="11" t="s">
        <v>133</v>
      </c>
      <c r="F1607" s="11">
        <v>3.0</v>
      </c>
      <c r="G1607" s="11">
        <v>3.0</v>
      </c>
      <c r="H1607" s="11">
        <v>3.0</v>
      </c>
      <c r="I1607" s="11">
        <v>3.0</v>
      </c>
    </row>
    <row r="1608">
      <c r="A1608" s="10" t="s">
        <v>8005</v>
      </c>
      <c r="B1608" s="49" t="str">
        <f t="shared" si="1"/>
        <v>Kansas Uniform Securities Act</v>
      </c>
      <c r="C1608" s="49" t="str">
        <f t="shared" si="2"/>
        <v>Kansas Uniform Securities Act; Intentional fraud in providing investment advice; engage in act, practice, or course of business that operates as a fraud or deceit; at least $250,000 but less than $1,000,000 (presumptive imprisonment)</v>
      </c>
      <c r="D1608" s="49" t="str">
        <f t="shared" si="3"/>
        <v>17-12a502(a)(2)</v>
      </c>
      <c r="E1608" s="11" t="s">
        <v>133</v>
      </c>
      <c r="F1608" s="11">
        <v>3.0</v>
      </c>
      <c r="G1608" s="11">
        <v>3.0</v>
      </c>
      <c r="H1608" s="11">
        <v>3.0</v>
      </c>
      <c r="I1608" s="11">
        <v>3.0</v>
      </c>
    </row>
    <row r="1609">
      <c r="A1609" s="10" t="s">
        <v>8006</v>
      </c>
      <c r="B1609" s="49" t="str">
        <f t="shared" si="1"/>
        <v>Kansas Uniform Securities Act</v>
      </c>
      <c r="C1609" s="49" t="str">
        <f t="shared" si="2"/>
        <v>Kansas Uniform Securities Act; Intentional fraud in providing investment advice; engage in act, practice, or course of business that operates as a fraud or deceit; at least $250,000 but less than $1,000,000; if victim was an elder person (presumptive imprisonment)</v>
      </c>
      <c r="D1609" s="49" t="str">
        <f t="shared" si="3"/>
        <v>17-12a502(a)(2)</v>
      </c>
      <c r="E1609" s="11" t="s">
        <v>133</v>
      </c>
      <c r="F1609" s="11">
        <v>3.0</v>
      </c>
      <c r="G1609" s="11">
        <v>3.0</v>
      </c>
      <c r="H1609" s="11">
        <v>3.0</v>
      </c>
      <c r="I1609" s="11">
        <v>3.0</v>
      </c>
    </row>
    <row r="1610">
      <c r="A1610" s="10" t="s">
        <v>8007</v>
      </c>
      <c r="B1610" s="49" t="str">
        <f t="shared" si="1"/>
        <v>Kansas Uniform Securities Act</v>
      </c>
      <c r="C1610" s="49" t="str">
        <f t="shared" si="2"/>
        <v>Kansas Uniform Securities Act; Intentional fraud in providing investment advice; engage in act, practice, or course of business that operates as a fraud or deceit; less than $25,000</v>
      </c>
      <c r="D1610" s="49" t="str">
        <f t="shared" si="3"/>
        <v>17-12a502(a)(2)</v>
      </c>
      <c r="E1610" s="11" t="s">
        <v>133</v>
      </c>
      <c r="F1610" s="11">
        <v>3.0</v>
      </c>
      <c r="G1610" s="11">
        <v>3.0</v>
      </c>
      <c r="H1610" s="11">
        <v>3.0</v>
      </c>
      <c r="I1610" s="11">
        <v>3.0</v>
      </c>
    </row>
    <row r="1611">
      <c r="A1611" s="10" t="s">
        <v>8008</v>
      </c>
      <c r="B1611" s="49" t="str">
        <f t="shared" si="1"/>
        <v>Kansas Uniform Securities Act</v>
      </c>
      <c r="C1611" s="49" t="str">
        <f t="shared" si="2"/>
        <v>Kansas Uniform Securities Act; Intentional fraud in providing investment advice; engage in act, practice, or course of business that operates as a fraud or deceit; less than $25,000; if victim was an elder person</v>
      </c>
      <c r="D1611" s="49" t="str">
        <f t="shared" si="3"/>
        <v>17-12a502(a)(2)</v>
      </c>
      <c r="E1611" s="11" t="s">
        <v>133</v>
      </c>
      <c r="F1611" s="11">
        <v>3.0</v>
      </c>
      <c r="G1611" s="11">
        <v>3.0</v>
      </c>
      <c r="H1611" s="11">
        <v>3.0</v>
      </c>
      <c r="I1611" s="11">
        <v>3.0</v>
      </c>
    </row>
    <row r="1612">
      <c r="A1612" s="10" t="s">
        <v>8009</v>
      </c>
      <c r="B1612" s="49" t="str">
        <f t="shared" si="1"/>
        <v>Kansas Uniform Securities Act</v>
      </c>
      <c r="C1612" s="49" t="str">
        <f t="shared" si="2"/>
        <v>Kansas Uniform Securities Act; Intentional general fraud in connection with offer, sale, or purchase of a security; employing device, scheme or artifice to defraud; $1,000,000 or more (presumptive imprisonment)</v>
      </c>
      <c r="D1612" s="49" t="str">
        <f t="shared" si="3"/>
        <v>17-12a501(1)</v>
      </c>
      <c r="E1612" s="11" t="s">
        <v>133</v>
      </c>
      <c r="F1612" s="11">
        <v>3.0</v>
      </c>
      <c r="G1612" s="11">
        <v>3.0</v>
      </c>
      <c r="H1612" s="11">
        <v>3.0</v>
      </c>
      <c r="I1612" s="11">
        <v>3.0</v>
      </c>
    </row>
    <row r="1613">
      <c r="A1613" s="10" t="s">
        <v>8010</v>
      </c>
      <c r="B1613" s="49" t="str">
        <f t="shared" si="1"/>
        <v>Kansas Uniform Securities Act</v>
      </c>
      <c r="C1613" s="49" t="str">
        <f t="shared" si="2"/>
        <v>Kansas Uniform Securities Act; Intentional general fraud in connection with offer, sale, or purchase of a security; employing device, scheme or artifice to defraud; $1,000,000 or more; if victim was an elder person (presumptive imprisonment)</v>
      </c>
      <c r="D1613" s="49" t="str">
        <f t="shared" si="3"/>
        <v>17-12a501(1)</v>
      </c>
      <c r="E1613" s="11" t="s">
        <v>133</v>
      </c>
      <c r="F1613" s="11">
        <v>3.0</v>
      </c>
      <c r="G1613" s="11">
        <v>3.0</v>
      </c>
      <c r="H1613" s="11">
        <v>3.0</v>
      </c>
      <c r="I1613" s="11">
        <v>3.0</v>
      </c>
    </row>
    <row r="1614">
      <c r="A1614" s="10" t="s">
        <v>8011</v>
      </c>
      <c r="B1614" s="49" t="str">
        <f t="shared" si="1"/>
        <v>Kansas Uniform Securities Act</v>
      </c>
      <c r="C1614" s="49" t="str">
        <f t="shared" si="2"/>
        <v>Kansas Uniform Securities Act; Intentional general fraud in connection with offer, sale, or purchase of a security; employing device, scheme or artifice to defraud; at least $100,000 but less than $250,000 (presumptive imprisonment)</v>
      </c>
      <c r="D1614" s="49" t="str">
        <f t="shared" si="3"/>
        <v>17-12a501(1)</v>
      </c>
      <c r="E1614" s="11" t="s">
        <v>133</v>
      </c>
      <c r="F1614" s="11">
        <v>3.0</v>
      </c>
      <c r="G1614" s="11">
        <v>3.0</v>
      </c>
      <c r="H1614" s="11">
        <v>3.0</v>
      </c>
      <c r="I1614" s="11">
        <v>3.0</v>
      </c>
    </row>
    <row r="1615">
      <c r="A1615" s="10" t="s">
        <v>8012</v>
      </c>
      <c r="B1615" s="49" t="str">
        <f t="shared" si="1"/>
        <v>Kansas Uniform Securities Act</v>
      </c>
      <c r="C1615" s="49" t="str">
        <f t="shared" si="2"/>
        <v>Kansas Uniform Securities Act; Intentional general fraud in connection with offer, sale, or purchase of a security; employing device, scheme or artifice to defraud; at least $100,000 but less than $250,000; if victim was an elder person (presumptive imprisonment)</v>
      </c>
      <c r="D1615" s="49" t="str">
        <f t="shared" si="3"/>
        <v>17-12a501(1)</v>
      </c>
      <c r="E1615" s="11" t="s">
        <v>133</v>
      </c>
      <c r="F1615" s="11">
        <v>3.0</v>
      </c>
      <c r="G1615" s="11">
        <v>3.0</v>
      </c>
      <c r="H1615" s="11">
        <v>3.0</v>
      </c>
      <c r="I1615" s="11">
        <v>3.0</v>
      </c>
    </row>
    <row r="1616">
      <c r="A1616" s="10" t="s">
        <v>8013</v>
      </c>
      <c r="B1616" s="49" t="str">
        <f t="shared" si="1"/>
        <v>Kansas Uniform Securities Act</v>
      </c>
      <c r="C1616" s="49" t="str">
        <f t="shared" si="2"/>
        <v>Kansas Uniform Securities Act; Intentional general fraud in connection with offer, sale, or purchase of a security; employing device, scheme or artifice to defraud; at least $25,000 but less than $100,000 (presumptive imprisonment)</v>
      </c>
      <c r="D1616" s="49" t="str">
        <f t="shared" si="3"/>
        <v>17-12a501(1)</v>
      </c>
      <c r="E1616" s="11" t="s">
        <v>133</v>
      </c>
      <c r="F1616" s="11">
        <v>3.0</v>
      </c>
      <c r="G1616" s="11">
        <v>3.0</v>
      </c>
      <c r="H1616" s="11">
        <v>3.0</v>
      </c>
      <c r="I1616" s="11">
        <v>3.0</v>
      </c>
    </row>
    <row r="1617">
      <c r="A1617" s="10" t="s">
        <v>8014</v>
      </c>
      <c r="B1617" s="49" t="str">
        <f t="shared" si="1"/>
        <v>Kansas Uniform Securities Act</v>
      </c>
      <c r="C1617" s="49" t="str">
        <f t="shared" si="2"/>
        <v>Kansas Uniform Securities Act; Intentional general fraud in connection with offer, sale, or purchase of a security; employing device, scheme or artifice to defraud; at least $25,000 but less than $100,000; if victim was an elder person (presumptive imprisonment)</v>
      </c>
      <c r="D1617" s="49" t="str">
        <f t="shared" si="3"/>
        <v>17-12a501(1)</v>
      </c>
      <c r="E1617" s="11" t="s">
        <v>133</v>
      </c>
      <c r="F1617" s="11">
        <v>3.0</v>
      </c>
      <c r="G1617" s="11">
        <v>3.0</v>
      </c>
      <c r="H1617" s="11">
        <v>3.0</v>
      </c>
      <c r="I1617" s="11">
        <v>3.0</v>
      </c>
    </row>
    <row r="1618">
      <c r="A1618" s="10" t="s">
        <v>8015</v>
      </c>
      <c r="B1618" s="49" t="str">
        <f t="shared" si="1"/>
        <v>Kansas Uniform Securities Act</v>
      </c>
      <c r="C1618" s="49" t="str">
        <f t="shared" si="2"/>
        <v>Kansas Uniform Securities Act; Intentional general fraud in connection with offer, sale, or purchase of a security; employing device, scheme or artifice to defraud; at least $250,000 but at less than $1,000,000 (presumptive imprisonment)</v>
      </c>
      <c r="D1618" s="49" t="str">
        <f t="shared" si="3"/>
        <v>17-12a501(1)</v>
      </c>
      <c r="E1618" s="11" t="s">
        <v>133</v>
      </c>
      <c r="F1618" s="11">
        <v>3.0</v>
      </c>
      <c r="G1618" s="11">
        <v>3.0</v>
      </c>
      <c r="H1618" s="11">
        <v>3.0</v>
      </c>
      <c r="I1618" s="11">
        <v>3.0</v>
      </c>
    </row>
    <row r="1619">
      <c r="A1619" s="10" t="s">
        <v>8016</v>
      </c>
      <c r="B1619" s="49" t="str">
        <f t="shared" si="1"/>
        <v>Kansas Uniform Securities Act</v>
      </c>
      <c r="C1619" s="49" t="str">
        <f t="shared" si="2"/>
        <v>Kansas Uniform Securities Act; Intentional general fraud in connection with offer, sale, or purchase of a security; employing device, scheme or artifice to defraud; at least $250,000 but at less than $1,000,000; if victim was an elder person (presumptive imprisonment)</v>
      </c>
      <c r="D1619" s="49" t="str">
        <f t="shared" si="3"/>
        <v>17-12a501(1)</v>
      </c>
      <c r="E1619" s="11" t="s">
        <v>133</v>
      </c>
      <c r="F1619" s="11">
        <v>3.0</v>
      </c>
      <c r="G1619" s="11">
        <v>3.0</v>
      </c>
      <c r="H1619" s="11">
        <v>3.0</v>
      </c>
      <c r="I1619" s="11">
        <v>3.0</v>
      </c>
    </row>
    <row r="1620">
      <c r="A1620" s="10" t="s">
        <v>8017</v>
      </c>
      <c r="B1620" s="49" t="str">
        <f t="shared" si="1"/>
        <v>Kansas Uniform Securities Act</v>
      </c>
      <c r="C1620" s="49" t="str">
        <f t="shared" si="2"/>
        <v>Kansas Uniform Securities Act; Intentional general fraud in connection with offer, sale, or purchase of a security; employing device, scheme or artifice to defraud; less than $25,000</v>
      </c>
      <c r="D1620" s="49" t="str">
        <f t="shared" si="3"/>
        <v>17-12a501(1)</v>
      </c>
      <c r="E1620" s="11" t="s">
        <v>133</v>
      </c>
      <c r="F1620" s="11">
        <v>3.0</v>
      </c>
      <c r="G1620" s="11">
        <v>3.0</v>
      </c>
      <c r="H1620" s="11">
        <v>3.0</v>
      </c>
      <c r="I1620" s="11">
        <v>3.0</v>
      </c>
    </row>
    <row r="1621">
      <c r="A1621" s="10" t="s">
        <v>8018</v>
      </c>
      <c r="B1621" s="49" t="str">
        <f t="shared" si="1"/>
        <v>Kansas Uniform Securities Act</v>
      </c>
      <c r="C1621" s="49" t="str">
        <f t="shared" si="2"/>
        <v>Kansas Uniform Securities Act; Intentional general fraud in connection with offer, sale, or purchase of a security; employing device, scheme or artifice to defraud; less than $25,000; if victim was an elder person</v>
      </c>
      <c r="D1621" s="49" t="str">
        <f t="shared" si="3"/>
        <v>17-12a501(1)</v>
      </c>
      <c r="E1621" s="11" t="s">
        <v>133</v>
      </c>
      <c r="F1621" s="11">
        <v>3.0</v>
      </c>
      <c r="G1621" s="11">
        <v>3.0</v>
      </c>
      <c r="H1621" s="11">
        <v>3.0</v>
      </c>
      <c r="I1621" s="11">
        <v>3.0</v>
      </c>
    </row>
    <row r="1622">
      <c r="A1622" s="10" t="s">
        <v>8019</v>
      </c>
      <c r="B1622" s="49" t="str">
        <f t="shared" si="1"/>
        <v>Kansas Uniform Securities Act</v>
      </c>
      <c r="C1622" s="49" t="str">
        <f t="shared" si="2"/>
        <v>Kansas Uniform Securities Act; Intentional general fraud in connection with offer, sale, or purchase of a security; engage in act, practice, or course of business that operates as a fraud or deceit; $1,000,000 or more (presumptive imprisonment)</v>
      </c>
      <c r="D1622" s="49" t="str">
        <f t="shared" si="3"/>
        <v>17-12a501(3)</v>
      </c>
      <c r="E1622" s="11" t="s">
        <v>133</v>
      </c>
      <c r="F1622" s="11">
        <v>3.0</v>
      </c>
      <c r="G1622" s="11">
        <v>3.0</v>
      </c>
      <c r="H1622" s="11">
        <v>3.0</v>
      </c>
      <c r="I1622" s="11">
        <v>3.0</v>
      </c>
    </row>
    <row r="1623">
      <c r="A1623" s="10" t="s">
        <v>8020</v>
      </c>
      <c r="B1623" s="49" t="str">
        <f t="shared" si="1"/>
        <v>Kansas Uniform Securities Act</v>
      </c>
      <c r="C1623" s="49" t="str">
        <f t="shared" si="2"/>
        <v>Kansas Uniform Securities Act; Intentional general fraud in connection with offer, sale, or purchase of a security; engage in act, practice, or course of business that operates as a fraud or deceit; $1,000,000 or more; if victim was an elder person (presumptive imprisonment)</v>
      </c>
      <c r="D1623" s="49" t="str">
        <f t="shared" si="3"/>
        <v>17-12a501(3)</v>
      </c>
      <c r="E1623" s="11" t="s">
        <v>133</v>
      </c>
      <c r="F1623" s="11">
        <v>3.0</v>
      </c>
      <c r="G1623" s="11">
        <v>3.0</v>
      </c>
      <c r="H1623" s="11">
        <v>3.0</v>
      </c>
      <c r="I1623" s="11">
        <v>3.0</v>
      </c>
    </row>
    <row r="1624">
      <c r="A1624" s="10" t="s">
        <v>8021</v>
      </c>
      <c r="B1624" s="49" t="str">
        <f t="shared" si="1"/>
        <v>Kansas Uniform Securities Act</v>
      </c>
      <c r="C1624" s="49" t="str">
        <f t="shared" si="2"/>
        <v>Kansas Uniform Securities Act; Intentional general fraud in connection with offer, sale, or purchase of a security; engage in act, practice, or course of business that operates as a fraud or deceit; at least $100,000 but less than $250,000 (presumptive imprisonment)</v>
      </c>
      <c r="D1624" s="49" t="str">
        <f t="shared" si="3"/>
        <v>17-12a501(3)</v>
      </c>
      <c r="E1624" s="11" t="s">
        <v>133</v>
      </c>
      <c r="F1624" s="11">
        <v>3.0</v>
      </c>
      <c r="G1624" s="11">
        <v>3.0</v>
      </c>
      <c r="H1624" s="11">
        <v>3.0</v>
      </c>
      <c r="I1624" s="11">
        <v>3.0</v>
      </c>
    </row>
    <row r="1625">
      <c r="A1625" s="10" t="s">
        <v>8022</v>
      </c>
      <c r="B1625" s="49" t="str">
        <f t="shared" si="1"/>
        <v>Kansas Uniform Securities Act</v>
      </c>
      <c r="C1625" s="49" t="str">
        <f t="shared" si="2"/>
        <v>Kansas Uniform Securities Act; Intentional general fraud in connection with offer, sale, or purchase of a security; engage in act, practice, or course of business that operates as a fraud or deceit; at least $100,000 but less than $250,000; if victim was an elder person (presumptive imprisonment)</v>
      </c>
      <c r="D1625" s="49" t="str">
        <f t="shared" si="3"/>
        <v>17-12a501(3)</v>
      </c>
      <c r="E1625" s="11" t="s">
        <v>133</v>
      </c>
      <c r="F1625" s="11">
        <v>3.0</v>
      </c>
      <c r="G1625" s="11">
        <v>3.0</v>
      </c>
      <c r="H1625" s="11">
        <v>3.0</v>
      </c>
      <c r="I1625" s="11">
        <v>3.0</v>
      </c>
    </row>
    <row r="1626">
      <c r="A1626" s="10" t="s">
        <v>8023</v>
      </c>
      <c r="B1626" s="49" t="str">
        <f t="shared" si="1"/>
        <v>Kansas Uniform Securities Act</v>
      </c>
      <c r="C1626" s="49" t="str">
        <f t="shared" si="2"/>
        <v>Kansas Uniform Securities Act; Intentional general fraud in connection with offer, sale, or purchase of a security; engage in act, practice, or course of business that operates as a fraud or deceit; at least $25,000 but less than $100,000 (presumptive imprisonment)</v>
      </c>
      <c r="D1626" s="49" t="str">
        <f t="shared" si="3"/>
        <v>17-12a501(3)</v>
      </c>
      <c r="E1626" s="11" t="s">
        <v>133</v>
      </c>
      <c r="F1626" s="11">
        <v>3.0</v>
      </c>
      <c r="G1626" s="11">
        <v>3.0</v>
      </c>
      <c r="H1626" s="11">
        <v>3.0</v>
      </c>
      <c r="I1626" s="11">
        <v>3.0</v>
      </c>
    </row>
    <row r="1627">
      <c r="A1627" s="10" t="s">
        <v>8024</v>
      </c>
      <c r="B1627" s="49" t="str">
        <f t="shared" si="1"/>
        <v>Kansas Uniform Securities Act</v>
      </c>
      <c r="C1627" s="49" t="str">
        <f t="shared" si="2"/>
        <v>Kansas Uniform Securities Act; Intentional general fraud in connection with offer, sale, or purchase of a security; engage in act, practice, or course of business that operates as a fraud or deceit; at least $25,000 but less than $100,000; if victim was an elder person (presumptive imprisonment)</v>
      </c>
      <c r="D1627" s="49" t="str">
        <f t="shared" si="3"/>
        <v>17-12a501(3)</v>
      </c>
      <c r="E1627" s="11" t="s">
        <v>133</v>
      </c>
      <c r="F1627" s="11">
        <v>3.0</v>
      </c>
      <c r="G1627" s="11">
        <v>3.0</v>
      </c>
      <c r="H1627" s="11">
        <v>3.0</v>
      </c>
      <c r="I1627" s="11">
        <v>3.0</v>
      </c>
    </row>
    <row r="1628">
      <c r="A1628" s="10" t="s">
        <v>8025</v>
      </c>
      <c r="B1628" s="49" t="str">
        <f t="shared" si="1"/>
        <v>Kansas Uniform Securities Act</v>
      </c>
      <c r="C1628" s="49" t="str">
        <f t="shared" si="2"/>
        <v>Kansas Uniform Securities Act; Intentional general fraud in connection with offer, sale, or purchase of a security; engage in act, practice, or course of business that operates as a fraud or deceit; at least $250,000 but less than $1,000,000 (presumptive imprisonment)</v>
      </c>
      <c r="D1628" s="49" t="str">
        <f t="shared" si="3"/>
        <v>17-12a501(3)</v>
      </c>
      <c r="E1628" s="11" t="s">
        <v>133</v>
      </c>
      <c r="F1628" s="11">
        <v>3.0</v>
      </c>
      <c r="G1628" s="11">
        <v>3.0</v>
      </c>
      <c r="H1628" s="11">
        <v>3.0</v>
      </c>
      <c r="I1628" s="11">
        <v>3.0</v>
      </c>
    </row>
    <row r="1629">
      <c r="A1629" s="10" t="s">
        <v>8026</v>
      </c>
      <c r="B1629" s="49" t="str">
        <f t="shared" si="1"/>
        <v>Kansas Uniform Securities Act</v>
      </c>
      <c r="C1629" s="49" t="str">
        <f t="shared" si="2"/>
        <v>Kansas Uniform Securities Act; Intentional general fraud in connection with offer, sale, or purchase of a security; engage in act, practice, or course of business that operates as a fraud or deceit; at least $250,000 but less than $1,000,000; if victim was an elder person (presumptive imprisonment)</v>
      </c>
      <c r="D1629" s="49" t="str">
        <f t="shared" si="3"/>
        <v>17-12a501(3)</v>
      </c>
      <c r="E1629" s="11" t="s">
        <v>133</v>
      </c>
      <c r="F1629" s="11">
        <v>3.0</v>
      </c>
      <c r="G1629" s="11">
        <v>3.0</v>
      </c>
      <c r="H1629" s="11">
        <v>3.0</v>
      </c>
      <c r="I1629" s="11">
        <v>3.0</v>
      </c>
    </row>
    <row r="1630">
      <c r="A1630" s="10" t="s">
        <v>8027</v>
      </c>
      <c r="B1630" s="49" t="str">
        <f t="shared" si="1"/>
        <v>Kansas Uniform Securities Act</v>
      </c>
      <c r="C1630" s="49" t="str">
        <f t="shared" si="2"/>
        <v>Kansas Uniform Securities Act; Intentional general fraud in connection with offer, sale, or purchase of a security; engage in act, practice, or course of business that operates as a fraud or deceit; less than $25,000</v>
      </c>
      <c r="D1630" s="49" t="str">
        <f t="shared" si="3"/>
        <v>17-12a501(3)</v>
      </c>
      <c r="E1630" s="11" t="s">
        <v>133</v>
      </c>
      <c r="F1630" s="11">
        <v>3.0</v>
      </c>
      <c r="G1630" s="11">
        <v>3.0</v>
      </c>
      <c r="H1630" s="11">
        <v>3.0</v>
      </c>
      <c r="I1630" s="11">
        <v>3.0</v>
      </c>
    </row>
    <row r="1631">
      <c r="A1631" s="10" t="s">
        <v>8028</v>
      </c>
      <c r="B1631" s="49" t="str">
        <f t="shared" si="1"/>
        <v>Kansas Uniform Securities Act</v>
      </c>
      <c r="C1631" s="49" t="str">
        <f t="shared" si="2"/>
        <v>Kansas Uniform Securities Act; Intentional general fraud in connection with offer, sale, or purchase of a security; engage in act, practice, or course of business that operates as a fraud or deceit; less than $25,000; if victim was an elder person</v>
      </c>
      <c r="D1631" s="49" t="str">
        <f t="shared" si="3"/>
        <v>17-12a501(3)</v>
      </c>
      <c r="E1631" s="11" t="s">
        <v>133</v>
      </c>
      <c r="F1631" s="11">
        <v>3.0</v>
      </c>
      <c r="G1631" s="11">
        <v>3.0</v>
      </c>
      <c r="H1631" s="11">
        <v>3.0</v>
      </c>
      <c r="I1631" s="11">
        <v>3.0</v>
      </c>
    </row>
    <row r="1632">
      <c r="A1632" s="10" t="s">
        <v>8029</v>
      </c>
      <c r="B1632" s="49" t="str">
        <f t="shared" si="1"/>
        <v>Kansas Uniform Securities Act</v>
      </c>
      <c r="C1632" s="49" t="str">
        <f t="shared" si="2"/>
        <v>Kansas Uniform Securities Act; Intentional general fraud in connection with offer, sale, or purchase of a security; false statement of or omission of material fact; $1,000,000 or more (presumptive imprisonment)</v>
      </c>
      <c r="D1632" s="49" t="str">
        <f t="shared" si="3"/>
        <v>17-12a501(2)</v>
      </c>
      <c r="E1632" s="11" t="s">
        <v>133</v>
      </c>
      <c r="F1632" s="11">
        <v>3.0</v>
      </c>
      <c r="G1632" s="11">
        <v>3.0</v>
      </c>
      <c r="H1632" s="11">
        <v>3.0</v>
      </c>
      <c r="I1632" s="11">
        <v>3.0</v>
      </c>
    </row>
    <row r="1633">
      <c r="A1633" s="10" t="s">
        <v>8030</v>
      </c>
      <c r="B1633" s="49" t="str">
        <f t="shared" si="1"/>
        <v>Kansas Uniform Securities Act</v>
      </c>
      <c r="C1633" s="49" t="str">
        <f t="shared" si="2"/>
        <v>Kansas Uniform Securities Act; Intentional general fraud in connection with offer, sale, or purchase of a security; false statement of or omission of material fact; $1,000,000 or more; if victim was an elder person (presumptive imprisonment)</v>
      </c>
      <c r="D1633" s="49" t="str">
        <f t="shared" si="3"/>
        <v>17-12a501(2)</v>
      </c>
      <c r="E1633" s="11" t="s">
        <v>133</v>
      </c>
      <c r="F1633" s="11">
        <v>3.0</v>
      </c>
      <c r="G1633" s="11">
        <v>3.0</v>
      </c>
      <c r="H1633" s="11">
        <v>3.0</v>
      </c>
      <c r="I1633" s="11">
        <v>3.0</v>
      </c>
    </row>
    <row r="1634">
      <c r="A1634" s="10" t="s">
        <v>8031</v>
      </c>
      <c r="B1634" s="49" t="str">
        <f t="shared" si="1"/>
        <v>Kansas Uniform Securities Act</v>
      </c>
      <c r="C1634" s="49" t="str">
        <f t="shared" si="2"/>
        <v>Kansas Uniform Securities Act; Intentional general fraud in connection with offer, sale, or purchase of a security; false statement of or omission of material fact; at least $100,000 but less than $250,000 (presumptive imprisonment)</v>
      </c>
      <c r="D1634" s="49" t="str">
        <f t="shared" si="3"/>
        <v>17-12a501(2)</v>
      </c>
      <c r="E1634" s="11" t="s">
        <v>133</v>
      </c>
      <c r="F1634" s="11">
        <v>3.0</v>
      </c>
      <c r="G1634" s="11">
        <v>3.0</v>
      </c>
      <c r="H1634" s="11">
        <v>3.0</v>
      </c>
      <c r="I1634" s="11">
        <v>3.0</v>
      </c>
    </row>
    <row r="1635">
      <c r="A1635" s="10" t="s">
        <v>8032</v>
      </c>
      <c r="B1635" s="49" t="str">
        <f t="shared" si="1"/>
        <v>Kansas Uniform Securities Act</v>
      </c>
      <c r="C1635" s="49" t="str">
        <f t="shared" si="2"/>
        <v>Kansas Uniform Securities Act; Intentional general fraud in connection with offer, sale, or purchase of a security; false statement of or omission of material fact; at least $100,000 but less than $250,000; if victim was an elder person (presumptive imprisonment)</v>
      </c>
      <c r="D1635" s="49" t="str">
        <f t="shared" si="3"/>
        <v>17-12a501(2)</v>
      </c>
      <c r="E1635" s="11" t="s">
        <v>133</v>
      </c>
      <c r="F1635" s="11">
        <v>3.0</v>
      </c>
      <c r="G1635" s="11">
        <v>3.0</v>
      </c>
      <c r="H1635" s="11">
        <v>3.0</v>
      </c>
      <c r="I1635" s="11">
        <v>3.0</v>
      </c>
    </row>
    <row r="1636">
      <c r="A1636" s="10" t="s">
        <v>8033</v>
      </c>
      <c r="B1636" s="49" t="str">
        <f t="shared" si="1"/>
        <v>Kansas Uniform Securities Act</v>
      </c>
      <c r="C1636" s="49" t="str">
        <f t="shared" si="2"/>
        <v>Kansas Uniform Securities Act; Intentional general fraud in connection with offer, sale, or purchase of a security; false statement of or omission of material fact; at least $25,000 but less than $100,000 (presumptive imprisonment)</v>
      </c>
      <c r="D1636" s="49" t="str">
        <f t="shared" si="3"/>
        <v>17-12a501(2)</v>
      </c>
      <c r="E1636" s="11" t="s">
        <v>133</v>
      </c>
      <c r="F1636" s="11">
        <v>3.0</v>
      </c>
      <c r="G1636" s="11">
        <v>3.0</v>
      </c>
      <c r="H1636" s="11">
        <v>3.0</v>
      </c>
      <c r="I1636" s="11">
        <v>3.0</v>
      </c>
    </row>
    <row r="1637">
      <c r="A1637" s="10" t="s">
        <v>8034</v>
      </c>
      <c r="B1637" s="49" t="str">
        <f t="shared" si="1"/>
        <v>Kansas Uniform Securities Act</v>
      </c>
      <c r="C1637" s="49" t="str">
        <f t="shared" si="2"/>
        <v>Kansas Uniform Securities Act; Intentional general fraud in connection with offer, sale, or purchase of a security; false statement of or omission of material fact; at least $25,000 but less than $100,000; if victim was an elder person (presumptive imprisonment)</v>
      </c>
      <c r="D1637" s="49" t="str">
        <f t="shared" si="3"/>
        <v>17-12a501(2)</v>
      </c>
      <c r="E1637" s="11" t="s">
        <v>133</v>
      </c>
      <c r="F1637" s="11">
        <v>3.0</v>
      </c>
      <c r="G1637" s="11">
        <v>3.0</v>
      </c>
      <c r="H1637" s="11">
        <v>3.0</v>
      </c>
      <c r="I1637" s="11">
        <v>3.0</v>
      </c>
    </row>
    <row r="1638">
      <c r="A1638" s="10" t="s">
        <v>8035</v>
      </c>
      <c r="B1638" s="49" t="str">
        <f t="shared" si="1"/>
        <v>Kansas Uniform Securities Act</v>
      </c>
      <c r="C1638" s="49" t="str">
        <f t="shared" si="2"/>
        <v>Kansas Uniform Securities Act; Intentional general fraud in connection with offer, sale, or purchase of a security; false statement of or omission of material fact; at least $250,000 but less than $1,000,000 (presumptive imprisonment)</v>
      </c>
      <c r="D1638" s="49" t="str">
        <f t="shared" si="3"/>
        <v>17-12a501(2)</v>
      </c>
      <c r="E1638" s="11" t="s">
        <v>133</v>
      </c>
      <c r="F1638" s="11">
        <v>3.0</v>
      </c>
      <c r="G1638" s="11">
        <v>3.0</v>
      </c>
      <c r="H1638" s="11">
        <v>3.0</v>
      </c>
      <c r="I1638" s="11">
        <v>3.0</v>
      </c>
    </row>
    <row r="1639">
      <c r="A1639" s="10" t="s">
        <v>8036</v>
      </c>
      <c r="B1639" s="49" t="str">
        <f t="shared" si="1"/>
        <v>Kansas Uniform Securities Act</v>
      </c>
      <c r="C1639" s="49" t="str">
        <f t="shared" si="2"/>
        <v>Kansas Uniform Securities Act; Intentional general fraud in connection with offer, sale, or purchase of a security; false statement of or omission of material fact; at least $250,000 but less than $1,000,000; if victim was an elder person (presumptive imprisonment)</v>
      </c>
      <c r="D1639" s="49" t="str">
        <f t="shared" si="3"/>
        <v>17-12a501(2)</v>
      </c>
      <c r="E1639" s="11" t="s">
        <v>133</v>
      </c>
      <c r="F1639" s="11">
        <v>3.0</v>
      </c>
      <c r="G1639" s="11">
        <v>3.0</v>
      </c>
      <c r="H1639" s="11">
        <v>3.0</v>
      </c>
      <c r="I1639" s="11">
        <v>3.0</v>
      </c>
    </row>
    <row r="1640">
      <c r="A1640" s="10" t="s">
        <v>8037</v>
      </c>
      <c r="B1640" s="49" t="str">
        <f t="shared" si="1"/>
        <v>Kansas Uniform Securities Act</v>
      </c>
      <c r="C1640" s="49" t="str">
        <f t="shared" si="2"/>
        <v>Kansas Uniform Securities Act; Intentional general fraud in connection with offer, sale, or purchase of a security; false statement of or omission of material fact; less than $25,000</v>
      </c>
      <c r="D1640" s="49" t="str">
        <f t="shared" si="3"/>
        <v>17-12a501(2)</v>
      </c>
      <c r="E1640" s="11" t="s">
        <v>133</v>
      </c>
      <c r="F1640" s="11">
        <v>3.0</v>
      </c>
      <c r="G1640" s="11">
        <v>3.0</v>
      </c>
      <c r="H1640" s="11">
        <v>3.0</v>
      </c>
      <c r="I1640" s="11">
        <v>3.0</v>
      </c>
    </row>
    <row r="1641">
      <c r="A1641" s="10" t="s">
        <v>8038</v>
      </c>
      <c r="B1641" s="49" t="str">
        <f t="shared" si="1"/>
        <v>Kansas Uniform Securities Act</v>
      </c>
      <c r="C1641" s="49" t="str">
        <f t="shared" si="2"/>
        <v>Kansas Uniform Securities Act; Intentional general fraud in connection with offer, sale, or purchase of a security; false statement of or omission of material fact; less than $25,000; if victim was an elder person</v>
      </c>
      <c r="D1641" s="49" t="str">
        <f t="shared" si="3"/>
        <v>17-12a501(2)</v>
      </c>
      <c r="E1641" s="11" t="s">
        <v>133</v>
      </c>
      <c r="F1641" s="11">
        <v>3.0</v>
      </c>
      <c r="G1641" s="11">
        <v>3.0</v>
      </c>
      <c r="H1641" s="11">
        <v>3.0</v>
      </c>
      <c r="I1641" s="11">
        <v>3.0</v>
      </c>
    </row>
    <row r="1642">
      <c r="A1642" s="10" t="s">
        <v>8039</v>
      </c>
      <c r="B1642" s="49" t="str">
        <f t="shared" si="1"/>
        <v>Kansas Uniform Securities Act</v>
      </c>
      <c r="C1642" s="49" t="str">
        <f t="shared" si="2"/>
        <v>Kansas Uniform Securities Act; Intentional violation of agent limits on employment or association</v>
      </c>
      <c r="D1642" s="49" t="str">
        <f t="shared" si="3"/>
        <v>17-12a402(d)</v>
      </c>
      <c r="E1642" s="11" t="s">
        <v>133</v>
      </c>
      <c r="F1642" s="11">
        <v>3.0</v>
      </c>
      <c r="G1642" s="11">
        <v>3.0</v>
      </c>
      <c r="H1642" s="11">
        <v>3.0</v>
      </c>
      <c r="I1642" s="11">
        <v>3.0</v>
      </c>
    </row>
    <row r="1643">
      <c r="A1643" s="10" t="s">
        <v>8040</v>
      </c>
      <c r="B1643" s="49" t="str">
        <f t="shared" si="1"/>
        <v>Kansas Uniform Securities Act</v>
      </c>
      <c r="C1643" s="49" t="str">
        <f t="shared" si="2"/>
        <v>Kansas Uniform Securities Act; Intentional violation of agent limits on employment or association; if victim was an elder person</v>
      </c>
      <c r="D1643" s="49" t="str">
        <f t="shared" si="3"/>
        <v>17-12a402(d)</v>
      </c>
      <c r="E1643" s="11" t="s">
        <v>133</v>
      </c>
      <c r="F1643" s="11">
        <v>3.0</v>
      </c>
      <c r="G1643" s="11">
        <v>3.0</v>
      </c>
      <c r="H1643" s="11">
        <v>3.0</v>
      </c>
      <c r="I1643" s="11">
        <v>3.0</v>
      </c>
    </row>
    <row r="1644">
      <c r="A1644" s="10" t="s">
        <v>8041</v>
      </c>
      <c r="B1644" s="49" t="str">
        <f t="shared" si="1"/>
        <v>Kansas Uniform Securities Act</v>
      </c>
      <c r="C1644" s="49" t="str">
        <f t="shared" si="2"/>
        <v>Kansas Uniform Securities Act; Intentional violation of agent registration requirements; $100,000 or more (presumptive imprisonment)</v>
      </c>
      <c r="D1644" s="49" t="str">
        <f t="shared" si="3"/>
        <v>17-12a402(a)</v>
      </c>
      <c r="E1644" s="11" t="s">
        <v>133</v>
      </c>
      <c r="F1644" s="11">
        <v>3.0</v>
      </c>
      <c r="G1644" s="11">
        <v>3.0</v>
      </c>
      <c r="H1644" s="11">
        <v>3.0</v>
      </c>
      <c r="I1644" s="11">
        <v>3.0</v>
      </c>
    </row>
    <row r="1645">
      <c r="A1645" s="10" t="s">
        <v>8042</v>
      </c>
      <c r="B1645" s="49" t="str">
        <f t="shared" si="1"/>
        <v>Kansas Uniform Securities Act</v>
      </c>
      <c r="C1645" s="49" t="str">
        <f t="shared" si="2"/>
        <v>Kansas Uniform Securities Act; Intentional violation of agent registration requirements; $100,000 or more; if victim was an elder person (presumptive imprisonment)</v>
      </c>
      <c r="D1645" s="49" t="str">
        <f t="shared" si="3"/>
        <v>17-12a402(a)</v>
      </c>
      <c r="E1645" s="11" t="s">
        <v>133</v>
      </c>
      <c r="F1645" s="11">
        <v>3.0</v>
      </c>
      <c r="G1645" s="11">
        <v>3.0</v>
      </c>
      <c r="H1645" s="11">
        <v>3.0</v>
      </c>
      <c r="I1645" s="11">
        <v>3.0</v>
      </c>
    </row>
    <row r="1646">
      <c r="A1646" s="10" t="s">
        <v>8043</v>
      </c>
      <c r="B1646" s="49" t="str">
        <f t="shared" si="1"/>
        <v>Kansas Uniform Securities Act</v>
      </c>
      <c r="C1646" s="49" t="str">
        <f t="shared" si="2"/>
        <v>Kansas Uniform Securities Act; Intentional violation of agent registration requirements; at least $25,000 but less than $100,000 (presumptive imprisonment)</v>
      </c>
      <c r="D1646" s="49" t="str">
        <f t="shared" si="3"/>
        <v>17-12a402(a)</v>
      </c>
      <c r="E1646" s="11" t="s">
        <v>133</v>
      </c>
      <c r="F1646" s="11">
        <v>3.0</v>
      </c>
      <c r="G1646" s="11">
        <v>3.0</v>
      </c>
      <c r="H1646" s="11">
        <v>3.0</v>
      </c>
      <c r="I1646" s="11">
        <v>3.0</v>
      </c>
    </row>
    <row r="1647">
      <c r="A1647" s="10" t="s">
        <v>8044</v>
      </c>
      <c r="B1647" s="49" t="str">
        <f t="shared" si="1"/>
        <v>Kansas Uniform Securities Act</v>
      </c>
      <c r="C1647" s="49" t="str">
        <f t="shared" si="2"/>
        <v>Kansas Uniform Securities Act; Intentional violation of agent registration requirements; at least $25,000 but less than $100,000; if victim was an elder person (presumptive imprisonment)</v>
      </c>
      <c r="D1647" s="49" t="str">
        <f t="shared" si="3"/>
        <v>17-12a402(a)</v>
      </c>
      <c r="E1647" s="11" t="s">
        <v>133</v>
      </c>
      <c r="F1647" s="11">
        <v>3.0</v>
      </c>
      <c r="G1647" s="11">
        <v>3.0</v>
      </c>
      <c r="H1647" s="11">
        <v>3.0</v>
      </c>
      <c r="I1647" s="11">
        <v>3.0</v>
      </c>
    </row>
    <row r="1648">
      <c r="A1648" s="10" t="s">
        <v>8045</v>
      </c>
      <c r="B1648" s="49" t="str">
        <f t="shared" si="1"/>
        <v>Kansas Uniform Securities Act</v>
      </c>
      <c r="C1648" s="49" t="str">
        <f t="shared" si="2"/>
        <v>Kansas Uniform Securities Act; Intentional violation of agent registration requirements; less than $25,000</v>
      </c>
      <c r="D1648" s="49" t="str">
        <f t="shared" si="3"/>
        <v>17-12a402(a)</v>
      </c>
      <c r="E1648" s="11" t="s">
        <v>133</v>
      </c>
      <c r="F1648" s="11">
        <v>3.0</v>
      </c>
      <c r="G1648" s="11">
        <v>3.0</v>
      </c>
      <c r="H1648" s="11">
        <v>3.0</v>
      </c>
      <c r="I1648" s="11">
        <v>3.0</v>
      </c>
    </row>
    <row r="1649">
      <c r="A1649" s="10" t="s">
        <v>8046</v>
      </c>
      <c r="B1649" s="49" t="str">
        <f t="shared" si="1"/>
        <v>Kansas Uniform Securities Act</v>
      </c>
      <c r="C1649" s="49" t="str">
        <f t="shared" si="2"/>
        <v>Kansas Uniform Securities Act; Intentional violation of agent registration requirements; less than $25,000; if victim was an elder person</v>
      </c>
      <c r="D1649" s="49" t="str">
        <f t="shared" si="3"/>
        <v>17-12a402(a)</v>
      </c>
      <c r="E1649" s="11" t="s">
        <v>133</v>
      </c>
      <c r="F1649" s="11">
        <v>3.0</v>
      </c>
      <c r="G1649" s="11">
        <v>3.0</v>
      </c>
      <c r="H1649" s="11">
        <v>3.0</v>
      </c>
      <c r="I1649" s="11">
        <v>3.0</v>
      </c>
    </row>
    <row r="1650">
      <c r="A1650" s="10" t="s">
        <v>8047</v>
      </c>
      <c r="B1650" s="49" t="str">
        <f t="shared" si="1"/>
        <v>Kansas Uniform Securities Act</v>
      </c>
      <c r="C1650" s="49" t="str">
        <f t="shared" si="2"/>
        <v>Kansas Uniform Securities Act; Intentional violation of broker-dealer limits on employment or association</v>
      </c>
      <c r="D1650" s="49" t="str">
        <f t="shared" si="3"/>
        <v>17-12a401(c)</v>
      </c>
      <c r="E1650" s="11" t="s">
        <v>133</v>
      </c>
      <c r="F1650" s="11">
        <v>3.0</v>
      </c>
      <c r="G1650" s="11">
        <v>3.0</v>
      </c>
      <c r="H1650" s="11">
        <v>3.0</v>
      </c>
      <c r="I1650" s="11">
        <v>3.0</v>
      </c>
    </row>
    <row r="1651">
      <c r="A1651" s="10" t="s">
        <v>8048</v>
      </c>
      <c r="B1651" s="49" t="str">
        <f t="shared" si="1"/>
        <v>Kansas Uniform Securities Act</v>
      </c>
      <c r="C1651" s="49" t="str">
        <f t="shared" si="2"/>
        <v>Kansas Uniform Securities Act; Intentional violation of broker-dealer limits on employment or association; if victim was an elder person</v>
      </c>
      <c r="D1651" s="49" t="str">
        <f t="shared" si="3"/>
        <v>17-12a401(c)</v>
      </c>
      <c r="E1651" s="11" t="s">
        <v>133</v>
      </c>
      <c r="F1651" s="11">
        <v>3.0</v>
      </c>
      <c r="G1651" s="11">
        <v>3.0</v>
      </c>
      <c r="H1651" s="11">
        <v>3.0</v>
      </c>
      <c r="I1651" s="11">
        <v>3.0</v>
      </c>
    </row>
    <row r="1652">
      <c r="A1652" s="10" t="s">
        <v>8049</v>
      </c>
      <c r="B1652" s="49" t="str">
        <f t="shared" si="1"/>
        <v>Kansas Uniform Securities Act</v>
      </c>
      <c r="C1652" s="49" t="str">
        <f t="shared" si="2"/>
        <v>Kansas Uniform Securities Act; Intentional violation of broker-dealer registration requirements; $100,000 or more (presumptive imprisonment)</v>
      </c>
      <c r="D1652" s="49" t="str">
        <f t="shared" si="3"/>
        <v>17-12a401(a)</v>
      </c>
      <c r="E1652" s="11" t="s">
        <v>133</v>
      </c>
      <c r="F1652" s="11">
        <v>3.0</v>
      </c>
      <c r="G1652" s="11">
        <v>3.0</v>
      </c>
      <c r="H1652" s="11">
        <v>3.0</v>
      </c>
      <c r="I1652" s="11">
        <v>3.0</v>
      </c>
    </row>
    <row r="1653">
      <c r="A1653" s="10" t="s">
        <v>8050</v>
      </c>
      <c r="B1653" s="49" t="str">
        <f t="shared" si="1"/>
        <v>Kansas Uniform Securities Act</v>
      </c>
      <c r="C1653" s="49" t="str">
        <f t="shared" si="2"/>
        <v>Kansas Uniform Securities Act; Intentional violation of broker-dealer registration requirements; $100,000 or more; if victim was an elder person (presumptive imprisonment)</v>
      </c>
      <c r="D1653" s="49" t="str">
        <f t="shared" si="3"/>
        <v>17-12a401(a)</v>
      </c>
      <c r="E1653" s="11" t="s">
        <v>133</v>
      </c>
      <c r="F1653" s="11">
        <v>3.0</v>
      </c>
      <c r="G1653" s="11">
        <v>3.0</v>
      </c>
      <c r="H1653" s="11">
        <v>3.0</v>
      </c>
      <c r="I1653" s="11">
        <v>3.0</v>
      </c>
    </row>
    <row r="1654">
      <c r="A1654" s="10" t="s">
        <v>8051</v>
      </c>
      <c r="B1654" s="49" t="str">
        <f t="shared" si="1"/>
        <v>Kansas Uniform Securities Act</v>
      </c>
      <c r="C1654" s="49" t="str">
        <f t="shared" si="2"/>
        <v>Kansas Uniform Securities Act; Intentional violation of broker-dealer registration requirements; at least $25,000 but less than $100,000 (presumptive imprisonment)</v>
      </c>
      <c r="D1654" s="49" t="str">
        <f t="shared" si="3"/>
        <v>17-12a401(a)</v>
      </c>
      <c r="E1654" s="11" t="s">
        <v>133</v>
      </c>
      <c r="F1654" s="11">
        <v>3.0</v>
      </c>
      <c r="G1654" s="11">
        <v>3.0</v>
      </c>
      <c r="H1654" s="11">
        <v>3.0</v>
      </c>
      <c r="I1654" s="11">
        <v>3.0</v>
      </c>
    </row>
    <row r="1655">
      <c r="A1655" s="10" t="s">
        <v>8052</v>
      </c>
      <c r="B1655" s="49" t="str">
        <f t="shared" si="1"/>
        <v>Kansas Uniform Securities Act</v>
      </c>
      <c r="C1655" s="49" t="str">
        <f t="shared" si="2"/>
        <v>Kansas Uniform Securities Act; Intentional violation of broker-dealer registration requirements; at least $25,000 but less than $100,000; if victim was an elder person (presumptive imprisonment)</v>
      </c>
      <c r="D1655" s="49" t="str">
        <f t="shared" si="3"/>
        <v>17-12a401(a)</v>
      </c>
      <c r="E1655" s="11" t="s">
        <v>133</v>
      </c>
      <c r="F1655" s="11">
        <v>3.0</v>
      </c>
      <c r="G1655" s="11">
        <v>3.0</v>
      </c>
      <c r="H1655" s="11">
        <v>3.0</v>
      </c>
      <c r="I1655" s="11">
        <v>3.0</v>
      </c>
    </row>
    <row r="1656">
      <c r="A1656" s="10" t="s">
        <v>8053</v>
      </c>
      <c r="B1656" s="49" t="str">
        <f t="shared" si="1"/>
        <v>Kansas Uniform Securities Act</v>
      </c>
      <c r="C1656" s="49" t="str">
        <f t="shared" si="2"/>
        <v>Kansas Uniform Securities Act; Intentional violation of broker-dealer registration requirements; less than $25,000</v>
      </c>
      <c r="D1656" s="49" t="str">
        <f t="shared" si="3"/>
        <v>17-12a401(a)</v>
      </c>
      <c r="E1656" s="11" t="s">
        <v>133</v>
      </c>
      <c r="F1656" s="11">
        <v>3.0</v>
      </c>
      <c r="G1656" s="11">
        <v>3.0</v>
      </c>
      <c r="H1656" s="11">
        <v>3.0</v>
      </c>
      <c r="I1656" s="11">
        <v>3.0</v>
      </c>
    </row>
    <row r="1657">
      <c r="A1657" s="10" t="s">
        <v>8054</v>
      </c>
      <c r="B1657" s="49" t="str">
        <f t="shared" si="1"/>
        <v>Kansas Uniform Securities Act</v>
      </c>
      <c r="C1657" s="49" t="str">
        <f t="shared" si="2"/>
        <v>Kansas Uniform Securities Act; Intentional violation of broker-dealer registration requirements; less than $25,000; if victim was an elder person</v>
      </c>
      <c r="D1657" s="49" t="str">
        <f t="shared" si="3"/>
        <v>17-12a401(a)</v>
      </c>
      <c r="E1657" s="11" t="s">
        <v>133</v>
      </c>
      <c r="F1657" s="11">
        <v>3.0</v>
      </c>
      <c r="G1657" s="11">
        <v>3.0</v>
      </c>
      <c r="H1657" s="11">
        <v>3.0</v>
      </c>
      <c r="I1657" s="11">
        <v>3.0</v>
      </c>
    </row>
    <row r="1658">
      <c r="A1658" s="10" t="s">
        <v>8055</v>
      </c>
      <c r="B1658" s="49" t="str">
        <f t="shared" si="1"/>
        <v>Kansas Uniform Securities Act</v>
      </c>
      <c r="C1658" s="49" t="str">
        <f t="shared" si="2"/>
        <v>Kansas Uniform Securities Act; Intentional violation of investment adviser limits on employment or association</v>
      </c>
      <c r="D1658" s="49" t="str">
        <f t="shared" si="3"/>
        <v>17-12a403(c)</v>
      </c>
      <c r="E1658" s="11" t="s">
        <v>133</v>
      </c>
      <c r="F1658" s="11">
        <v>3.0</v>
      </c>
      <c r="G1658" s="11">
        <v>3.0</v>
      </c>
      <c r="H1658" s="11">
        <v>3.0</v>
      </c>
      <c r="I1658" s="11">
        <v>3.0</v>
      </c>
    </row>
    <row r="1659">
      <c r="A1659" s="10" t="s">
        <v>8056</v>
      </c>
      <c r="B1659" s="49" t="str">
        <f t="shared" si="1"/>
        <v>Kansas Uniform Securities Act</v>
      </c>
      <c r="C1659" s="49" t="str">
        <f t="shared" si="2"/>
        <v>Kansas Uniform Securities Act; Intentional violation of investment adviser limits on employment or association; if victim was an elder person</v>
      </c>
      <c r="D1659" s="49" t="str">
        <f t="shared" si="3"/>
        <v>17-12a403(c)</v>
      </c>
      <c r="E1659" s="11" t="s">
        <v>133</v>
      </c>
      <c r="F1659" s="11">
        <v>3.0</v>
      </c>
      <c r="G1659" s="11">
        <v>3.0</v>
      </c>
      <c r="H1659" s="11">
        <v>3.0</v>
      </c>
      <c r="I1659" s="11">
        <v>3.0</v>
      </c>
    </row>
    <row r="1660">
      <c r="A1660" s="10" t="s">
        <v>8057</v>
      </c>
      <c r="B1660" s="49" t="str">
        <f t="shared" si="1"/>
        <v>Kansas Uniform Securities Act</v>
      </c>
      <c r="C1660" s="49" t="str">
        <f t="shared" si="2"/>
        <v>Kansas Uniform Securities Act; Intentional violation of investment adviser registration requirements; $100,000 or more (presumptive imprisonment)</v>
      </c>
      <c r="D1660" s="49" t="str">
        <f t="shared" si="3"/>
        <v>17-12a403(a)</v>
      </c>
      <c r="E1660" s="11" t="s">
        <v>133</v>
      </c>
      <c r="F1660" s="11">
        <v>3.0</v>
      </c>
      <c r="G1660" s="11">
        <v>3.0</v>
      </c>
      <c r="H1660" s="11">
        <v>3.0</v>
      </c>
      <c r="I1660" s="11">
        <v>3.0</v>
      </c>
    </row>
    <row r="1661">
      <c r="A1661" s="10" t="s">
        <v>8058</v>
      </c>
      <c r="B1661" s="49" t="str">
        <f t="shared" si="1"/>
        <v>Kansas Uniform Securities Act</v>
      </c>
      <c r="C1661" s="49" t="str">
        <f t="shared" si="2"/>
        <v>Kansas Uniform Securities Act; Intentional violation of investment adviser registration requirements; $100,000 or more; if victim was an elder person (presumptive imprisonment)</v>
      </c>
      <c r="D1661" s="49" t="str">
        <f t="shared" si="3"/>
        <v>17-12a403(a)</v>
      </c>
      <c r="E1661" s="11" t="s">
        <v>133</v>
      </c>
      <c r="F1661" s="11">
        <v>3.0</v>
      </c>
      <c r="G1661" s="11">
        <v>3.0</v>
      </c>
      <c r="H1661" s="11">
        <v>3.0</v>
      </c>
      <c r="I1661" s="11">
        <v>3.0</v>
      </c>
    </row>
    <row r="1662">
      <c r="A1662" s="10" t="s">
        <v>8059</v>
      </c>
      <c r="B1662" s="49" t="str">
        <f t="shared" si="1"/>
        <v>Kansas Uniform Securities Act</v>
      </c>
      <c r="C1662" s="49" t="str">
        <f t="shared" si="2"/>
        <v>Kansas Uniform Securities Act; Intentional violation of investment adviser registration requirements; at least $25,000 but less than $100,000 (presumptive imprisonment)</v>
      </c>
      <c r="D1662" s="49" t="str">
        <f t="shared" si="3"/>
        <v>17-12a403(a)</v>
      </c>
      <c r="E1662" s="11" t="s">
        <v>133</v>
      </c>
      <c r="F1662" s="11">
        <v>3.0</v>
      </c>
      <c r="G1662" s="11">
        <v>3.0</v>
      </c>
      <c r="H1662" s="11">
        <v>3.0</v>
      </c>
      <c r="I1662" s="11">
        <v>3.0</v>
      </c>
    </row>
    <row r="1663">
      <c r="A1663" s="10" t="s">
        <v>8060</v>
      </c>
      <c r="B1663" s="49" t="str">
        <f t="shared" si="1"/>
        <v>Kansas Uniform Securities Act</v>
      </c>
      <c r="C1663" s="49" t="str">
        <f t="shared" si="2"/>
        <v>Kansas Uniform Securities Act; Intentional violation of investment adviser registration requirements; at least $25,000 but less than $100,000; if victim was an elder person (presumptive imprisonment)</v>
      </c>
      <c r="D1663" s="49" t="str">
        <f t="shared" si="3"/>
        <v>17-12a403(a)</v>
      </c>
      <c r="E1663" s="11" t="s">
        <v>133</v>
      </c>
      <c r="F1663" s="11">
        <v>3.0</v>
      </c>
      <c r="G1663" s="11">
        <v>3.0</v>
      </c>
      <c r="H1663" s="11">
        <v>3.0</v>
      </c>
      <c r="I1663" s="11">
        <v>3.0</v>
      </c>
    </row>
    <row r="1664">
      <c r="A1664" s="10" t="s">
        <v>8061</v>
      </c>
      <c r="B1664" s="49" t="str">
        <f t="shared" si="1"/>
        <v>Kansas Uniform Securities Act</v>
      </c>
      <c r="C1664" s="49" t="str">
        <f t="shared" si="2"/>
        <v>Kansas Uniform Securities Act; Intentional violation of investment adviser registration requirements; less than $25,000</v>
      </c>
      <c r="D1664" s="49" t="str">
        <f t="shared" si="3"/>
        <v>17-12a403(a)</v>
      </c>
      <c r="E1664" s="11" t="s">
        <v>133</v>
      </c>
      <c r="F1664" s="11">
        <v>3.0</v>
      </c>
      <c r="G1664" s="11">
        <v>3.0</v>
      </c>
      <c r="H1664" s="11">
        <v>3.0</v>
      </c>
      <c r="I1664" s="11">
        <v>3.0</v>
      </c>
    </row>
    <row r="1665">
      <c r="A1665" s="10" t="s">
        <v>8062</v>
      </c>
      <c r="B1665" s="49" t="str">
        <f t="shared" si="1"/>
        <v>Kansas Uniform Securities Act</v>
      </c>
      <c r="C1665" s="49" t="str">
        <f t="shared" si="2"/>
        <v>Kansas Uniform Securities Act; Intentional violation of investment adviser registration requirements; less than $25,000; if victim was an elder person</v>
      </c>
      <c r="D1665" s="49" t="str">
        <f t="shared" si="3"/>
        <v>17-12a403(a)</v>
      </c>
      <c r="E1665" s="11" t="s">
        <v>133</v>
      </c>
      <c r="F1665" s="11">
        <v>3.0</v>
      </c>
      <c r="G1665" s="11">
        <v>3.0</v>
      </c>
      <c r="H1665" s="11">
        <v>3.0</v>
      </c>
      <c r="I1665" s="11">
        <v>3.0</v>
      </c>
    </row>
    <row r="1666">
      <c r="A1666" s="10" t="s">
        <v>8063</v>
      </c>
      <c r="B1666" s="49" t="str">
        <f t="shared" si="1"/>
        <v>Kansas Uniform Securities Act</v>
      </c>
      <c r="C1666" s="49" t="str">
        <f t="shared" si="2"/>
        <v>Kansas Uniform Securities Act; Intentional violation of investment adviser representative limits on employment or association</v>
      </c>
      <c r="D1666" s="49" t="str">
        <f t="shared" si="3"/>
        <v>17-12a404(e)</v>
      </c>
      <c r="E1666" s="11" t="s">
        <v>133</v>
      </c>
      <c r="F1666" s="11">
        <v>3.0</v>
      </c>
      <c r="G1666" s="11">
        <v>3.0</v>
      </c>
      <c r="H1666" s="11">
        <v>3.0</v>
      </c>
      <c r="I1666" s="11">
        <v>3.0</v>
      </c>
    </row>
    <row r="1667">
      <c r="A1667" s="10" t="s">
        <v>8064</v>
      </c>
      <c r="B1667" s="49" t="str">
        <f t="shared" si="1"/>
        <v>Kansas Uniform Securities Act</v>
      </c>
      <c r="C1667" s="49" t="str">
        <f t="shared" si="2"/>
        <v>Kansas Uniform Securities Act; Intentional violation of investment adviser representative limits on employment or association; if victim was an elder person</v>
      </c>
      <c r="D1667" s="49" t="str">
        <f t="shared" si="3"/>
        <v>17-12a404(e)</v>
      </c>
      <c r="E1667" s="11" t="s">
        <v>133</v>
      </c>
      <c r="F1667" s="11">
        <v>3.0</v>
      </c>
      <c r="G1667" s="11">
        <v>3.0</v>
      </c>
      <c r="H1667" s="11">
        <v>3.0</v>
      </c>
      <c r="I1667" s="11">
        <v>3.0</v>
      </c>
    </row>
    <row r="1668">
      <c r="A1668" s="10" t="s">
        <v>8065</v>
      </c>
      <c r="B1668" s="49" t="str">
        <f t="shared" si="1"/>
        <v>Kansas Uniform Securities Act</v>
      </c>
      <c r="C1668" s="49" t="str">
        <f t="shared" si="2"/>
        <v>Kansas Uniform Securities Act; Intentional violation of investment adviser representative registration</v>
      </c>
      <c r="D1668" s="49" t="str">
        <f t="shared" si="3"/>
        <v>17-12a403(d)</v>
      </c>
      <c r="E1668" s="11" t="s">
        <v>133</v>
      </c>
      <c r="F1668" s="11">
        <v>3.0</v>
      </c>
      <c r="G1668" s="11">
        <v>3.0</v>
      </c>
      <c r="H1668" s="11">
        <v>3.0</v>
      </c>
      <c r="I1668" s="11">
        <v>3.0</v>
      </c>
    </row>
    <row r="1669">
      <c r="A1669" s="10" t="s">
        <v>8066</v>
      </c>
      <c r="B1669" s="49" t="str">
        <f t="shared" si="1"/>
        <v>Kansas Uniform Securities Act</v>
      </c>
      <c r="C1669" s="49" t="str">
        <f t="shared" si="2"/>
        <v>Kansas Uniform Securities Act; Intentional violation of investment adviser representative registration requirements; $100,000 or more (presumptive imprisonment)</v>
      </c>
      <c r="D1669" s="49" t="str">
        <f t="shared" si="3"/>
        <v>17-12a404(a)</v>
      </c>
      <c r="E1669" s="11" t="s">
        <v>133</v>
      </c>
      <c r="F1669" s="11">
        <v>3.0</v>
      </c>
      <c r="G1669" s="11">
        <v>3.0</v>
      </c>
      <c r="H1669" s="11">
        <v>3.0</v>
      </c>
      <c r="I1669" s="11">
        <v>3.0</v>
      </c>
    </row>
    <row r="1670">
      <c r="A1670" s="10" t="s">
        <v>8067</v>
      </c>
      <c r="B1670" s="49" t="str">
        <f t="shared" si="1"/>
        <v>Kansas Uniform Securities Act</v>
      </c>
      <c r="C1670" s="49" t="str">
        <f t="shared" si="2"/>
        <v>Kansas Uniform Securities Act; Intentional violation of investment adviser representative registration requirements; $100,000 or more; if victim was an elder person (presumptive imprisonment)</v>
      </c>
      <c r="D1670" s="49" t="str">
        <f t="shared" si="3"/>
        <v>17-12a404(a)</v>
      </c>
      <c r="E1670" s="11" t="s">
        <v>133</v>
      </c>
      <c r="F1670" s="11">
        <v>3.0</v>
      </c>
      <c r="G1670" s="11">
        <v>3.0</v>
      </c>
      <c r="H1670" s="11">
        <v>3.0</v>
      </c>
      <c r="I1670" s="11">
        <v>3.0</v>
      </c>
    </row>
    <row r="1671">
      <c r="A1671" s="10" t="s">
        <v>8068</v>
      </c>
      <c r="B1671" s="49" t="str">
        <f t="shared" si="1"/>
        <v>Kansas Uniform Securities Act</v>
      </c>
      <c r="C1671" s="49" t="str">
        <f t="shared" si="2"/>
        <v>Kansas Uniform Securities Act; Intentional violation of investment adviser representative registration requirements; at least $25,000 but less than $100,000 (presumptive imprisonment)</v>
      </c>
      <c r="D1671" s="49" t="str">
        <f t="shared" si="3"/>
        <v>17-12a404(a)</v>
      </c>
      <c r="E1671" s="11" t="s">
        <v>133</v>
      </c>
      <c r="F1671" s="11">
        <v>3.0</v>
      </c>
      <c r="G1671" s="11">
        <v>3.0</v>
      </c>
      <c r="H1671" s="11">
        <v>3.0</v>
      </c>
      <c r="I1671" s="11">
        <v>3.0</v>
      </c>
    </row>
    <row r="1672">
      <c r="A1672" s="10" t="s">
        <v>8069</v>
      </c>
      <c r="B1672" s="49" t="str">
        <f t="shared" si="1"/>
        <v>Kansas Uniform Securities Act</v>
      </c>
      <c r="C1672" s="49" t="str">
        <f t="shared" si="2"/>
        <v>Kansas Uniform Securities Act; Intentional violation of investment adviser representative registration requirements; at least $25,000 but less than $100,000; if victim was an elder person (presumptive imprisonment)</v>
      </c>
      <c r="D1672" s="49" t="str">
        <f t="shared" si="3"/>
        <v>17-12a404(a)</v>
      </c>
      <c r="E1672" s="11" t="s">
        <v>133</v>
      </c>
      <c r="F1672" s="11">
        <v>3.0</v>
      </c>
      <c r="G1672" s="11">
        <v>3.0</v>
      </c>
      <c r="H1672" s="11">
        <v>3.0</v>
      </c>
      <c r="I1672" s="11">
        <v>3.0</v>
      </c>
    </row>
    <row r="1673">
      <c r="A1673" s="10" t="s">
        <v>8070</v>
      </c>
      <c r="B1673" s="49" t="str">
        <f t="shared" si="1"/>
        <v>Kansas Uniform Securities Act</v>
      </c>
      <c r="C1673" s="49" t="str">
        <f t="shared" si="2"/>
        <v>Kansas Uniform Securities Act; Intentional violation of investment adviser representative registration requirements; less than $25,000</v>
      </c>
      <c r="D1673" s="49" t="str">
        <f t="shared" si="3"/>
        <v>17-12a404(a)</v>
      </c>
      <c r="E1673" s="11" t="s">
        <v>133</v>
      </c>
      <c r="F1673" s="11">
        <v>3.0</v>
      </c>
      <c r="G1673" s="11">
        <v>3.0</v>
      </c>
      <c r="H1673" s="11">
        <v>3.0</v>
      </c>
      <c r="I1673" s="11">
        <v>3.0</v>
      </c>
    </row>
    <row r="1674">
      <c r="A1674" s="10" t="s">
        <v>8071</v>
      </c>
      <c r="B1674" s="49" t="str">
        <f t="shared" si="1"/>
        <v>Kansas Uniform Securities Act</v>
      </c>
      <c r="C1674" s="49" t="str">
        <f t="shared" si="2"/>
        <v>Kansas Uniform Securities Act; Intentional violation of investment adviser representative registration requirements; less than $25,000; if victim was an elder person</v>
      </c>
      <c r="D1674" s="49" t="str">
        <f t="shared" si="3"/>
        <v>17-12a404(a)</v>
      </c>
      <c r="E1674" s="11" t="s">
        <v>133</v>
      </c>
      <c r="F1674" s="11">
        <v>3.0</v>
      </c>
      <c r="G1674" s="11">
        <v>3.0</v>
      </c>
      <c r="H1674" s="11">
        <v>3.0</v>
      </c>
      <c r="I1674" s="11">
        <v>3.0</v>
      </c>
    </row>
    <row r="1675">
      <c r="A1675" s="10" t="s">
        <v>8072</v>
      </c>
      <c r="B1675" s="49" t="str">
        <f t="shared" si="1"/>
        <v>Kansas Uniform Securities Act</v>
      </c>
      <c r="C1675" s="49" t="str">
        <f t="shared" si="2"/>
        <v>Kansas Uniform Securities Act; Intentional violation of investment adviser representative registration; if victim was an elder person</v>
      </c>
      <c r="D1675" s="49" t="str">
        <f t="shared" si="3"/>
        <v>17-12a403(d)</v>
      </c>
      <c r="E1675" s="11" t="s">
        <v>133</v>
      </c>
      <c r="F1675" s="11">
        <v>3.0</v>
      </c>
      <c r="G1675" s="11">
        <v>3.0</v>
      </c>
      <c r="H1675" s="11">
        <v>3.0</v>
      </c>
      <c r="I1675" s="11">
        <v>3.0</v>
      </c>
    </row>
    <row r="1676">
      <c r="A1676" s="10" t="s">
        <v>8073</v>
      </c>
      <c r="B1676" s="49" t="str">
        <f t="shared" si="1"/>
        <v>Kansas Uniform Securities Act</v>
      </c>
      <c r="C1676" s="49" t="str">
        <f t="shared" si="2"/>
        <v>Kansas Uniform Securities Act; Intentional, unlawful offering or selling security in this state; security not a federally covered security; $100,000 or more (presumptive imprisonment)</v>
      </c>
      <c r="D1676" s="49" t="str">
        <f t="shared" si="3"/>
        <v>17-12a301(1)</v>
      </c>
      <c r="E1676" s="11" t="s">
        <v>133</v>
      </c>
      <c r="F1676" s="11">
        <v>3.0</v>
      </c>
      <c r="G1676" s="11">
        <v>3.0</v>
      </c>
      <c r="H1676" s="11">
        <v>3.0</v>
      </c>
      <c r="I1676" s="11">
        <v>3.0</v>
      </c>
    </row>
    <row r="1677">
      <c r="A1677" s="10" t="s">
        <v>8074</v>
      </c>
      <c r="B1677" s="49" t="str">
        <f t="shared" si="1"/>
        <v>Kansas Uniform Securities Act</v>
      </c>
      <c r="C1677" s="49" t="str">
        <f t="shared" si="2"/>
        <v>Kansas Uniform Securities Act; Intentional, unlawful offering or selling security in this state; security not a federally covered security; $100,000 or more; if victim was an elder person (presumptive imprisonment)</v>
      </c>
      <c r="D1677" s="49" t="str">
        <f t="shared" si="3"/>
        <v>17-12a301(1)</v>
      </c>
      <c r="E1677" s="11" t="s">
        <v>133</v>
      </c>
      <c r="F1677" s="11">
        <v>3.0</v>
      </c>
      <c r="G1677" s="11">
        <v>3.0</v>
      </c>
      <c r="H1677" s="11">
        <v>3.0</v>
      </c>
      <c r="I1677" s="11">
        <v>3.0</v>
      </c>
    </row>
    <row r="1678">
      <c r="A1678" s="10" t="s">
        <v>8075</v>
      </c>
      <c r="B1678" s="49" t="str">
        <f t="shared" si="1"/>
        <v>Kansas Uniform Securities Act</v>
      </c>
      <c r="C1678" s="49" t="str">
        <f t="shared" si="2"/>
        <v>Kansas Uniform Securities Act; Intentional, unlawful offering or selling security in this state; security not a federally covered security; at least $25,000 but less than $100,000 (presumptive imprisonment)</v>
      </c>
      <c r="D1678" s="49" t="str">
        <f t="shared" si="3"/>
        <v>17-12a301(1)</v>
      </c>
      <c r="E1678" s="11" t="s">
        <v>133</v>
      </c>
      <c r="F1678" s="11">
        <v>3.0</v>
      </c>
      <c r="G1678" s="11">
        <v>3.0</v>
      </c>
      <c r="H1678" s="11">
        <v>3.0</v>
      </c>
      <c r="I1678" s="11">
        <v>3.0</v>
      </c>
    </row>
    <row r="1679">
      <c r="A1679" s="10" t="s">
        <v>8076</v>
      </c>
      <c r="B1679" s="49" t="str">
        <f t="shared" si="1"/>
        <v>Kansas Uniform Securities Act</v>
      </c>
      <c r="C1679" s="49" t="str">
        <f t="shared" si="2"/>
        <v>Kansas Uniform Securities Act; Intentional, unlawful offering or selling security in this state; security not a federally covered security; at least $25,000 but less than $100,000; if victim was an elder person (presumptive imprisonment)</v>
      </c>
      <c r="D1679" s="49" t="str">
        <f t="shared" si="3"/>
        <v>17-12a301(1)</v>
      </c>
      <c r="E1679" s="11" t="s">
        <v>133</v>
      </c>
      <c r="F1679" s="11">
        <v>3.0</v>
      </c>
      <c r="G1679" s="11">
        <v>3.0</v>
      </c>
      <c r="H1679" s="11">
        <v>3.0</v>
      </c>
      <c r="I1679" s="11">
        <v>3.0</v>
      </c>
    </row>
    <row r="1680">
      <c r="A1680" s="10" t="s">
        <v>8077</v>
      </c>
      <c r="B1680" s="49" t="str">
        <f t="shared" si="1"/>
        <v>Kansas Uniform Securities Act</v>
      </c>
      <c r="C1680" s="49" t="str">
        <f t="shared" si="2"/>
        <v>Kansas Uniform Securities Act; Intentional, unlawful offering or selling security in this state; security not a federally covered security; less than $25,000</v>
      </c>
      <c r="D1680" s="49" t="str">
        <f t="shared" si="3"/>
        <v>17-12a301(1)</v>
      </c>
      <c r="E1680" s="11" t="s">
        <v>133</v>
      </c>
      <c r="F1680" s="11">
        <v>3.0</v>
      </c>
      <c r="G1680" s="11">
        <v>3.0</v>
      </c>
      <c r="H1680" s="11">
        <v>3.0</v>
      </c>
      <c r="I1680" s="11">
        <v>3.0</v>
      </c>
    </row>
    <row r="1681">
      <c r="A1681" s="10" t="s">
        <v>8078</v>
      </c>
      <c r="B1681" s="49" t="str">
        <f t="shared" si="1"/>
        <v>Kansas Uniform Securities Act</v>
      </c>
      <c r="C1681" s="49" t="str">
        <f t="shared" si="2"/>
        <v>Kansas Uniform Securities Act; Intentional, unlawful offering or selling security in this state; security not a federally covered security; less than $25,000; if victim was an elder person</v>
      </c>
      <c r="D1681" s="49" t="str">
        <f t="shared" si="3"/>
        <v>17-12a301(1)</v>
      </c>
      <c r="E1681" s="11" t="s">
        <v>133</v>
      </c>
      <c r="F1681" s="11">
        <v>3.0</v>
      </c>
      <c r="G1681" s="11">
        <v>3.0</v>
      </c>
      <c r="H1681" s="11">
        <v>3.0</v>
      </c>
      <c r="I1681" s="11">
        <v>3.0</v>
      </c>
    </row>
    <row r="1682">
      <c r="A1682" s="10" t="s">
        <v>8079</v>
      </c>
      <c r="B1682" s="49" t="str">
        <f t="shared" si="1"/>
        <v>Kansas Uniform Securities Act</v>
      </c>
      <c r="C1682" s="49" t="str">
        <f t="shared" si="2"/>
        <v>Kansas Uniform Securities Act; Intentional, unlawful offering or selling security in this state; security not exempt from registration; $100,000 or more (presumptive imprisonment)</v>
      </c>
      <c r="D1682" s="49" t="str">
        <f t="shared" si="3"/>
        <v>17-12a301(2)</v>
      </c>
      <c r="E1682" s="11" t="s">
        <v>133</v>
      </c>
      <c r="F1682" s="11">
        <v>3.0</v>
      </c>
      <c r="G1682" s="11">
        <v>3.0</v>
      </c>
      <c r="H1682" s="11">
        <v>3.0</v>
      </c>
      <c r="I1682" s="11">
        <v>3.0</v>
      </c>
    </row>
    <row r="1683">
      <c r="A1683" s="10" t="s">
        <v>8080</v>
      </c>
      <c r="B1683" s="49" t="str">
        <f t="shared" si="1"/>
        <v>Kansas Uniform Securities Act</v>
      </c>
      <c r="C1683" s="49" t="str">
        <f t="shared" si="2"/>
        <v>Kansas Uniform Securities Act; Intentional, unlawful offering or selling security in this state; security not exempt from registration; $100,000 or more; if victim was an elder person (presumptive imprisonment)</v>
      </c>
      <c r="D1683" s="49" t="str">
        <f t="shared" si="3"/>
        <v>17-12a301(2)</v>
      </c>
      <c r="E1683" s="11" t="s">
        <v>133</v>
      </c>
      <c r="F1683" s="11">
        <v>3.0</v>
      </c>
      <c r="G1683" s="11">
        <v>3.0</v>
      </c>
      <c r="H1683" s="11">
        <v>3.0</v>
      </c>
      <c r="I1683" s="11">
        <v>3.0</v>
      </c>
    </row>
    <row r="1684">
      <c r="A1684" s="10" t="s">
        <v>8081</v>
      </c>
      <c r="B1684" s="49" t="str">
        <f t="shared" si="1"/>
        <v>Kansas Uniform Securities Act</v>
      </c>
      <c r="C1684" s="49" t="str">
        <f t="shared" si="2"/>
        <v>Kansas Uniform Securities Act; Intentional, unlawful offering or selling security in this state; security not exempt from registration; at least $25,000 but less than $100,000 (presumptive imprisonment)</v>
      </c>
      <c r="D1684" s="49" t="str">
        <f t="shared" si="3"/>
        <v>17-12a301(2)</v>
      </c>
      <c r="E1684" s="11" t="s">
        <v>133</v>
      </c>
      <c r="F1684" s="11">
        <v>3.0</v>
      </c>
      <c r="G1684" s="11">
        <v>3.0</v>
      </c>
      <c r="H1684" s="11">
        <v>3.0</v>
      </c>
      <c r="I1684" s="11">
        <v>3.0</v>
      </c>
    </row>
    <row r="1685">
      <c r="A1685" s="10" t="s">
        <v>8082</v>
      </c>
      <c r="B1685" s="49" t="str">
        <f t="shared" si="1"/>
        <v>Kansas Uniform Securities Act</v>
      </c>
      <c r="C1685" s="49" t="str">
        <f t="shared" si="2"/>
        <v>Kansas Uniform Securities Act; Intentional, unlawful offering or selling security in this state; security not exempt from registration; at least $25,000 but less than $100,000; if victim was an elder person (presumptive imprisonment)</v>
      </c>
      <c r="D1685" s="49" t="str">
        <f t="shared" si="3"/>
        <v>17-12a301(2)</v>
      </c>
      <c r="E1685" s="11" t="s">
        <v>133</v>
      </c>
      <c r="F1685" s="11">
        <v>3.0</v>
      </c>
      <c r="G1685" s="11">
        <v>3.0</v>
      </c>
      <c r="H1685" s="11">
        <v>3.0</v>
      </c>
      <c r="I1685" s="11">
        <v>3.0</v>
      </c>
    </row>
    <row r="1686">
      <c r="A1686" s="10" t="s">
        <v>8083</v>
      </c>
      <c r="B1686" s="49" t="str">
        <f t="shared" si="1"/>
        <v>Kansas Uniform Securities Act</v>
      </c>
      <c r="C1686" s="49" t="str">
        <f t="shared" si="2"/>
        <v>Kansas Uniform Securities Act; Intentional, unlawful offering or selling security in this state; security not exempt from registration; less than $25,000</v>
      </c>
      <c r="D1686" s="49" t="str">
        <f t="shared" si="3"/>
        <v>17-12a301(2)</v>
      </c>
      <c r="E1686" s="11" t="s">
        <v>133</v>
      </c>
      <c r="F1686" s="11">
        <v>3.0</v>
      </c>
      <c r="G1686" s="11">
        <v>3.0</v>
      </c>
      <c r="H1686" s="11">
        <v>3.0</v>
      </c>
      <c r="I1686" s="11">
        <v>3.0</v>
      </c>
    </row>
    <row r="1687">
      <c r="A1687" s="10" t="s">
        <v>8084</v>
      </c>
      <c r="B1687" s="49" t="str">
        <f t="shared" si="1"/>
        <v>Kansas Uniform Securities Act</v>
      </c>
      <c r="C1687" s="49" t="str">
        <f t="shared" si="2"/>
        <v>Kansas Uniform Securities Act; Intentional, unlawful offering or selling security in this state; security not exempt from registration; less than $25,000; if victim was an elder person</v>
      </c>
      <c r="D1687" s="49" t="str">
        <f t="shared" si="3"/>
        <v>17-12a301(2)</v>
      </c>
      <c r="E1687" s="11" t="s">
        <v>133</v>
      </c>
      <c r="F1687" s="11">
        <v>3.0</v>
      </c>
      <c r="G1687" s="11">
        <v>3.0</v>
      </c>
      <c r="H1687" s="11">
        <v>3.0</v>
      </c>
      <c r="I1687" s="11">
        <v>3.0</v>
      </c>
    </row>
    <row r="1688">
      <c r="A1688" s="10" t="s">
        <v>8085</v>
      </c>
      <c r="B1688" s="49" t="str">
        <f t="shared" si="1"/>
        <v>Kansas Uniform Securities Act</v>
      </c>
      <c r="C1688" s="49" t="str">
        <f t="shared" si="2"/>
        <v>Kansas Uniform Securities Act; Intentional, unlawful offering or selling security in this state; security not registered; $100,000 or more (presumptive imprisonment)</v>
      </c>
      <c r="D1688" s="49" t="str">
        <f t="shared" si="3"/>
        <v>17-12a301(3)</v>
      </c>
      <c r="E1688" s="11" t="s">
        <v>133</v>
      </c>
      <c r="F1688" s="11">
        <v>3.0</v>
      </c>
      <c r="G1688" s="11">
        <v>3.0</v>
      </c>
      <c r="H1688" s="11">
        <v>3.0</v>
      </c>
      <c r="I1688" s="11">
        <v>3.0</v>
      </c>
    </row>
    <row r="1689">
      <c r="A1689" s="10" t="s">
        <v>8086</v>
      </c>
      <c r="B1689" s="49" t="str">
        <f t="shared" si="1"/>
        <v>Kansas Uniform Securities Act</v>
      </c>
      <c r="C1689" s="49" t="str">
        <f t="shared" si="2"/>
        <v>Kansas Uniform Securities Act; Intentional, unlawful offering or selling security in this state; security not registered; $100,000 or more; if victim was an elder person (presumptive imprisonment)</v>
      </c>
      <c r="D1689" s="49" t="str">
        <f t="shared" si="3"/>
        <v>17-12a301(3)</v>
      </c>
      <c r="E1689" s="11" t="s">
        <v>133</v>
      </c>
      <c r="F1689" s="11">
        <v>3.0</v>
      </c>
      <c r="G1689" s="11">
        <v>3.0</v>
      </c>
      <c r="H1689" s="11">
        <v>3.0</v>
      </c>
      <c r="I1689" s="11">
        <v>3.0</v>
      </c>
    </row>
    <row r="1690">
      <c r="A1690" s="10" t="s">
        <v>8087</v>
      </c>
      <c r="B1690" s="49" t="str">
        <f t="shared" si="1"/>
        <v>Kansas Uniform Securities Act</v>
      </c>
      <c r="C1690" s="49" t="str">
        <f t="shared" si="2"/>
        <v>Kansas Uniform Securities Act; Intentional, unlawful offering or selling security in this state; security not registered; at least $25,000 but less than $100,000 (presumptive imprisonment)</v>
      </c>
      <c r="D1690" s="49" t="str">
        <f t="shared" si="3"/>
        <v>17-12a301(3)</v>
      </c>
      <c r="E1690" s="11" t="s">
        <v>133</v>
      </c>
      <c r="F1690" s="11">
        <v>3.0</v>
      </c>
      <c r="G1690" s="11">
        <v>3.0</v>
      </c>
      <c r="H1690" s="11">
        <v>3.0</v>
      </c>
      <c r="I1690" s="11">
        <v>3.0</v>
      </c>
    </row>
    <row r="1691">
      <c r="A1691" s="10" t="s">
        <v>8088</v>
      </c>
      <c r="B1691" s="49" t="str">
        <f t="shared" si="1"/>
        <v>Kansas Uniform Securities Act</v>
      </c>
      <c r="C1691" s="49" t="str">
        <f t="shared" si="2"/>
        <v>Kansas Uniform Securities Act; Intentional, unlawful offering or selling security in this state; security not registered; at least $25,000 but less than $100,000; if victim was an elder person (presumptive imprisonment)</v>
      </c>
      <c r="D1691" s="49" t="str">
        <f t="shared" si="3"/>
        <v>17-12a301(3)</v>
      </c>
      <c r="E1691" s="11" t="s">
        <v>133</v>
      </c>
      <c r="F1691" s="11">
        <v>3.0</v>
      </c>
      <c r="G1691" s="11">
        <v>3.0</v>
      </c>
      <c r="H1691" s="11">
        <v>3.0</v>
      </c>
      <c r="I1691" s="11">
        <v>3.0</v>
      </c>
    </row>
    <row r="1692">
      <c r="A1692" s="10" t="s">
        <v>8089</v>
      </c>
      <c r="B1692" s="49" t="str">
        <f t="shared" si="1"/>
        <v>Kansas Uniform Securities Act</v>
      </c>
      <c r="C1692" s="49" t="str">
        <f t="shared" si="2"/>
        <v>Kansas Uniform Securities Act; Intentional, unlawful offering or selling security in this state; security not registered; less than $25,000</v>
      </c>
      <c r="D1692" s="49" t="str">
        <f t="shared" si="3"/>
        <v>17-12a301(3)</v>
      </c>
      <c r="E1692" s="11" t="s">
        <v>133</v>
      </c>
      <c r="F1692" s="11">
        <v>3.0</v>
      </c>
      <c r="G1692" s="11">
        <v>3.0</v>
      </c>
      <c r="H1692" s="11">
        <v>3.0</v>
      </c>
      <c r="I1692" s="11">
        <v>3.0</v>
      </c>
    </row>
    <row r="1693">
      <c r="A1693" s="10" t="s">
        <v>8090</v>
      </c>
      <c r="B1693" s="49" t="str">
        <f t="shared" si="1"/>
        <v>Kansas Uniform Securities Act</v>
      </c>
      <c r="C1693" s="49" t="str">
        <f t="shared" si="2"/>
        <v>Kansas Uniform Securities Act; Intentional, unlawful offering or selling security in this state; security not registered; less than $25,000; if victim was an elder person</v>
      </c>
      <c r="D1693" s="49" t="str">
        <f t="shared" si="3"/>
        <v>17-12a301(3)</v>
      </c>
      <c r="E1693" s="11" t="s">
        <v>133</v>
      </c>
      <c r="F1693" s="11">
        <v>3.0</v>
      </c>
      <c r="G1693" s="11">
        <v>3.0</v>
      </c>
      <c r="H1693" s="11">
        <v>3.0</v>
      </c>
      <c r="I1693" s="11">
        <v>3.0</v>
      </c>
    </row>
    <row r="1694">
      <c r="A1694" s="10" t="s">
        <v>8091</v>
      </c>
      <c r="B1694" s="49" t="str">
        <f t="shared" si="1"/>
        <v>Kansas Uniform Securities Act</v>
      </c>
      <c r="C1694" s="49" t="str">
        <f t="shared" si="2"/>
        <v>Kansas Uniform Securities Act; Misleading filings; coercion; obstruction; alter, destroy, shred, mutilate or conceal a record with intent to impair the object's integrity or availability for the use in a proceeding</v>
      </c>
      <c r="D1694" s="49" t="str">
        <f t="shared" si="3"/>
        <v>17-12a505(c)(2)</v>
      </c>
      <c r="E1694" s="11" t="s">
        <v>133</v>
      </c>
      <c r="F1694" s="11">
        <v>3.0</v>
      </c>
      <c r="G1694" s="11">
        <v>3.0</v>
      </c>
      <c r="H1694" s="11">
        <v>3.0</v>
      </c>
      <c r="I1694" s="11">
        <v>3.0</v>
      </c>
    </row>
    <row r="1695">
      <c r="A1695" s="10" t="s">
        <v>8092</v>
      </c>
      <c r="B1695" s="49" t="str">
        <f t="shared" si="1"/>
        <v>Kansas Uniform Securities Act</v>
      </c>
      <c r="C1695" s="49" t="str">
        <f t="shared" si="2"/>
        <v>Kansas Uniform Securities Act; Misleading filings; coercion; obstruction; alter, destroy, shred, mutilate or conceal a record with intent to impair the object's integrity or availability for the use in a proceeding; if victim was an elder person</v>
      </c>
      <c r="D1695" s="49" t="str">
        <f t="shared" si="3"/>
        <v>17-12a505(c)(2)</v>
      </c>
      <c r="E1695" s="11" t="s">
        <v>133</v>
      </c>
      <c r="F1695" s="11">
        <v>3.0</v>
      </c>
      <c r="G1695" s="11">
        <v>3.0</v>
      </c>
      <c r="H1695" s="11">
        <v>3.0</v>
      </c>
      <c r="I1695" s="11">
        <v>3.0</v>
      </c>
    </row>
    <row r="1696">
      <c r="A1696" s="10" t="s">
        <v>8093</v>
      </c>
      <c r="B1696" s="49" t="str">
        <f t="shared" si="1"/>
        <v>Kansas Uniform Securities Act</v>
      </c>
      <c r="C1696" s="49" t="str">
        <f t="shared" si="2"/>
        <v>Kansas Uniform Securities Act; Misleading filings; coercion; obstruction; alter, destroy, shred, mutilate, conceal, cover up or falsify any record with intent to impede, obstruct or influence an investigation</v>
      </c>
      <c r="D1696" s="49" t="str">
        <f t="shared" si="3"/>
        <v>17-12a505(c)(1)</v>
      </c>
      <c r="E1696" s="11" t="s">
        <v>133</v>
      </c>
      <c r="F1696" s="11">
        <v>3.0</v>
      </c>
      <c r="G1696" s="11">
        <v>3.0</v>
      </c>
      <c r="H1696" s="11">
        <v>3.0</v>
      </c>
      <c r="I1696" s="11">
        <v>3.0</v>
      </c>
    </row>
    <row r="1697">
      <c r="A1697" s="10" t="s">
        <v>8094</v>
      </c>
      <c r="B1697" s="49" t="str">
        <f t="shared" si="1"/>
        <v>Kansas Uniform Securities Act</v>
      </c>
      <c r="C1697" s="49" t="str">
        <f t="shared" si="2"/>
        <v>Kansas Uniform Securities Act; Misleading filings; coercion; obstruction; alter, destroy, shred, mutilate, conceal, cover up or falsify any record with intent to impede, obstruct or influence an investigation; if victim was an elder person</v>
      </c>
      <c r="D1697" s="49" t="str">
        <f t="shared" si="3"/>
        <v>17-12a505(c)(1)</v>
      </c>
      <c r="E1697" s="11" t="s">
        <v>133</v>
      </c>
      <c r="F1697" s="11">
        <v>3.0</v>
      </c>
      <c r="G1697" s="11">
        <v>3.0</v>
      </c>
      <c r="H1697" s="11">
        <v>3.0</v>
      </c>
      <c r="I1697" s="11">
        <v>3.0</v>
      </c>
    </row>
    <row r="1698">
      <c r="A1698" s="10" t="s">
        <v>8095</v>
      </c>
      <c r="B1698" s="49" t="str">
        <f t="shared" si="1"/>
        <v>Kansas Uniform Securities Act</v>
      </c>
      <c r="C1698" s="49" t="str">
        <f t="shared" si="2"/>
        <v>Kansas Uniform Securities Act; Misleading filings; coercion; obstruction; intentionally influence, coerce, manipulate, or mislead another in connection with financial statements or appraisals to be used in offer, sale or purchase of securities</v>
      </c>
      <c r="D1698" s="49" t="str">
        <f t="shared" si="3"/>
        <v>17-12a505(b)</v>
      </c>
      <c r="E1698" s="11" t="s">
        <v>133</v>
      </c>
      <c r="F1698" s="11">
        <v>3.0</v>
      </c>
      <c r="G1698" s="11">
        <v>3.0</v>
      </c>
      <c r="H1698" s="11">
        <v>3.0</v>
      </c>
      <c r="I1698" s="11">
        <v>3.0</v>
      </c>
    </row>
    <row r="1699">
      <c r="A1699" s="10" t="s">
        <v>8096</v>
      </c>
      <c r="B1699" s="49" t="str">
        <f t="shared" si="1"/>
        <v>Kansas Uniform Securities Act</v>
      </c>
      <c r="C1699" s="49" t="str">
        <f t="shared" si="2"/>
        <v>Kansas Uniform Securities Act; Misleading filings; coercion; obstruction; intentionally influence, coerce, manipulate, or mislead another in connection with financial statements or appraisals to be used in offer, sale or purchase of securities; if victim was an elder person</v>
      </c>
      <c r="D1699" s="49" t="str">
        <f t="shared" si="3"/>
        <v>17-12a505(b)</v>
      </c>
      <c r="E1699" s="11" t="s">
        <v>133</v>
      </c>
      <c r="F1699" s="11">
        <v>3.0</v>
      </c>
      <c r="G1699" s="11">
        <v>3.0</v>
      </c>
      <c r="H1699" s="11">
        <v>3.0</v>
      </c>
      <c r="I1699" s="11">
        <v>3.0</v>
      </c>
    </row>
    <row r="1700">
      <c r="A1700" s="10" t="s">
        <v>8097</v>
      </c>
      <c r="B1700" s="49" t="str">
        <f t="shared" si="1"/>
        <v>Kansas Uniform Securities Act</v>
      </c>
      <c r="C1700" s="49" t="str">
        <f t="shared" si="2"/>
        <v>Kansas Uniform Securities Act; Misleading filings; coercion; obstruction; make a false or misleading statement in a material respect or omission of material fact</v>
      </c>
      <c r="D1700" s="49" t="str">
        <f t="shared" si="3"/>
        <v>17-12a505(a)</v>
      </c>
      <c r="E1700" s="11" t="s">
        <v>133</v>
      </c>
      <c r="F1700" s="11">
        <v>3.0</v>
      </c>
      <c r="G1700" s="11">
        <v>3.0</v>
      </c>
      <c r="H1700" s="11">
        <v>3.0</v>
      </c>
      <c r="I1700" s="11">
        <v>3.0</v>
      </c>
    </row>
    <row r="1701">
      <c r="A1701" s="10" t="s">
        <v>8098</v>
      </c>
      <c r="B1701" s="49" t="str">
        <f t="shared" si="1"/>
        <v>Kansas Uniform Securities Act</v>
      </c>
      <c r="C1701" s="49" t="str">
        <f t="shared" si="2"/>
        <v>Kansas Uniform Securities Act; Misleading filings; coercion; obstruction; make a false or misleading statement in a material respect or omission of material fact; if victim was an elder person</v>
      </c>
      <c r="D1701" s="49" t="str">
        <f t="shared" si="3"/>
        <v>17-12a505(a)</v>
      </c>
      <c r="E1701" s="11" t="s">
        <v>133</v>
      </c>
      <c r="F1701" s="11">
        <v>3.0</v>
      </c>
      <c r="G1701" s="11">
        <v>3.0</v>
      </c>
      <c r="H1701" s="11">
        <v>3.0</v>
      </c>
      <c r="I1701" s="11">
        <v>3.0</v>
      </c>
    </row>
    <row r="1702">
      <c r="A1702" s="10" t="s">
        <v>8099</v>
      </c>
      <c r="B1702" s="49" t="str">
        <f t="shared" si="1"/>
        <v>Kansas Uniform Securities Act</v>
      </c>
      <c r="C1702" s="49" t="str">
        <f t="shared" si="2"/>
        <v>Kansas Uniform Securities Act; Misleading filings; coercion; obstruction; take action harmful to another with intent to retaliate, including, but not limited to, interference with lawful employment of such person</v>
      </c>
      <c r="D1702" s="49" t="str">
        <f t="shared" si="3"/>
        <v>17-12a505(c)(3)</v>
      </c>
      <c r="E1702" s="11" t="s">
        <v>133</v>
      </c>
      <c r="F1702" s="11">
        <v>3.0</v>
      </c>
      <c r="G1702" s="11">
        <v>3.0</v>
      </c>
      <c r="H1702" s="11">
        <v>3.0</v>
      </c>
      <c r="I1702" s="11">
        <v>3.0</v>
      </c>
    </row>
    <row r="1703">
      <c r="A1703" s="10" t="s">
        <v>8100</v>
      </c>
      <c r="B1703" s="49" t="str">
        <f t="shared" si="1"/>
        <v>Kansas Uniform Securities Act</v>
      </c>
      <c r="C1703" s="49" t="str">
        <f t="shared" si="2"/>
        <v>Kansas Uniform Securities Act; Misleading filings; coercion; obstruction; take action harmful to another with intent to retaliate, including, but not limited to, interference with lawful employment of such person; if victim was an elder person</v>
      </c>
      <c r="D1703" s="49" t="str">
        <f t="shared" si="3"/>
        <v>17-12a505(c)(3)</v>
      </c>
      <c r="E1703" s="11" t="s">
        <v>133</v>
      </c>
      <c r="F1703" s="11">
        <v>3.0</v>
      </c>
      <c r="G1703" s="11">
        <v>3.0</v>
      </c>
      <c r="H1703" s="11">
        <v>3.0</v>
      </c>
      <c r="I1703" s="11">
        <v>3.0</v>
      </c>
    </row>
    <row r="1704">
      <c r="A1704" s="10" t="s">
        <v>8101</v>
      </c>
      <c r="B1704" s="49" t="str">
        <f t="shared" si="1"/>
        <v>Kansas Uniform Securities Act</v>
      </c>
      <c r="C1704" s="49" t="str">
        <f t="shared" si="2"/>
        <v>Kansas Uniform Securities Act; Misrepresentations concerning registration</v>
      </c>
      <c r="D1704" s="49" t="str">
        <f t="shared" si="3"/>
        <v>17-12a506</v>
      </c>
      <c r="E1704" s="11" t="s">
        <v>133</v>
      </c>
      <c r="F1704" s="11">
        <v>3.0</v>
      </c>
      <c r="G1704" s="11">
        <v>3.0</v>
      </c>
      <c r="H1704" s="11">
        <v>3.0</v>
      </c>
      <c r="I1704" s="11">
        <v>3.0</v>
      </c>
    </row>
    <row r="1705">
      <c r="A1705" s="10" t="s">
        <v>8102</v>
      </c>
      <c r="B1705" s="49" t="str">
        <f t="shared" si="1"/>
        <v>Keg Registration Act</v>
      </c>
      <c r="C1705" s="49" t="str">
        <f t="shared" si="2"/>
        <v>Keg Registration Act; Deface beer keg ID number by person not a retailer</v>
      </c>
      <c r="D1705" s="49" t="str">
        <f t="shared" si="3"/>
        <v>41-2905(d)(2)</v>
      </c>
      <c r="E1705" s="11" t="s">
        <v>133</v>
      </c>
      <c r="F1705" s="11">
        <v>3.0</v>
      </c>
      <c r="G1705" s="11">
        <v>3.0</v>
      </c>
      <c r="H1705" s="11">
        <v>3.0</v>
      </c>
      <c r="I1705" s="11">
        <v>3.0</v>
      </c>
    </row>
    <row r="1706">
      <c r="A1706" s="10" t="s">
        <v>8103</v>
      </c>
      <c r="B1706" s="49" t="str">
        <f t="shared" si="1"/>
        <v>Keg Registration Act</v>
      </c>
      <c r="C1706" s="49" t="str">
        <f t="shared" si="2"/>
        <v>Keg Registration Act; Deface CMB keg ID number by person not a retailer</v>
      </c>
      <c r="D1706" s="49" t="str">
        <f t="shared" si="3"/>
        <v>41-2906(d)(2)</v>
      </c>
      <c r="E1706" s="11" t="s">
        <v>133</v>
      </c>
      <c r="F1706" s="11">
        <v>3.0</v>
      </c>
      <c r="G1706" s="11">
        <v>3.0</v>
      </c>
      <c r="H1706" s="11">
        <v>3.0</v>
      </c>
      <c r="I1706" s="11">
        <v>3.0</v>
      </c>
    </row>
    <row r="1707">
      <c r="A1707" s="10" t="s">
        <v>8104</v>
      </c>
      <c r="B1707" s="49" t="str">
        <f t="shared" si="1"/>
        <v>Keg Registration Act</v>
      </c>
      <c r="C1707" s="49" t="str">
        <f t="shared" si="2"/>
        <v>Keg Registration Act; Possession of beer keg without ID number by person not a retailer</v>
      </c>
      <c r="D1707" s="49" t="str">
        <f t="shared" si="3"/>
        <v>41-2905(d)(3)</v>
      </c>
      <c r="E1707" s="11" t="s">
        <v>133</v>
      </c>
      <c r="F1707" s="11">
        <v>3.0</v>
      </c>
      <c r="G1707" s="11">
        <v>3.0</v>
      </c>
      <c r="H1707" s="11">
        <v>3.0</v>
      </c>
      <c r="I1707" s="11">
        <v>3.0</v>
      </c>
    </row>
    <row r="1708">
      <c r="A1708" s="10" t="s">
        <v>8105</v>
      </c>
      <c r="B1708" s="49" t="str">
        <f t="shared" si="1"/>
        <v>Keg Registration Act</v>
      </c>
      <c r="C1708" s="49" t="str">
        <f t="shared" si="2"/>
        <v>Keg Registration Act; Possession of CMB keg without ID number by person not a retailer</v>
      </c>
      <c r="D1708" s="49" t="str">
        <f t="shared" si="3"/>
        <v>41-2906(d)(3)</v>
      </c>
      <c r="E1708" s="11" t="s">
        <v>133</v>
      </c>
      <c r="F1708" s="11">
        <v>3.0</v>
      </c>
      <c r="G1708" s="11">
        <v>3.0</v>
      </c>
      <c r="H1708" s="11">
        <v>3.0</v>
      </c>
      <c r="I1708" s="11">
        <v>3.0</v>
      </c>
    </row>
    <row r="1709">
      <c r="A1709" s="10" t="s">
        <v>8106</v>
      </c>
      <c r="B1709" s="49" t="str">
        <f t="shared" si="1"/>
        <v>Keg Registration Act</v>
      </c>
      <c r="C1709" s="49" t="str">
        <f t="shared" si="2"/>
        <v>Keg Registration Act; Removal of beer keg ID number by person who is not a retailer</v>
      </c>
      <c r="D1709" s="49" t="str">
        <f t="shared" si="3"/>
        <v>41-2905(d)(1)</v>
      </c>
      <c r="E1709" s="11" t="s">
        <v>133</v>
      </c>
      <c r="F1709" s="11">
        <v>3.0</v>
      </c>
      <c r="G1709" s="11">
        <v>3.0</v>
      </c>
      <c r="H1709" s="11">
        <v>3.0</v>
      </c>
      <c r="I1709" s="11">
        <v>3.0</v>
      </c>
    </row>
    <row r="1710">
      <c r="A1710" s="10" t="s">
        <v>8107</v>
      </c>
      <c r="B1710" s="49" t="str">
        <f t="shared" si="1"/>
        <v>Keg Registration Act</v>
      </c>
      <c r="C1710" s="49" t="str">
        <f t="shared" si="2"/>
        <v>Keg Registration Act; Removal of CMB keg ID number by person not a retailer</v>
      </c>
      <c r="D1710" s="49" t="str">
        <f t="shared" si="3"/>
        <v>41-2906(d)(1)</v>
      </c>
      <c r="E1710" s="11" t="s">
        <v>133</v>
      </c>
      <c r="F1710" s="11">
        <v>3.0</v>
      </c>
      <c r="G1710" s="11">
        <v>3.0</v>
      </c>
      <c r="H1710" s="11">
        <v>3.0</v>
      </c>
      <c r="I1710" s="11">
        <v>3.0</v>
      </c>
    </row>
    <row r="1711">
      <c r="A1711" s="10" t="s">
        <v>8108</v>
      </c>
      <c r="B1711" s="49" t="str">
        <f t="shared" si="1"/>
        <v>Kidnapping</v>
      </c>
      <c r="C1711" s="49" t="str">
        <f t="shared" si="2"/>
        <v>Kidnapping; For ransom, or as a shield or hostage</v>
      </c>
      <c r="D1711" s="49" t="str">
        <f t="shared" si="3"/>
        <v>21-5408(a)(1)</v>
      </c>
      <c r="E1711" s="11" t="s">
        <v>133</v>
      </c>
      <c r="F1711" s="11">
        <v>3.0</v>
      </c>
      <c r="G1711" s="11">
        <v>3.0</v>
      </c>
      <c r="H1711" s="11">
        <v>3.0</v>
      </c>
      <c r="I1711" s="11">
        <v>3.0</v>
      </c>
    </row>
    <row r="1712">
      <c r="A1712" s="10" t="s">
        <v>8109</v>
      </c>
      <c r="B1712" s="49" t="str">
        <f t="shared" si="1"/>
        <v>Kidnapping</v>
      </c>
      <c r="C1712" s="49" t="str">
        <f t="shared" si="2"/>
        <v>Kidnapping; To facilitate flight or the commission of any crime</v>
      </c>
      <c r="D1712" s="49" t="str">
        <f t="shared" si="3"/>
        <v>21-5408(a)(2)</v>
      </c>
      <c r="E1712" s="11" t="s">
        <v>133</v>
      </c>
      <c r="F1712" s="11">
        <v>3.0</v>
      </c>
      <c r="G1712" s="11">
        <v>3.0</v>
      </c>
      <c r="H1712" s="11">
        <v>3.0</v>
      </c>
      <c r="I1712" s="11">
        <v>3.0</v>
      </c>
    </row>
    <row r="1713">
      <c r="A1713" s="10" t="s">
        <v>8110</v>
      </c>
      <c r="B1713" s="49" t="str">
        <f t="shared" si="1"/>
        <v>Kidnapping</v>
      </c>
      <c r="C1713" s="49" t="str">
        <f t="shared" si="2"/>
        <v>Kidnapping; To inflict bodily injury or to terrorize the victim or another</v>
      </c>
      <c r="D1713" s="49" t="str">
        <f t="shared" si="3"/>
        <v>21-5408(a)(3)</v>
      </c>
      <c r="E1713" s="11" t="s">
        <v>133</v>
      </c>
      <c r="F1713" s="11">
        <v>3.0</v>
      </c>
      <c r="G1713" s="11">
        <v>3.0</v>
      </c>
      <c r="H1713" s="11">
        <v>3.0</v>
      </c>
      <c r="I1713" s="11">
        <v>3.0</v>
      </c>
    </row>
    <row r="1714">
      <c r="A1714" s="10" t="s">
        <v>8111</v>
      </c>
      <c r="B1714" s="49" t="str">
        <f t="shared" si="1"/>
        <v>Kidnapping</v>
      </c>
      <c r="C1714" s="49" t="str">
        <f t="shared" si="2"/>
        <v>Kidnapping; To interfere with the performance of any governmental or political function</v>
      </c>
      <c r="D1714" s="49" t="str">
        <f t="shared" si="3"/>
        <v>21-5408(a)(4)</v>
      </c>
      <c r="E1714" s="11" t="s">
        <v>133</v>
      </c>
      <c r="F1714" s="11">
        <v>3.0</v>
      </c>
      <c r="G1714" s="11">
        <v>3.0</v>
      </c>
      <c r="H1714" s="11">
        <v>3.0</v>
      </c>
      <c r="I1714" s="11">
        <v>3.0</v>
      </c>
    </row>
    <row r="1715">
      <c r="A1715" s="10" t="s">
        <v>8112</v>
      </c>
      <c r="B1715" s="49" t="str">
        <f t="shared" si="1"/>
        <v>Labeling of Ag. Products</v>
      </c>
      <c r="C1715" s="49" t="str">
        <f t="shared" si="2"/>
        <v>Labeling of Ag. Products; Grade any agricultural product, and identify it or its container, with a false established standard</v>
      </c>
      <c r="D1715" s="49" t="str">
        <f t="shared" si="3"/>
        <v>147225</v>
      </c>
      <c r="E1715" s="11" t="s">
        <v>133</v>
      </c>
      <c r="F1715" s="11">
        <v>3.0</v>
      </c>
      <c r="G1715" s="11">
        <v>3.0</v>
      </c>
      <c r="H1715" s="11">
        <v>3.0</v>
      </c>
      <c r="I1715" s="11">
        <v>3.0</v>
      </c>
    </row>
    <row r="1716">
      <c r="A1716" s="10" t="s">
        <v>8113</v>
      </c>
      <c r="B1716" s="49" t="str">
        <f t="shared" si="1"/>
        <v>Labeling of Ag. Products</v>
      </c>
      <c r="C1716" s="49" t="str">
        <f t="shared" si="2"/>
        <v>Labeling of Ag. Products; Misleading labeling</v>
      </c>
      <c r="D1716" s="49" t="str">
        <f t="shared" si="3"/>
        <v>2-2302(a)</v>
      </c>
      <c r="E1716" s="11" t="s">
        <v>133</v>
      </c>
      <c r="F1716" s="11">
        <v>3.0</v>
      </c>
      <c r="G1716" s="11">
        <v>3.0</v>
      </c>
      <c r="H1716" s="11">
        <v>3.0</v>
      </c>
      <c r="I1716" s="11">
        <v>3.0</v>
      </c>
    </row>
    <row r="1717">
      <c r="A1717" s="10" t="s">
        <v>8114</v>
      </c>
      <c r="B1717" s="49" t="str">
        <f t="shared" si="1"/>
        <v>Labeling of Ag. Products</v>
      </c>
      <c r="C1717" s="49" t="str">
        <f t="shared" si="2"/>
        <v>Labeling of Ag. Products; Misleading representations</v>
      </c>
      <c r="D1717" s="49" t="str">
        <f t="shared" si="3"/>
        <v>2-2302(b)</v>
      </c>
      <c r="E1717" s="11" t="s">
        <v>133</v>
      </c>
      <c r="F1717" s="11">
        <v>3.0</v>
      </c>
      <c r="G1717" s="11">
        <v>3.0</v>
      </c>
      <c r="H1717" s="11">
        <v>3.0</v>
      </c>
      <c r="I1717" s="11">
        <v>3.0</v>
      </c>
    </row>
    <row r="1718">
      <c r="A1718" s="10" t="s">
        <v>8115</v>
      </c>
      <c r="B1718" s="49" t="str">
        <f t="shared" si="1"/>
        <v>Labeling of Ag. Products</v>
      </c>
      <c r="C1718" s="49" t="str">
        <f t="shared" si="2"/>
        <v>Labeling of Ag. Products; Move into KS for sale, have possession for sale, or sale of, any agricultural product labeled or represented in a misleading manner</v>
      </c>
      <c r="D1718" s="49" t="str">
        <f t="shared" si="3"/>
        <v>2-2302(c)</v>
      </c>
      <c r="E1718" s="11" t="s">
        <v>133</v>
      </c>
      <c r="F1718" s="11">
        <v>3.0</v>
      </c>
      <c r="G1718" s="11">
        <v>3.0</v>
      </c>
      <c r="H1718" s="11">
        <v>3.0</v>
      </c>
      <c r="I1718" s="11">
        <v>3.0</v>
      </c>
    </row>
    <row r="1719">
      <c r="A1719" s="10" t="s">
        <v>8116</v>
      </c>
      <c r="B1719" s="49" t="str">
        <f t="shared" si="1"/>
        <v>Labor &amp; Industries</v>
      </c>
      <c r="C1719" s="49" t="str">
        <f t="shared" si="2"/>
        <v>Labor &amp; Industries; Conditions of employment detrimental to health and welfare unlawful</v>
      </c>
      <c r="D1719" s="49" t="str">
        <f t="shared" si="3"/>
        <v>44-640</v>
      </c>
      <c r="E1719" s="11" t="s">
        <v>133</v>
      </c>
      <c r="F1719" s="11">
        <v>3.0</v>
      </c>
      <c r="G1719" s="11">
        <v>3.0</v>
      </c>
      <c r="H1719" s="11">
        <v>3.0</v>
      </c>
      <c r="I1719" s="11">
        <v>3.0</v>
      </c>
    </row>
    <row r="1720">
      <c r="A1720" s="10" t="s">
        <v>8117</v>
      </c>
      <c r="B1720" s="49" t="str">
        <f t="shared" si="1"/>
        <v>Labor &amp; Industries</v>
      </c>
      <c r="C1720" s="49" t="str">
        <f t="shared" si="2"/>
        <v>Labor &amp; Industries; Discharge or discriminate against employee because employee filed a complaint with, or furnished information to, the secretary of labor concerning unsafe or hazardous working conditions</v>
      </c>
      <c r="D1720" s="49" t="str">
        <f t="shared" si="3"/>
        <v>44-636(f)</v>
      </c>
      <c r="E1720" s="11" t="s">
        <v>133</v>
      </c>
      <c r="F1720" s="11">
        <v>3.0</v>
      </c>
      <c r="G1720" s="11">
        <v>3.0</v>
      </c>
      <c r="H1720" s="11">
        <v>3.0</v>
      </c>
      <c r="I1720" s="11">
        <v>3.0</v>
      </c>
    </row>
    <row r="1721">
      <c r="A1721" s="10" t="s">
        <v>8118</v>
      </c>
      <c r="B1721" s="49" t="str">
        <f t="shared" si="1"/>
        <v>Labor &amp; Industries</v>
      </c>
      <c r="C1721" s="49" t="str">
        <f t="shared" si="2"/>
        <v>Labor &amp; Industries; Employer preventing discharged employee from obtaining employment</v>
      </c>
      <c r="D1721" s="49" t="str">
        <f t="shared" si="3"/>
        <v>44-117</v>
      </c>
      <c r="E1721" s="11" t="s">
        <v>133</v>
      </c>
      <c r="F1721" s="11">
        <v>3.0</v>
      </c>
      <c r="G1721" s="11">
        <v>3.0</v>
      </c>
      <c r="H1721" s="11">
        <v>3.0</v>
      </c>
      <c r="I1721" s="11">
        <v>3.0</v>
      </c>
    </row>
    <row r="1722">
      <c r="A1722" s="10" t="s">
        <v>8119</v>
      </c>
      <c r="B1722" s="49" t="str">
        <f t="shared" si="1"/>
        <v>Labor &amp; Industries</v>
      </c>
      <c r="C1722" s="49" t="str">
        <f t="shared" si="2"/>
        <v>Labor &amp; Industries; Employment Security Law; Knowingly and intentionally misclassify an employee as an independent contractor for sole or primary purpose to avoid state income tax withholding and reporting requirements or state unemployment insurance contributions reporting requirements; 2nd violation</v>
      </c>
      <c r="D1722" s="49" t="str">
        <f t="shared" si="3"/>
        <v>44-766(a)</v>
      </c>
      <c r="E1722" s="11" t="s">
        <v>133</v>
      </c>
      <c r="F1722" s="11">
        <v>3.0</v>
      </c>
      <c r="G1722" s="11">
        <v>3.0</v>
      </c>
      <c r="H1722" s="11">
        <v>3.0</v>
      </c>
      <c r="I1722" s="11">
        <v>3.0</v>
      </c>
    </row>
    <row r="1723">
      <c r="A1723" s="10" t="s">
        <v>8120</v>
      </c>
      <c r="B1723" s="49" t="str">
        <f t="shared" si="1"/>
        <v>Labor &amp; Industries</v>
      </c>
      <c r="C1723" s="49" t="str">
        <f t="shared" si="2"/>
        <v>Labor &amp; Industries; Employment Security Law; Knowingly and intentionally misclassify an employee as an independent contractor for sole or primary purpose to avoid state income tax withholding and reporting requirements or state unemployment insurance contributions reporting requirements; 3rd or subs. violation</v>
      </c>
      <c r="D1723" s="49" t="str">
        <f t="shared" si="3"/>
        <v>44-766(a)</v>
      </c>
      <c r="E1723" s="11" t="s">
        <v>133</v>
      </c>
      <c r="F1723" s="11">
        <v>3.0</v>
      </c>
      <c r="G1723" s="11">
        <v>3.0</v>
      </c>
      <c r="H1723" s="11">
        <v>3.0</v>
      </c>
      <c r="I1723" s="11">
        <v>3.0</v>
      </c>
    </row>
    <row r="1724">
      <c r="A1724" s="10" t="s">
        <v>8121</v>
      </c>
      <c r="B1724" s="49" t="str">
        <f t="shared" si="1"/>
        <v>Labor &amp; Industries</v>
      </c>
      <c r="C1724" s="49" t="str">
        <f t="shared" si="2"/>
        <v>Labor &amp; Industries; Penalty for any violation of K.S.A. 44-401 through 44-412, inclusive</v>
      </c>
      <c r="D1724" s="49" t="str">
        <f t="shared" si="3"/>
        <v>44-410</v>
      </c>
      <c r="E1724" s="11" t="s">
        <v>133</v>
      </c>
      <c r="F1724" s="11">
        <v>3.0</v>
      </c>
      <c r="G1724" s="11">
        <v>3.0</v>
      </c>
      <c r="H1724" s="11">
        <v>3.0</v>
      </c>
      <c r="I1724" s="11">
        <v>3.0</v>
      </c>
    </row>
    <row r="1725">
      <c r="A1725" s="10" t="s">
        <v>8122</v>
      </c>
      <c r="B1725" s="49" t="str">
        <f t="shared" si="1"/>
        <v>Labor &amp; Industries</v>
      </c>
      <c r="C1725" s="49" t="str">
        <f t="shared" si="2"/>
        <v>Labor &amp; Industries; Penalty for failure to testify when subpoenaed</v>
      </c>
      <c r="D1725" s="49" t="str">
        <f t="shared" si="3"/>
        <v>44-635</v>
      </c>
      <c r="E1725" s="11" t="s">
        <v>133</v>
      </c>
      <c r="F1725" s="11">
        <v>3.0</v>
      </c>
      <c r="G1725" s="11">
        <v>3.0</v>
      </c>
      <c r="H1725" s="11">
        <v>3.0</v>
      </c>
      <c r="I1725" s="11">
        <v>3.0</v>
      </c>
    </row>
    <row r="1726">
      <c r="A1726" s="10" t="s">
        <v>8123</v>
      </c>
      <c r="B1726" s="49" t="str">
        <f t="shared" si="1"/>
        <v>Labor &amp; Industries</v>
      </c>
      <c r="C1726" s="49" t="str">
        <f t="shared" si="2"/>
        <v>Labor &amp; Industries; Penalty for Violation of Act</v>
      </c>
      <c r="D1726" s="49" t="str">
        <f t="shared" si="3"/>
        <v>44-129</v>
      </c>
      <c r="E1726" s="11" t="s">
        <v>133</v>
      </c>
      <c r="F1726" s="11">
        <v>3.0</v>
      </c>
      <c r="G1726" s="11">
        <v>3.0</v>
      </c>
      <c r="H1726" s="11">
        <v>3.0</v>
      </c>
      <c r="I1726" s="11">
        <v>3.0</v>
      </c>
    </row>
    <row r="1727">
      <c r="A1727" s="10" t="s">
        <v>8124</v>
      </c>
      <c r="B1727" s="49" t="str">
        <f t="shared" si="1"/>
        <v>Labor &amp; Industries</v>
      </c>
      <c r="C1727" s="49" t="str">
        <f t="shared" si="2"/>
        <v>Labor &amp; Industries; Penalty for violation of act</v>
      </c>
      <c r="D1727" s="49" t="str">
        <f t="shared" si="3"/>
        <v>44-648</v>
      </c>
      <c r="E1727" s="11" t="s">
        <v>133</v>
      </c>
      <c r="F1727" s="11">
        <v>3.0</v>
      </c>
      <c r="G1727" s="11">
        <v>3.0</v>
      </c>
      <c r="H1727" s="11">
        <v>3.0</v>
      </c>
      <c r="I1727" s="11">
        <v>3.0</v>
      </c>
    </row>
    <row r="1728">
      <c r="A1728" s="10" t="s">
        <v>8125</v>
      </c>
      <c r="B1728" s="49" t="str">
        <f t="shared" si="1"/>
        <v>Labor &amp; Industries</v>
      </c>
      <c r="C1728" s="49" t="str">
        <f t="shared" si="2"/>
        <v>Labor &amp; Industries; Penalty for violation of K.S.A. 44-601 to 44-628</v>
      </c>
      <c r="D1728" s="49" t="str">
        <f t="shared" si="3"/>
        <v>44-618</v>
      </c>
      <c r="E1728" s="11" t="s">
        <v>133</v>
      </c>
      <c r="F1728" s="11">
        <v>3.0</v>
      </c>
      <c r="G1728" s="11">
        <v>3.0</v>
      </c>
      <c r="H1728" s="11">
        <v>3.0</v>
      </c>
      <c r="I1728" s="11">
        <v>3.0</v>
      </c>
    </row>
    <row r="1729">
      <c r="A1729" s="10" t="s">
        <v>8126</v>
      </c>
      <c r="B1729" s="49" t="str">
        <f t="shared" si="1"/>
        <v>Labor &amp; Industries</v>
      </c>
      <c r="C1729" s="49" t="str">
        <f t="shared" si="2"/>
        <v>Labor &amp; Industries; Remove or require to be removed, or made ineffective any practical safeguard around or safety attachment to any machinery, vats, pan, or other apparatus or device mentioned in this section while the same is in use; require or permit the operation of, or operate, the dangerous machine, apparatus or device without the required safeguards or safety attachments</v>
      </c>
      <c r="D1729" s="49" t="str">
        <f t="shared" si="3"/>
        <v>44-636(c)</v>
      </c>
      <c r="E1729" s="11" t="s">
        <v>133</v>
      </c>
      <c r="F1729" s="11">
        <v>3.0</v>
      </c>
      <c r="G1729" s="11">
        <v>3.0</v>
      </c>
      <c r="H1729" s="11">
        <v>3.0</v>
      </c>
      <c r="I1729" s="11">
        <v>3.0</v>
      </c>
    </row>
    <row r="1730">
      <c r="A1730" s="10" t="s">
        <v>8127</v>
      </c>
      <c r="B1730" s="49" t="str">
        <f t="shared" si="1"/>
        <v>Labor &amp; Industries</v>
      </c>
      <c r="C1730" s="49" t="str">
        <f t="shared" si="2"/>
        <v>Labor &amp; Industries; Unlawful acts against witnesses and litigants</v>
      </c>
      <c r="D1730" s="49" t="str">
        <f t="shared" si="3"/>
        <v>44-615</v>
      </c>
      <c r="E1730" s="11" t="s">
        <v>133</v>
      </c>
      <c r="F1730" s="11">
        <v>3.0</v>
      </c>
      <c r="G1730" s="11">
        <v>3.0</v>
      </c>
      <c r="H1730" s="11">
        <v>3.0</v>
      </c>
      <c r="I1730" s="11">
        <v>3.0</v>
      </c>
    </row>
    <row r="1731">
      <c r="A1731" s="10" t="s">
        <v>8128</v>
      </c>
      <c r="B1731" s="49" t="str">
        <f t="shared" si="1"/>
        <v>Labor &amp; Industries</v>
      </c>
      <c r="C1731" s="49" t="str">
        <f t="shared" si="2"/>
        <v>Labor &amp; Industries; Unlawful installation or operation of any boiler or pressure vessel in this state; construction of any boiler or pressure vessel for use in this state in violation of this act, or rules and regulations hereunder</v>
      </c>
      <c r="D1731" s="49" t="str">
        <f t="shared" si="3"/>
        <v>44-925(c)</v>
      </c>
      <c r="E1731" s="11" t="s">
        <v>133</v>
      </c>
      <c r="F1731" s="11">
        <v>3.0</v>
      </c>
      <c r="G1731" s="11">
        <v>3.0</v>
      </c>
      <c r="H1731" s="11">
        <v>3.0</v>
      </c>
      <c r="I1731" s="11">
        <v>3.0</v>
      </c>
    </row>
    <row r="1732">
      <c r="A1732" s="10" t="s">
        <v>8129</v>
      </c>
      <c r="B1732" s="49" t="str">
        <f t="shared" si="1"/>
        <v>Labor &amp; Industries</v>
      </c>
      <c r="C1732" s="49" t="str">
        <f t="shared" si="2"/>
        <v>Labor &amp; Industries; Unlawful limitation or cessation of business operations</v>
      </c>
      <c r="D1732" s="49" t="str">
        <f t="shared" si="3"/>
        <v>44-616</v>
      </c>
      <c r="E1732" s="11" t="s">
        <v>133</v>
      </c>
      <c r="F1732" s="11">
        <v>3.0</v>
      </c>
      <c r="G1732" s="11">
        <v>3.0</v>
      </c>
      <c r="H1732" s="11">
        <v>3.0</v>
      </c>
      <c r="I1732" s="11">
        <v>3.0</v>
      </c>
    </row>
    <row r="1733">
      <c r="A1733" s="10" t="s">
        <v>8130</v>
      </c>
      <c r="B1733" s="49" t="str">
        <f t="shared" si="1"/>
        <v>Labor &amp; Industries</v>
      </c>
      <c r="C1733" s="49" t="str">
        <f t="shared" si="2"/>
        <v>Labor &amp; Industries; Unlawful operation of a pressure vessel installed after January 1, 1999, or a boiler without valid inspection certificate, and the operation of a pressure vessel installed after January 1, 1999, or a boiler without such inspection certificate or at a pressure exceeding that specified in such inspection certificate</v>
      </c>
      <c r="D1733" s="49" t="str">
        <f t="shared" si="3"/>
        <v>44-925(a)</v>
      </c>
      <c r="E1733" s="11" t="s">
        <v>133</v>
      </c>
      <c r="F1733" s="11">
        <v>3.0</v>
      </c>
      <c r="G1733" s="11">
        <v>3.0</v>
      </c>
      <c r="H1733" s="11">
        <v>3.0</v>
      </c>
      <c r="I1733" s="11">
        <v>3.0</v>
      </c>
    </row>
    <row r="1734">
      <c r="A1734" s="10" t="s">
        <v>8131</v>
      </c>
      <c r="B1734" s="49" t="str">
        <f t="shared" si="1"/>
        <v>Labor &amp; Industries</v>
      </c>
      <c r="C1734" s="49" t="str">
        <f t="shared" si="2"/>
        <v>Labor &amp; Industries; Violations of Act; quitting employment; picketing; intimidation</v>
      </c>
      <c r="D1734" s="49" t="str">
        <f t="shared" si="3"/>
        <v>44-617</v>
      </c>
      <c r="E1734" s="11" t="s">
        <v>133</v>
      </c>
      <c r="F1734" s="11">
        <v>3.0</v>
      </c>
      <c r="G1734" s="11">
        <v>3.0</v>
      </c>
      <c r="H1734" s="11">
        <v>3.0</v>
      </c>
      <c r="I1734" s="11">
        <v>3.0</v>
      </c>
    </row>
    <row r="1735">
      <c r="A1735" s="10" t="s">
        <v>8132</v>
      </c>
      <c r="B1735" s="49" t="str">
        <f t="shared" si="1"/>
        <v>Legislative Post Audit</v>
      </c>
      <c r="C1735" s="49" t="str">
        <f t="shared" si="2"/>
        <v>Legislative Post Audit; Failure to make records available for post audit</v>
      </c>
      <c r="D1735" s="49" t="str">
        <f t="shared" si="3"/>
        <v>46-1116</v>
      </c>
      <c r="E1735" s="11" t="s">
        <v>133</v>
      </c>
      <c r="F1735" s="11">
        <v>3.0</v>
      </c>
      <c r="G1735" s="11">
        <v>3.0</v>
      </c>
      <c r="H1735" s="11">
        <v>3.0</v>
      </c>
      <c r="I1735" s="11">
        <v>3.0</v>
      </c>
    </row>
    <row r="1736">
      <c r="A1736" s="10" t="s">
        <v>8133</v>
      </c>
      <c r="B1736" s="49" t="str">
        <f t="shared" si="1"/>
        <v>Levees</v>
      </c>
      <c r="C1736" s="49" t="str">
        <f t="shared" si="2"/>
        <v>Levees; Summoning labor for emergency work on levee; refusing summons</v>
      </c>
      <c r="D1736" s="49" t="str">
        <f t="shared" si="3"/>
        <v>24-811</v>
      </c>
      <c r="E1736" s="11" t="s">
        <v>133</v>
      </c>
      <c r="F1736" s="11">
        <v>3.0</v>
      </c>
      <c r="G1736" s="11">
        <v>3.0</v>
      </c>
      <c r="H1736" s="11">
        <v>3.0</v>
      </c>
      <c r="I1736" s="11">
        <v>3.0</v>
      </c>
    </row>
    <row r="1737">
      <c r="A1737" s="10" t="s">
        <v>8134</v>
      </c>
      <c r="B1737" s="49" t="str">
        <f t="shared" si="1"/>
        <v>Levees</v>
      </c>
      <c r="C1737" s="49" t="str">
        <f t="shared" si="2"/>
        <v>Levees; Willfully cut, break, damage or make a leak in levee; build any cross-levee, dike or embankment, to prevent the flow of the surface water in its natural course to the sewer pipes or openings provided for the escape of such surface water, or otherwise change the contour of such levee districts by building cross-levees or embankments, or by any other act render the protection afforded by said levee to all parties less effective and complete</v>
      </c>
      <c r="D1737" s="49" t="str">
        <f t="shared" si="3"/>
        <v>24-815</v>
      </c>
      <c r="E1737" s="11" t="s">
        <v>133</v>
      </c>
      <c r="F1737" s="11">
        <v>3.0</v>
      </c>
      <c r="G1737" s="11">
        <v>3.0</v>
      </c>
      <c r="H1737" s="11">
        <v>3.0</v>
      </c>
      <c r="I1737" s="11">
        <v>3.0</v>
      </c>
    </row>
    <row r="1738">
      <c r="A1738" s="10" t="s">
        <v>8135</v>
      </c>
      <c r="B1738" s="49" t="str">
        <f t="shared" si="1"/>
        <v>Lewd and Lascivious Behavior</v>
      </c>
      <c r="C1738" s="49" t="str">
        <f t="shared" si="2"/>
        <v>Lewd and Lascivious Behavior; Publicly engage sexual intercourse or sodomy with knowledge or reasonable anticipation of being viewed by others; if done in presence of persons 16 or older</v>
      </c>
      <c r="D1738" s="49" t="str">
        <f t="shared" si="3"/>
        <v>21-5513(a)(1)</v>
      </c>
      <c r="E1738" s="11" t="s">
        <v>133</v>
      </c>
      <c r="F1738" s="11">
        <v>3.0</v>
      </c>
      <c r="G1738" s="11">
        <v>3.0</v>
      </c>
      <c r="H1738" s="11">
        <v>3.0</v>
      </c>
      <c r="I1738" s="11">
        <v>3.0</v>
      </c>
    </row>
    <row r="1739">
      <c r="A1739" s="10" t="s">
        <v>8136</v>
      </c>
      <c r="B1739" s="49" t="str">
        <f t="shared" si="1"/>
        <v>Lewd and Lascivious Behavior</v>
      </c>
      <c r="C1739" s="49" t="str">
        <f t="shared" si="2"/>
        <v>Lewd and Lascivious Behavior; Publicly engaging in sexual intercourse or sodomy; In presence of person under 16</v>
      </c>
      <c r="D1739" s="49" t="str">
        <f t="shared" si="3"/>
        <v>21-5513(a)(1)</v>
      </c>
      <c r="E1739" s="11" t="s">
        <v>133</v>
      </c>
      <c r="F1739" s="11">
        <v>3.0</v>
      </c>
      <c r="G1739" s="11">
        <v>3.0</v>
      </c>
      <c r="H1739" s="11">
        <v>3.0</v>
      </c>
      <c r="I1739" s="11">
        <v>3.0</v>
      </c>
    </row>
    <row r="1740">
      <c r="A1740" s="10" t="s">
        <v>8137</v>
      </c>
      <c r="B1740" s="49" t="str">
        <f t="shared" si="1"/>
        <v>Lewd and Lascivious Behavior</v>
      </c>
      <c r="C1740" s="49" t="str">
        <f t="shared" si="2"/>
        <v>Lewd and Lascivious Behavior; Publicly expose a sex organ or expose a sex organ in presence of one not the spouse of offender without consent, with intent to arouse or gratify the sexual desires of the offender or another; if done in presence of person 16 or older</v>
      </c>
      <c r="D1740" s="49" t="str">
        <f t="shared" si="3"/>
        <v>21-5513(a)(2)</v>
      </c>
      <c r="E1740" s="11" t="s">
        <v>133</v>
      </c>
      <c r="F1740" s="11">
        <v>3.0</v>
      </c>
      <c r="G1740" s="11">
        <v>3.0</v>
      </c>
      <c r="H1740" s="11">
        <v>3.0</v>
      </c>
      <c r="I1740" s="11">
        <v>3.0</v>
      </c>
    </row>
    <row r="1741">
      <c r="A1741" s="10" t="s">
        <v>8138</v>
      </c>
      <c r="B1741" s="49" t="str">
        <f t="shared" si="1"/>
        <v>Lewd and Lascivious Behavior</v>
      </c>
      <c r="C1741" s="49" t="str">
        <f t="shared" si="2"/>
        <v>Lewd and Lascivious Behavior; Publicly exposing a sex organ or exposing a sex organ to one other than spouse; committed in presence of person under 16</v>
      </c>
      <c r="D1741" s="49" t="str">
        <f t="shared" si="3"/>
        <v>21-5513(a)(2)</v>
      </c>
      <c r="E1741" s="11" t="s">
        <v>133</v>
      </c>
      <c r="F1741" s="11">
        <v>3.0</v>
      </c>
      <c r="G1741" s="11">
        <v>3.0</v>
      </c>
      <c r="H1741" s="11">
        <v>3.0</v>
      </c>
      <c r="I1741" s="11">
        <v>3.0</v>
      </c>
    </row>
    <row r="1742">
      <c r="A1742" s="10" t="s">
        <v>8139</v>
      </c>
      <c r="B1742" s="49" t="str">
        <f t="shared" si="1"/>
        <v>Liquefied Petroleum Gas</v>
      </c>
      <c r="C1742" s="49" t="str">
        <f t="shared" si="2"/>
        <v>Liquefied Petroleum Gas; Unlawful for any person except owner or a person authorized in writing by him or her to fill or refill such container</v>
      </c>
      <c r="D1742" s="49" t="str">
        <f t="shared" si="3"/>
        <v>55-1102(a)(1)</v>
      </c>
      <c r="E1742" s="11" t="s">
        <v>133</v>
      </c>
      <c r="F1742" s="11">
        <v>3.0</v>
      </c>
      <c r="G1742" s="11">
        <v>3.0</v>
      </c>
      <c r="H1742" s="11">
        <v>3.0</v>
      </c>
      <c r="I1742" s="11">
        <v>3.0</v>
      </c>
    </row>
    <row r="1743">
      <c r="A1743" s="10" t="s">
        <v>8140</v>
      </c>
      <c r="B1743" s="49" t="str">
        <f t="shared" si="1"/>
        <v>Liquefied Petroleum Gas</v>
      </c>
      <c r="C1743" s="49" t="str">
        <f t="shared" si="2"/>
        <v>Liquefied Petroleum Gas; Unlawful for any person to place the name, mark, initials or other identifying device of any person other than the owner on any liquefied petroleum gas container</v>
      </c>
      <c r="D1743" s="49" t="str">
        <f t="shared" si="3"/>
        <v>55-1102(b)</v>
      </c>
      <c r="E1743" s="11" t="s">
        <v>133</v>
      </c>
      <c r="F1743" s="11">
        <v>3.0</v>
      </c>
      <c r="G1743" s="11">
        <v>3.0</v>
      </c>
      <c r="H1743" s="11">
        <v>3.0</v>
      </c>
      <c r="I1743" s="11">
        <v>3.0</v>
      </c>
    </row>
    <row r="1744">
      <c r="A1744" s="10" t="s">
        <v>8141</v>
      </c>
      <c r="B1744" s="49" t="str">
        <f t="shared" si="1"/>
        <v>Liquefied Petroleum Gas</v>
      </c>
      <c r="C1744" s="49" t="str">
        <f t="shared" si="2"/>
        <v>Liquefied Petroleum Gas; Unlawful for person other than owner or owner's agent to buy, sell, offer for sale, give, take, loan, deliver or permit to be delivered, or otherwise use, dispose of, or traffic in any such container</v>
      </c>
      <c r="D1744" s="49" t="str">
        <f t="shared" si="3"/>
        <v>55-1102(a)(2)</v>
      </c>
      <c r="E1744" s="11" t="s">
        <v>133</v>
      </c>
      <c r="F1744" s="11">
        <v>3.0</v>
      </c>
      <c r="G1744" s="11">
        <v>3.0</v>
      </c>
      <c r="H1744" s="11">
        <v>3.0</v>
      </c>
      <c r="I1744" s="11">
        <v>3.0</v>
      </c>
    </row>
    <row r="1745">
      <c r="A1745" s="10" t="s">
        <v>8142</v>
      </c>
      <c r="B1745" s="49" t="str">
        <f t="shared" si="1"/>
        <v>Liquefied Petroleum Gas</v>
      </c>
      <c r="C1745" s="49" t="str">
        <f t="shared" si="2"/>
        <v>Liquefied Petroleum Gas; Unlawful for person other than owner or owner's agent to deface, erase, obliterate, cover up or otherwise remove or conceal or change any such name, mark, initials or other identifying device of the owner or to place the name, mark, initials or other identifying device of any person other than the owner on such container</v>
      </c>
      <c r="D1745" s="49" t="str">
        <f t="shared" si="3"/>
        <v>55-1102(a)(3)</v>
      </c>
      <c r="E1745" s="11" t="s">
        <v>133</v>
      </c>
      <c r="F1745" s="11">
        <v>3.0</v>
      </c>
      <c r="G1745" s="11">
        <v>3.0</v>
      </c>
      <c r="H1745" s="11">
        <v>3.0</v>
      </c>
      <c r="I1745" s="11">
        <v>3.0</v>
      </c>
    </row>
    <row r="1746">
      <c r="A1746" s="10" t="s">
        <v>8143</v>
      </c>
      <c r="B1746" s="49" t="str">
        <f t="shared" si="1"/>
        <v>Liquefied Petroleum Gas</v>
      </c>
      <c r="C1746" s="49" t="str">
        <f t="shared" si="2"/>
        <v>Liquefied Petroleum Gas; Unlawful to fill or refill unmarked containers if notified by owner</v>
      </c>
      <c r="D1746" s="49" t="str">
        <f t="shared" si="3"/>
        <v>55-1103</v>
      </c>
      <c r="E1746" s="11" t="s">
        <v>133</v>
      </c>
      <c r="F1746" s="11">
        <v>3.0</v>
      </c>
      <c r="G1746" s="11">
        <v>3.0</v>
      </c>
      <c r="H1746" s="11">
        <v>3.0</v>
      </c>
      <c r="I1746" s="11">
        <v>3.0</v>
      </c>
    </row>
    <row r="1747">
      <c r="A1747" s="10" t="s">
        <v>8144</v>
      </c>
      <c r="B1747" s="49" t="str">
        <f t="shared" si="1"/>
        <v>Liquor Control Act</v>
      </c>
      <c r="C1747" s="49" t="str">
        <f t="shared" si="2"/>
        <v>Liquor Control Act; Certain sales on credit, in trade or by check prohibited</v>
      </c>
      <c r="D1747" s="49" t="str">
        <f t="shared" si="3"/>
        <v>41-717</v>
      </c>
      <c r="E1747" s="11" t="s">
        <v>133</v>
      </c>
      <c r="F1747" s="11">
        <v>3.0</v>
      </c>
      <c r="G1747" s="11">
        <v>3.0</v>
      </c>
      <c r="H1747" s="11">
        <v>3.0</v>
      </c>
      <c r="I1747" s="11">
        <v>3.0</v>
      </c>
    </row>
    <row r="1748">
      <c r="A1748" s="10" t="s">
        <v>8145</v>
      </c>
      <c r="B1748" s="49" t="str">
        <f t="shared" si="1"/>
        <v>Liquor Control Act</v>
      </c>
      <c r="C1748" s="49" t="str">
        <f t="shared" si="2"/>
        <v>Liquor Control Act; Common carriers; must deliver only to consignee</v>
      </c>
      <c r="D1748" s="49" t="str">
        <f t="shared" si="3"/>
        <v>41-725</v>
      </c>
      <c r="E1748" s="11" t="s">
        <v>133</v>
      </c>
      <c r="F1748" s="11">
        <v>3.0</v>
      </c>
      <c r="G1748" s="11">
        <v>3.0</v>
      </c>
      <c r="H1748" s="11">
        <v>3.0</v>
      </c>
      <c r="I1748" s="11">
        <v>3.0</v>
      </c>
    </row>
    <row r="1749">
      <c r="A1749" s="10" t="s">
        <v>8146</v>
      </c>
      <c r="B1749" s="49" t="str">
        <f t="shared" si="1"/>
        <v>Liquor Control Act</v>
      </c>
      <c r="C1749" s="49" t="str">
        <f t="shared" si="2"/>
        <v>Liquor Control Act; Division of Alcoholic Beverage Control; conflict of interest</v>
      </c>
      <c r="D1749" s="49" t="str">
        <f t="shared" si="3"/>
        <v>41-206(a)</v>
      </c>
      <c r="E1749" s="11" t="s">
        <v>133</v>
      </c>
      <c r="F1749" s="11">
        <v>3.0</v>
      </c>
      <c r="G1749" s="11">
        <v>3.0</v>
      </c>
      <c r="H1749" s="11">
        <v>3.0</v>
      </c>
      <c r="I1749" s="11">
        <v>3.0</v>
      </c>
    </row>
    <row r="1750">
      <c r="A1750" s="10" t="s">
        <v>8147</v>
      </c>
      <c r="B1750" s="49" t="str">
        <f t="shared" si="1"/>
        <v>Liquor Control Act</v>
      </c>
      <c r="C1750" s="49" t="str">
        <f t="shared" si="2"/>
        <v>Liquor Control Act; Drink or consume alcoholic liquor on the public streets, alleys, roads or highways or inside vehicles while on the public streets, alleys, roads or highways</v>
      </c>
      <c r="D1750" s="49" t="str">
        <f t="shared" si="3"/>
        <v>41-719(a)</v>
      </c>
      <c r="E1750" s="11" t="s">
        <v>133</v>
      </c>
      <c r="F1750" s="11">
        <v>3.0</v>
      </c>
      <c r="G1750" s="11">
        <v>3.0</v>
      </c>
      <c r="H1750" s="11">
        <v>3.0</v>
      </c>
      <c r="I1750" s="11">
        <v>3.0</v>
      </c>
    </row>
    <row r="1751">
      <c r="A1751" s="10" t="s">
        <v>8148</v>
      </c>
      <c r="B1751" s="49" t="str">
        <f t="shared" si="1"/>
        <v>Liquor Control Act</v>
      </c>
      <c r="C1751" s="49" t="str">
        <f t="shared" si="2"/>
        <v>Liquor Control Act; Duty of county attorney; penalty for neglect; duty of attorney general</v>
      </c>
      <c r="D1751" s="49" t="str">
        <f t="shared" si="3"/>
        <v>41-1107</v>
      </c>
      <c r="E1751" s="11" t="s">
        <v>133</v>
      </c>
      <c r="F1751" s="11">
        <v>3.0</v>
      </c>
      <c r="G1751" s="11">
        <v>3.0</v>
      </c>
      <c r="H1751" s="11">
        <v>3.0</v>
      </c>
      <c r="I1751" s="11">
        <v>3.0</v>
      </c>
    </row>
    <row r="1752">
      <c r="A1752" s="10" t="s">
        <v>8149</v>
      </c>
      <c r="B1752" s="49" t="str">
        <f t="shared" si="1"/>
        <v>Liquor Control Act</v>
      </c>
      <c r="C1752" s="49" t="str">
        <f t="shared" si="2"/>
        <v>Liquor Control Act; Evasion or attempt to evade payment of liquor tax</v>
      </c>
      <c r="D1752" s="49" t="str">
        <f t="shared" si="3"/>
        <v>41-407(a)(1)</v>
      </c>
      <c r="E1752" s="11" t="s">
        <v>133</v>
      </c>
      <c r="F1752" s="11">
        <v>3.0</v>
      </c>
      <c r="G1752" s="11">
        <v>3.0</v>
      </c>
      <c r="H1752" s="11">
        <v>3.0</v>
      </c>
      <c r="I1752" s="11">
        <v>3.0</v>
      </c>
    </row>
    <row r="1753">
      <c r="A1753" s="10" t="s">
        <v>8150</v>
      </c>
      <c r="B1753" s="49" t="str">
        <f t="shared" si="1"/>
        <v>Liquor Control Act</v>
      </c>
      <c r="C1753" s="49" t="str">
        <f t="shared" si="2"/>
        <v>Liquor Control Act; False branding</v>
      </c>
      <c r="D1753" s="49" t="str">
        <f t="shared" si="3"/>
        <v>41-905</v>
      </c>
      <c r="E1753" s="11" t="s">
        <v>133</v>
      </c>
      <c r="F1753" s="11">
        <v>3.0</v>
      </c>
      <c r="G1753" s="11">
        <v>3.0</v>
      </c>
      <c r="H1753" s="11">
        <v>3.0</v>
      </c>
      <c r="I1753" s="11">
        <v>3.0</v>
      </c>
    </row>
    <row r="1754">
      <c r="A1754" s="10" t="s">
        <v>8151</v>
      </c>
      <c r="B1754" s="49" t="str">
        <f t="shared" si="1"/>
        <v>Liquor Control Act</v>
      </c>
      <c r="C1754" s="49" t="str">
        <f t="shared" si="2"/>
        <v>Liquor Control Act; False statements to common carriers unlawful</v>
      </c>
      <c r="D1754" s="49" t="str">
        <f t="shared" si="3"/>
        <v>41-726</v>
      </c>
      <c r="E1754" s="11" t="s">
        <v>133</v>
      </c>
      <c r="F1754" s="11">
        <v>3.0</v>
      </c>
      <c r="G1754" s="11">
        <v>3.0</v>
      </c>
      <c r="H1754" s="11">
        <v>3.0</v>
      </c>
      <c r="I1754" s="11">
        <v>3.0</v>
      </c>
    </row>
    <row r="1755">
      <c r="A1755" s="10" t="s">
        <v>8152</v>
      </c>
      <c r="B1755" s="49" t="str">
        <f t="shared" si="1"/>
        <v>Liquor Control Act</v>
      </c>
      <c r="C1755" s="49" t="str">
        <f t="shared" si="2"/>
        <v>Liquor Control Act; Giving or selling liquor to evade law declared unlawful</v>
      </c>
      <c r="D1755" s="49" t="str">
        <f t="shared" si="3"/>
        <v>41-722</v>
      </c>
      <c r="E1755" s="11" t="s">
        <v>133</v>
      </c>
      <c r="F1755" s="11">
        <v>3.0</v>
      </c>
      <c r="G1755" s="11">
        <v>3.0</v>
      </c>
      <c r="H1755" s="11">
        <v>3.0</v>
      </c>
      <c r="I1755" s="11">
        <v>3.0</v>
      </c>
    </row>
    <row r="1756">
      <c r="A1756" s="10" t="s">
        <v>8153</v>
      </c>
      <c r="B1756" s="49" t="str">
        <f t="shared" si="1"/>
        <v>Liquor Control Act</v>
      </c>
      <c r="C1756" s="49" t="str">
        <f t="shared" si="2"/>
        <v>Liquor Control Act; Knowingly permitting licensee to unlawfully use premises</v>
      </c>
      <c r="D1756" s="49" t="str">
        <f t="shared" si="3"/>
        <v>41-903</v>
      </c>
      <c r="E1756" s="11" t="s">
        <v>133</v>
      </c>
      <c r="F1756" s="11">
        <v>3.0</v>
      </c>
      <c r="G1756" s="11">
        <v>3.0</v>
      </c>
      <c r="H1756" s="11">
        <v>3.0</v>
      </c>
      <c r="I1756" s="11">
        <v>3.0</v>
      </c>
    </row>
    <row r="1757">
      <c r="A1757" s="10" t="s">
        <v>8154</v>
      </c>
      <c r="B1757" s="49" t="str">
        <f t="shared" si="1"/>
        <v>Liquor Control Act</v>
      </c>
      <c r="C1757" s="49" t="str">
        <f t="shared" si="2"/>
        <v>Liquor Control Act; Licensing &amp; Related Provisions; city option; knowingly signing a petition authorized by this section when not a qualified voter; aiding or abetting any other in the same; bribe, give or pay any money or thing of value to any person to induce such person to sign such petition</v>
      </c>
      <c r="D1757" s="49" t="str">
        <f t="shared" si="3"/>
        <v>41-302(a)</v>
      </c>
      <c r="E1757" s="11" t="s">
        <v>133</v>
      </c>
      <c r="F1757" s="11">
        <v>3.0</v>
      </c>
      <c r="G1757" s="11">
        <v>3.0</v>
      </c>
      <c r="H1757" s="11">
        <v>3.0</v>
      </c>
      <c r="I1757" s="11">
        <v>3.0</v>
      </c>
    </row>
    <row r="1758">
      <c r="A1758" s="10" t="s">
        <v>8155</v>
      </c>
      <c r="B1758" s="49" t="str">
        <f t="shared" si="1"/>
        <v>Liquor Control Act</v>
      </c>
      <c r="C1758" s="49" t="str">
        <f t="shared" si="2"/>
        <v>Liquor Control Act; Location of retail store, microbrewery or farm winery; restrictions</v>
      </c>
      <c r="D1758" s="49" t="str">
        <f t="shared" si="3"/>
        <v>41-710</v>
      </c>
      <c r="E1758" s="11" t="s">
        <v>133</v>
      </c>
      <c r="F1758" s="11">
        <v>3.0</v>
      </c>
      <c r="G1758" s="11">
        <v>3.0</v>
      </c>
      <c r="H1758" s="11">
        <v>3.0</v>
      </c>
      <c r="I1758" s="11">
        <v>3.0</v>
      </c>
    </row>
    <row r="1759">
      <c r="A1759" s="10" t="s">
        <v>8156</v>
      </c>
      <c r="B1759" s="49" t="str">
        <f t="shared" si="1"/>
        <v>Liquor Control Act</v>
      </c>
      <c r="C1759" s="49" t="str">
        <f t="shared" si="2"/>
        <v>Liquor Control Act; Manufacturers/distributors provide bonded warehouses</v>
      </c>
      <c r="D1759" s="49" t="str">
        <f t="shared" si="3"/>
        <v>41-401</v>
      </c>
      <c r="E1759" s="11" t="s">
        <v>133</v>
      </c>
      <c r="F1759" s="11">
        <v>3.0</v>
      </c>
      <c r="G1759" s="11">
        <v>3.0</v>
      </c>
      <c r="H1759" s="11">
        <v>3.0</v>
      </c>
      <c r="I1759" s="11">
        <v>3.0</v>
      </c>
    </row>
    <row r="1760">
      <c r="A1760" s="10" t="s">
        <v>8157</v>
      </c>
      <c r="B1760" s="49" t="str">
        <f t="shared" si="1"/>
        <v>Liquor Control Act</v>
      </c>
      <c r="C1760" s="49" t="str">
        <f t="shared" si="2"/>
        <v>Liquor Control Act; No retail licenses to issue in cities where electors voted contrary</v>
      </c>
      <c r="D1760" s="49" t="str">
        <f t="shared" si="3"/>
        <v>41-721</v>
      </c>
      <c r="E1760" s="11" t="s">
        <v>133</v>
      </c>
      <c r="F1760" s="11">
        <v>3.0</v>
      </c>
      <c r="G1760" s="11">
        <v>3.0</v>
      </c>
      <c r="H1760" s="11">
        <v>3.0</v>
      </c>
      <c r="I1760" s="11">
        <v>3.0</v>
      </c>
    </row>
    <row r="1761">
      <c r="A1761" s="10" t="s">
        <v>8158</v>
      </c>
      <c r="B1761" s="49" t="str">
        <f t="shared" si="1"/>
        <v>Liquor Control Act</v>
      </c>
      <c r="C1761" s="49" t="str">
        <f t="shared" si="2"/>
        <v>Liquor Control Act; No supplier, wholesaler, distributor, manufacturer or importer shall by oral or written contract or agreement, expressly or impliedly fix, maintain, coerce or control the resale price of alcoholic liquor, beer or cereal malt beverage to be resold by such wholesaler, distributor, manufacturer or importer</v>
      </c>
      <c r="D1761" s="49" t="str">
        <f t="shared" si="3"/>
        <v>41-701(f)</v>
      </c>
      <c r="E1761" s="11" t="s">
        <v>133</v>
      </c>
      <c r="F1761" s="11">
        <v>3.0</v>
      </c>
      <c r="G1761" s="11">
        <v>3.0</v>
      </c>
      <c r="H1761" s="11">
        <v>3.0</v>
      </c>
      <c r="I1761" s="11">
        <v>3.0</v>
      </c>
    </row>
    <row r="1762">
      <c r="A1762" s="10" t="s">
        <v>8159</v>
      </c>
      <c r="B1762" s="49" t="str">
        <f t="shared" si="1"/>
        <v>Liquor Control Act</v>
      </c>
      <c r="C1762" s="49" t="str">
        <f t="shared" si="2"/>
        <v>Liquor Control Act; Nonbeverage licensee forbidden to give or sell alcoholic liquors</v>
      </c>
      <c r="D1762" s="49" t="str">
        <f t="shared" si="3"/>
        <v>41-720</v>
      </c>
      <c r="E1762" s="11" t="s">
        <v>133</v>
      </c>
      <c r="F1762" s="11">
        <v>3.0</v>
      </c>
      <c r="G1762" s="11">
        <v>3.0</v>
      </c>
      <c r="H1762" s="11">
        <v>3.0</v>
      </c>
      <c r="I1762" s="11">
        <v>3.0</v>
      </c>
    </row>
    <row r="1763">
      <c r="A1763" s="10" t="s">
        <v>8160</v>
      </c>
      <c r="B1763" s="49" t="str">
        <f t="shared" si="1"/>
        <v>Liquor Control Act</v>
      </c>
      <c r="C1763" s="49" t="str">
        <f t="shared" si="2"/>
        <v>Liquor Control Act; Open Saloon</v>
      </c>
      <c r="D1763" s="49" t="str">
        <f t="shared" si="3"/>
        <v>41-803(a)</v>
      </c>
      <c r="E1763" s="11" t="s">
        <v>133</v>
      </c>
      <c r="F1763" s="11">
        <v>3.0</v>
      </c>
      <c r="G1763" s="11">
        <v>3.0</v>
      </c>
      <c r="H1763" s="11">
        <v>3.0</v>
      </c>
      <c r="I1763" s="11">
        <v>3.0</v>
      </c>
    </row>
    <row r="1764">
      <c r="A1764" s="10" t="s">
        <v>8161</v>
      </c>
      <c r="B1764" s="49" t="str">
        <f t="shared" si="1"/>
        <v>Liquor Control Act</v>
      </c>
      <c r="C1764" s="49" t="str">
        <f t="shared" si="2"/>
        <v>Liquor Control Act; Places and properties operated or used in violation of act</v>
      </c>
      <c r="D1764" s="49" t="str">
        <f t="shared" si="3"/>
        <v>41-805(1)</v>
      </c>
      <c r="E1764" s="11" t="s">
        <v>133</v>
      </c>
      <c r="F1764" s="11">
        <v>3.0</v>
      </c>
      <c r="G1764" s="11">
        <v>3.0</v>
      </c>
      <c r="H1764" s="11">
        <v>3.0</v>
      </c>
      <c r="I1764" s="11">
        <v>3.0</v>
      </c>
    </row>
    <row r="1765">
      <c r="A1765" s="10" t="s">
        <v>8162</v>
      </c>
      <c r="B1765" s="49" t="str">
        <f t="shared" si="1"/>
        <v>Liquor Control Act</v>
      </c>
      <c r="C1765" s="49" t="str">
        <f t="shared" si="2"/>
        <v>Liquor Control Act; Possession of alcoholic liquor, without mark indicating payment of liquor tax</v>
      </c>
      <c r="D1765" s="49" t="str">
        <f t="shared" si="3"/>
        <v>41-407(a)(2)</v>
      </c>
      <c r="E1765" s="11" t="s">
        <v>133</v>
      </c>
      <c r="F1765" s="11">
        <v>3.0</v>
      </c>
      <c r="G1765" s="11">
        <v>3.0</v>
      </c>
      <c r="H1765" s="11">
        <v>3.0</v>
      </c>
      <c r="I1765" s="11">
        <v>3.0</v>
      </c>
    </row>
    <row r="1766">
      <c r="A1766" s="10" t="s">
        <v>8163</v>
      </c>
      <c r="B1766" s="49" t="str">
        <f t="shared" si="1"/>
        <v>Liquor Control Act</v>
      </c>
      <c r="C1766" s="49" t="str">
        <f t="shared" si="2"/>
        <v>Liquor Control Act; Possession of untaxed liquor by retailer</v>
      </c>
      <c r="D1766" s="49" t="str">
        <f t="shared" si="3"/>
        <v>41-508</v>
      </c>
      <c r="E1766" s="11" t="s">
        <v>133</v>
      </c>
      <c r="F1766" s="11">
        <v>3.0</v>
      </c>
      <c r="G1766" s="11">
        <v>3.0</v>
      </c>
      <c r="H1766" s="11">
        <v>3.0</v>
      </c>
      <c r="I1766" s="11">
        <v>3.0</v>
      </c>
    </row>
    <row r="1767">
      <c r="A1767" s="10" t="s">
        <v>8164</v>
      </c>
      <c r="B1767" s="49" t="str">
        <f t="shared" si="1"/>
        <v>Liquor Control Act</v>
      </c>
      <c r="C1767" s="49" t="str">
        <f t="shared" si="2"/>
        <v>Liquor Control Act; Purchase/consumption of alcoholic beverage by minor; violation by 1 18-20 yrs of age</v>
      </c>
      <c r="D1767" s="49" t="str">
        <f t="shared" si="3"/>
        <v>41-727(a)</v>
      </c>
      <c r="E1767" s="11" t="s">
        <v>133</v>
      </c>
      <c r="F1767" s="11">
        <v>3.0</v>
      </c>
      <c r="G1767" s="11">
        <v>3.0</v>
      </c>
      <c r="H1767" s="11">
        <v>3.0</v>
      </c>
      <c r="I1767" s="11">
        <v>3.0</v>
      </c>
    </row>
    <row r="1768">
      <c r="A1768" s="10" t="s">
        <v>8165</v>
      </c>
      <c r="B1768" s="49" t="str">
        <f t="shared" si="1"/>
        <v>Liquor Control Act</v>
      </c>
      <c r="C1768" s="49" t="str">
        <f t="shared" si="2"/>
        <v>Liquor Control Act; Retail sales at less than cost</v>
      </c>
      <c r="D1768" s="49" t="str">
        <f t="shared" si="3"/>
        <v>41-729(a)</v>
      </c>
      <c r="E1768" s="11" t="s">
        <v>133</v>
      </c>
      <c r="F1768" s="11">
        <v>3.0</v>
      </c>
      <c r="G1768" s="11">
        <v>3.0</v>
      </c>
      <c r="H1768" s="11">
        <v>3.0</v>
      </c>
      <c r="I1768" s="11">
        <v>3.0</v>
      </c>
    </row>
    <row r="1769">
      <c r="A1769" s="10" t="s">
        <v>8166</v>
      </c>
      <c r="B1769" s="49" t="str">
        <f t="shared" si="1"/>
        <v>Liquor Control Act</v>
      </c>
      <c r="C1769" s="49" t="str">
        <f t="shared" si="2"/>
        <v>Liquor Control Act; Retailer must obtain from licensed distributor</v>
      </c>
      <c r="D1769" s="49" t="str">
        <f t="shared" si="3"/>
        <v>41-708</v>
      </c>
      <c r="E1769" s="11" t="s">
        <v>133</v>
      </c>
      <c r="F1769" s="11">
        <v>3.0</v>
      </c>
      <c r="G1769" s="11">
        <v>3.0</v>
      </c>
      <c r="H1769" s="11">
        <v>3.0</v>
      </c>
      <c r="I1769" s="11">
        <v>3.0</v>
      </c>
    </row>
    <row r="1770">
      <c r="A1770" s="10" t="s">
        <v>8167</v>
      </c>
      <c r="B1770" s="49" t="str">
        <f t="shared" si="1"/>
        <v>Liquor Control Act</v>
      </c>
      <c r="C1770" s="49" t="str">
        <f t="shared" si="2"/>
        <v>Liquor Control Act; Retailers; mixing drinks on premises and employment of certain persons prohibited</v>
      </c>
      <c r="D1770" s="49" t="str">
        <f t="shared" si="3"/>
        <v>41-713</v>
      </c>
      <c r="E1770" s="11" t="s">
        <v>133</v>
      </c>
      <c r="F1770" s="11">
        <v>3.0</v>
      </c>
      <c r="G1770" s="11">
        <v>3.0</v>
      </c>
      <c r="H1770" s="11">
        <v>3.0</v>
      </c>
      <c r="I1770" s="11">
        <v>3.0</v>
      </c>
    </row>
    <row r="1771">
      <c r="A1771" s="10" t="s">
        <v>8168</v>
      </c>
      <c r="B1771" s="49" t="str">
        <f t="shared" si="1"/>
        <v>Liquor Control Act</v>
      </c>
      <c r="C1771" s="49" t="str">
        <f t="shared" si="2"/>
        <v>Liquor Control Act; Sale at retail forbidden on certain premises</v>
      </c>
      <c r="D1771" s="49" t="str">
        <f t="shared" si="3"/>
        <v>41-711</v>
      </c>
      <c r="E1771" s="11" t="s">
        <v>133</v>
      </c>
      <c r="F1771" s="11">
        <v>3.0</v>
      </c>
      <c r="G1771" s="11">
        <v>3.0</v>
      </c>
      <c r="H1771" s="11">
        <v>3.0</v>
      </c>
      <c r="I1771" s="11">
        <v>3.0</v>
      </c>
    </row>
    <row r="1772">
      <c r="A1772" s="10" t="s">
        <v>8169</v>
      </c>
      <c r="B1772" s="49" t="str">
        <f t="shared" si="1"/>
        <v>Liquor Control Act</v>
      </c>
      <c r="C1772" s="49" t="str">
        <f t="shared" si="2"/>
        <v>Liquor Control Act; Sale by distributor of alcoholic liquor or CMB to a club, drinking establishment or caterer on credit prohibited; purchase of alcoholic liquor or cereal malt beverage from a distributor by a club, drinking establishment or caterer on credit prohibited</v>
      </c>
      <c r="D1772" s="49" t="str">
        <f t="shared" si="3"/>
        <v>41-728(a)</v>
      </c>
      <c r="E1772" s="11" t="s">
        <v>133</v>
      </c>
      <c r="F1772" s="11">
        <v>3.0</v>
      </c>
      <c r="G1772" s="11">
        <v>3.0</v>
      </c>
      <c r="H1772" s="11">
        <v>3.0</v>
      </c>
      <c r="I1772" s="11">
        <v>3.0</v>
      </c>
    </row>
    <row r="1773">
      <c r="A1773" s="10" t="s">
        <v>8170</v>
      </c>
      <c r="B1773" s="49" t="str">
        <f t="shared" si="1"/>
        <v>Liquor Control Act</v>
      </c>
      <c r="C1773" s="49" t="str">
        <f t="shared" si="2"/>
        <v>Liquor Control Act; Sale of liquor forbidden on certain days</v>
      </c>
      <c r="D1773" s="49" t="str">
        <f t="shared" si="3"/>
        <v>41-712</v>
      </c>
      <c r="E1773" s="11" t="s">
        <v>133</v>
      </c>
      <c r="F1773" s="11">
        <v>3.0</v>
      </c>
      <c r="G1773" s="11">
        <v>3.0</v>
      </c>
      <c r="H1773" s="11">
        <v>3.0</v>
      </c>
      <c r="I1773" s="11">
        <v>3.0</v>
      </c>
    </row>
    <row r="1774">
      <c r="A1774" s="10" t="s">
        <v>8171</v>
      </c>
      <c r="B1774" s="49" t="str">
        <f t="shared" si="1"/>
        <v>Liquor Control Act</v>
      </c>
      <c r="C1774" s="49" t="str">
        <f t="shared" si="2"/>
        <v>Liquor Control Act; Sale of liquor to incapacitated or intoxicated person</v>
      </c>
      <c r="D1774" s="49" t="str">
        <f t="shared" si="3"/>
        <v>41-715(a)</v>
      </c>
      <c r="E1774" s="11" t="s">
        <v>133</v>
      </c>
      <c r="F1774" s="11">
        <v>3.0</v>
      </c>
      <c r="G1774" s="11">
        <v>3.0</v>
      </c>
      <c r="H1774" s="11">
        <v>3.0</v>
      </c>
      <c r="I1774" s="11">
        <v>3.0</v>
      </c>
    </row>
    <row r="1775">
      <c r="A1775" s="10" t="s">
        <v>8172</v>
      </c>
      <c r="B1775" s="49" t="str">
        <f t="shared" si="1"/>
        <v>Liquor Control Act</v>
      </c>
      <c r="C1775" s="49" t="str">
        <f t="shared" si="2"/>
        <v>Liquor Control Act; Sale only in original package; refilling prohibited</v>
      </c>
      <c r="D1775" s="49" t="str">
        <f t="shared" si="3"/>
        <v>41-718</v>
      </c>
      <c r="E1775" s="11" t="s">
        <v>133</v>
      </c>
      <c r="F1775" s="11">
        <v>3.0</v>
      </c>
      <c r="G1775" s="11">
        <v>3.0</v>
      </c>
      <c r="H1775" s="11">
        <v>3.0</v>
      </c>
      <c r="I1775" s="11">
        <v>3.0</v>
      </c>
    </row>
    <row r="1776">
      <c r="A1776" s="10" t="s">
        <v>8173</v>
      </c>
      <c r="B1776" s="49" t="str">
        <f t="shared" si="1"/>
        <v>Liquor Control Act</v>
      </c>
      <c r="C1776" s="49" t="str">
        <f t="shared" si="2"/>
        <v>Liquor Control Act; Sales of alcoholic liquor or CMB by a distributor to a club, drinking establishment, caterer or retailer licensed under the Kansas liquor control act or under K.S.A. 41-2702 shall be separate from sales to any other club, drinking establishment, caterer or retailer even if the licensee is the same</v>
      </c>
      <c r="D1776" s="49" t="str">
        <f t="shared" si="3"/>
        <v>41-728(b)</v>
      </c>
      <c r="E1776" s="11" t="s">
        <v>133</v>
      </c>
      <c r="F1776" s="11">
        <v>3.0</v>
      </c>
      <c r="G1776" s="11">
        <v>3.0</v>
      </c>
      <c r="H1776" s="11">
        <v>3.0</v>
      </c>
      <c r="I1776" s="11">
        <v>3.0</v>
      </c>
    </row>
    <row r="1777">
      <c r="A1777" s="10" t="s">
        <v>8174</v>
      </c>
      <c r="B1777" s="49" t="str">
        <f t="shared" si="1"/>
        <v>Liquor Control Act</v>
      </c>
      <c r="C1777" s="49" t="str">
        <f t="shared" si="2"/>
        <v>Liquor Control Act; Unauthorized drinking / consuming alcoholic liquor on private property</v>
      </c>
      <c r="D1777" s="49" t="str">
        <f t="shared" si="3"/>
        <v>41-719(b)</v>
      </c>
      <c r="E1777" s="11" t="s">
        <v>133</v>
      </c>
      <c r="F1777" s="11">
        <v>3.0</v>
      </c>
      <c r="G1777" s="11">
        <v>3.0</v>
      </c>
      <c r="H1777" s="11">
        <v>3.0</v>
      </c>
      <c r="I1777" s="11">
        <v>3.0</v>
      </c>
    </row>
    <row r="1778">
      <c r="A1778" s="10" t="s">
        <v>8175</v>
      </c>
      <c r="B1778" s="49" t="str">
        <f t="shared" si="1"/>
        <v>Liquor Control Act</v>
      </c>
      <c r="C1778" s="49" t="str">
        <f t="shared" si="2"/>
        <v>Liquor Control Act; Unauthorized drinking / consuming alcoholic liquor on public property</v>
      </c>
      <c r="D1778" s="49" t="str">
        <f t="shared" si="3"/>
        <v>41-719(c)</v>
      </c>
      <c r="E1778" s="11" t="s">
        <v>133</v>
      </c>
      <c r="F1778" s="11">
        <v>3.0</v>
      </c>
      <c r="G1778" s="11">
        <v>3.0</v>
      </c>
      <c r="H1778" s="11">
        <v>3.0</v>
      </c>
      <c r="I1778" s="11">
        <v>3.0</v>
      </c>
    </row>
    <row r="1779">
      <c r="A1779" s="10" t="s">
        <v>8176</v>
      </c>
      <c r="B1779" s="49" t="str">
        <f t="shared" si="1"/>
        <v>Liquor Control Act</v>
      </c>
      <c r="C1779" s="49" t="str">
        <f t="shared" si="2"/>
        <v>Liquor Control Act; Unauthorized manufacturing, bottling, blending, selling, bartering, transporting, delivering, furnishing or possessing any alcoholic liquor for beverage purposes</v>
      </c>
      <c r="D1779" s="49" t="str">
        <f t="shared" si="3"/>
        <v>41-104</v>
      </c>
      <c r="E1779" s="11" t="s">
        <v>133</v>
      </c>
      <c r="F1779" s="11">
        <v>3.0</v>
      </c>
      <c r="G1779" s="11">
        <v>3.0</v>
      </c>
      <c r="H1779" s="11">
        <v>3.0</v>
      </c>
      <c r="I1779" s="11">
        <v>3.0</v>
      </c>
    </row>
    <row r="1780">
      <c r="A1780" s="10" t="s">
        <v>8177</v>
      </c>
      <c r="B1780" s="49" t="str">
        <f t="shared" si="1"/>
        <v>Liquor Control Act</v>
      </c>
      <c r="C1780" s="49" t="str">
        <f t="shared" si="2"/>
        <v>Liquor Control Act; Unauthorized sale or attempted sale of alcoholic liquor or CMB by manufacturer of alcoholic liquor or cereal malt beverage</v>
      </c>
      <c r="D1780" s="49" t="str">
        <f t="shared" si="3"/>
        <v>41-701(e)</v>
      </c>
      <c r="E1780" s="11" t="s">
        <v>133</v>
      </c>
      <c r="F1780" s="11">
        <v>3.0</v>
      </c>
      <c r="G1780" s="11">
        <v>3.0</v>
      </c>
      <c r="H1780" s="11">
        <v>3.0</v>
      </c>
      <c r="I1780" s="11">
        <v>3.0</v>
      </c>
    </row>
    <row r="1781">
      <c r="A1781" s="10" t="s">
        <v>8178</v>
      </c>
      <c r="B1781" s="49" t="str">
        <f t="shared" si="1"/>
        <v>Liquor Control Act</v>
      </c>
      <c r="C1781" s="49" t="str">
        <f t="shared" si="2"/>
        <v>Liquor Control Act; Unauthorized sale or attempted sale of beer or CMB beverage by distributor</v>
      </c>
      <c r="D1781" s="49" t="str">
        <f t="shared" si="3"/>
        <v>41-701(c)</v>
      </c>
      <c r="E1781" s="11" t="s">
        <v>133</v>
      </c>
      <c r="F1781" s="11">
        <v>3.0</v>
      </c>
      <c r="G1781" s="11">
        <v>3.0</v>
      </c>
      <c r="H1781" s="11">
        <v>3.0</v>
      </c>
      <c r="I1781" s="11">
        <v>3.0</v>
      </c>
    </row>
    <row r="1782">
      <c r="A1782" s="10" t="s">
        <v>8179</v>
      </c>
      <c r="B1782" s="49" t="str">
        <f t="shared" si="1"/>
        <v>Liquor Control Act</v>
      </c>
      <c r="C1782" s="49" t="str">
        <f t="shared" si="2"/>
        <v>Liquor Control Act; Unauthorized sale or attempted sale of spirits by distributor</v>
      </c>
      <c r="D1782" s="49" t="str">
        <f t="shared" si="3"/>
        <v>41-701(a)</v>
      </c>
      <c r="E1782" s="11" t="s">
        <v>133</v>
      </c>
      <c r="F1782" s="11">
        <v>3.0</v>
      </c>
      <c r="G1782" s="11">
        <v>3.0</v>
      </c>
      <c r="H1782" s="11">
        <v>3.0</v>
      </c>
      <c r="I1782" s="11">
        <v>3.0</v>
      </c>
    </row>
    <row r="1783">
      <c r="A1783" s="10" t="s">
        <v>8180</v>
      </c>
      <c r="B1783" s="49" t="str">
        <f t="shared" si="1"/>
        <v>Liquor Control Act</v>
      </c>
      <c r="C1783" s="49" t="str">
        <f t="shared" si="2"/>
        <v>Liquor Control Act; Unauthorized sale or attempted sale of wine by distributor</v>
      </c>
      <c r="D1783" s="49" t="str">
        <f t="shared" si="3"/>
        <v>41-701(b)</v>
      </c>
      <c r="E1783" s="11" t="s">
        <v>133</v>
      </c>
      <c r="F1783" s="11">
        <v>3.0</v>
      </c>
      <c r="G1783" s="11">
        <v>3.0</v>
      </c>
      <c r="H1783" s="11">
        <v>3.0</v>
      </c>
      <c r="I1783" s="11">
        <v>3.0</v>
      </c>
    </row>
    <row r="1784">
      <c r="A1784" s="10" t="s">
        <v>8181</v>
      </c>
      <c r="B1784" s="49" t="str">
        <f t="shared" si="1"/>
        <v>Liquor Control Act</v>
      </c>
      <c r="C1784" s="49" t="str">
        <f t="shared" si="2"/>
        <v>Liquor Control Act; Unauthorized sale or delivery by manufacturer or distributor</v>
      </c>
      <c r="D1784" s="49" t="str">
        <f t="shared" si="3"/>
        <v>41-709</v>
      </c>
      <c r="E1784" s="11" t="s">
        <v>133</v>
      </c>
      <c r="F1784" s="11">
        <v>3.0</v>
      </c>
      <c r="G1784" s="11">
        <v>3.0</v>
      </c>
      <c r="H1784" s="11">
        <v>3.0</v>
      </c>
      <c r="I1784" s="11">
        <v>3.0</v>
      </c>
    </row>
    <row r="1785">
      <c r="A1785" s="10" t="s">
        <v>8182</v>
      </c>
      <c r="B1785" s="49" t="str">
        <f t="shared" si="1"/>
        <v>Liquor Control Act</v>
      </c>
      <c r="C1785" s="49" t="str">
        <f t="shared" si="2"/>
        <v>Liquor Control Act; Unauthorized transportation of liquor into state forbidden</v>
      </c>
      <c r="D1785" s="49" t="str">
        <f t="shared" si="3"/>
        <v>41-724</v>
      </c>
      <c r="E1785" s="11" t="s">
        <v>133</v>
      </c>
      <c r="F1785" s="11">
        <v>3.0</v>
      </c>
      <c r="G1785" s="11">
        <v>3.0</v>
      </c>
      <c r="H1785" s="11">
        <v>3.0</v>
      </c>
      <c r="I1785" s="11">
        <v>3.0</v>
      </c>
    </row>
    <row r="1786">
      <c r="A1786" s="10" t="s">
        <v>8183</v>
      </c>
      <c r="B1786" s="49" t="str">
        <f t="shared" si="1"/>
        <v>Liquor Control Act</v>
      </c>
      <c r="C1786" s="49" t="str">
        <f t="shared" si="2"/>
        <v>Liquor Control Act; Violations of act by persons required to be licensed</v>
      </c>
      <c r="D1786" s="49" t="str">
        <f t="shared" si="3"/>
        <v>41-901(a)</v>
      </c>
      <c r="E1786" s="11" t="s">
        <v>133</v>
      </c>
      <c r="F1786" s="11">
        <v>3.0</v>
      </c>
      <c r="G1786" s="11">
        <v>3.0</v>
      </c>
      <c r="H1786" s="11">
        <v>3.0</v>
      </c>
      <c r="I1786" s="11">
        <v>3.0</v>
      </c>
    </row>
    <row r="1787">
      <c r="A1787" s="10" t="s">
        <v>8184</v>
      </c>
      <c r="B1787" s="49" t="str">
        <f t="shared" si="1"/>
        <v>Listing Property for Taxation</v>
      </c>
      <c r="C1787" s="49" t="str">
        <f t="shared" si="2"/>
        <v>Listing Property for Taxation; Failure of Owner, lessee or operator of dock to notify assessor of watercraft on dock and owners of such</v>
      </c>
      <c r="D1787" s="49" t="str">
        <f t="shared" si="3"/>
        <v>79-339</v>
      </c>
      <c r="E1787" s="11" t="s">
        <v>133</v>
      </c>
      <c r="F1787" s="11">
        <v>3.0</v>
      </c>
      <c r="G1787" s="11">
        <v>3.0</v>
      </c>
      <c r="H1787" s="11">
        <v>3.0</v>
      </c>
      <c r="I1787" s="11">
        <v>3.0</v>
      </c>
    </row>
    <row r="1788">
      <c r="A1788" s="10" t="s">
        <v>8185</v>
      </c>
      <c r="B1788" s="49" t="str">
        <f t="shared" si="1"/>
        <v>Listing Property for Taxation</v>
      </c>
      <c r="C1788" s="49" t="str">
        <f t="shared" si="2"/>
        <v>Listing Property for Taxation; Failure of Owner, lessee or operator of park or land to notify assessor of all mobile and manufactured homes located in park or on land</v>
      </c>
      <c r="D1788" s="49" t="str">
        <f t="shared" si="3"/>
        <v>79-337</v>
      </c>
      <c r="E1788" s="11" t="s">
        <v>133</v>
      </c>
      <c r="F1788" s="11">
        <v>3.0</v>
      </c>
      <c r="G1788" s="11">
        <v>3.0</v>
      </c>
      <c r="H1788" s="11">
        <v>3.0</v>
      </c>
      <c r="I1788" s="11">
        <v>3.0</v>
      </c>
    </row>
    <row r="1789">
      <c r="A1789" s="10" t="s">
        <v>8186</v>
      </c>
      <c r="B1789" s="49" t="str">
        <f t="shared" si="1"/>
        <v>Listing Property for Taxation</v>
      </c>
      <c r="C1789" s="49" t="str">
        <f t="shared" si="2"/>
        <v>Listing Property for Taxation; Knowingly giving a false or fraudulent list, schedule or statement; temporarily convert any taxable property into property not taxable, to prevent such property from being listed, or to evade the payment of taxes</v>
      </c>
      <c r="D1789" s="49" t="str">
        <f t="shared" si="3"/>
        <v>79-333</v>
      </c>
      <c r="E1789" s="11" t="s">
        <v>133</v>
      </c>
      <c r="F1789" s="11">
        <v>3.0</v>
      </c>
      <c r="G1789" s="11">
        <v>3.0</v>
      </c>
      <c r="H1789" s="11">
        <v>3.0</v>
      </c>
      <c r="I1789" s="11">
        <v>3.0</v>
      </c>
    </row>
    <row r="1790">
      <c r="A1790" s="10" t="s">
        <v>8187</v>
      </c>
      <c r="B1790" s="49" t="str">
        <f t="shared" si="1"/>
        <v>Listing Property for Taxation</v>
      </c>
      <c r="C1790" s="49" t="str">
        <f t="shared" si="2"/>
        <v>Listing Property for Taxation; Unauthorized removal of buildings from delinquent real estate</v>
      </c>
      <c r="D1790" s="49" t="str">
        <f t="shared" si="3"/>
        <v>79-319a</v>
      </c>
      <c r="E1790" s="11" t="s">
        <v>133</v>
      </c>
      <c r="F1790" s="11">
        <v>3.0</v>
      </c>
      <c r="G1790" s="11">
        <v>3.0</v>
      </c>
      <c r="H1790" s="11">
        <v>3.0</v>
      </c>
      <c r="I1790" s="11">
        <v>3.0</v>
      </c>
    </row>
    <row r="1791">
      <c r="A1791" s="10" t="s">
        <v>8188</v>
      </c>
      <c r="B1791" s="49" t="str">
        <f t="shared" si="1"/>
        <v>Livestock/Domestic Animals</v>
      </c>
      <c r="C1791" s="49" t="str">
        <f t="shared" si="2"/>
        <v>Livestock/Domestic Animals; Bonding of livestock dealers required</v>
      </c>
      <c r="D1791" s="49" t="str">
        <f t="shared" si="3"/>
        <v>47-1808(a)</v>
      </c>
      <c r="E1791" s="11" t="s">
        <v>133</v>
      </c>
      <c r="F1791" s="11">
        <v>3.0</v>
      </c>
      <c r="G1791" s="11">
        <v>3.0</v>
      </c>
      <c r="H1791" s="11">
        <v>3.0</v>
      </c>
      <c r="I1791" s="11">
        <v>3.0</v>
      </c>
    </row>
    <row r="1792">
      <c r="A1792" s="10" t="s">
        <v>8189</v>
      </c>
      <c r="B1792" s="49" t="str">
        <f t="shared" si="1"/>
        <v>Livestock/Domestic Animals</v>
      </c>
      <c r="C1792" s="49" t="str">
        <f t="shared" si="2"/>
        <v>Livestock/Domestic Animals; Certificates of health required</v>
      </c>
      <c r="D1792" s="49" t="str">
        <f t="shared" si="3"/>
        <v>47-607(b)</v>
      </c>
      <c r="E1792" s="11" t="s">
        <v>133</v>
      </c>
      <c r="F1792" s="11">
        <v>3.0</v>
      </c>
      <c r="G1792" s="11">
        <v>3.0</v>
      </c>
      <c r="H1792" s="11">
        <v>3.0</v>
      </c>
      <c r="I1792" s="11">
        <v>3.0</v>
      </c>
    </row>
    <row r="1793">
      <c r="A1793" s="10" t="s">
        <v>8190</v>
      </c>
      <c r="B1793" s="49" t="str">
        <f t="shared" si="1"/>
        <v>Livestock/Domestic Animals</v>
      </c>
      <c r="C1793" s="49" t="str">
        <f t="shared" si="2"/>
        <v>Livestock/Domestic Animals; Deliveries in Motor Vehicles; penalty for violations</v>
      </c>
      <c r="D1793" s="49" t="str">
        <f t="shared" si="3"/>
        <v>47-1102(a)</v>
      </c>
      <c r="E1793" s="11" t="s">
        <v>133</v>
      </c>
      <c r="F1793" s="11">
        <v>3.0</v>
      </c>
      <c r="G1793" s="11">
        <v>3.0</v>
      </c>
      <c r="H1793" s="11">
        <v>3.0</v>
      </c>
      <c r="I1793" s="11">
        <v>3.0</v>
      </c>
    </row>
    <row r="1794">
      <c r="A1794" s="10" t="s">
        <v>8191</v>
      </c>
      <c r="B1794" s="49" t="str">
        <f t="shared" si="1"/>
        <v>Livestock/Domestic Animals</v>
      </c>
      <c r="C1794" s="49" t="str">
        <f t="shared" si="2"/>
        <v>Livestock/Domestic Animals; Disposal of dead animals; penalty for violations of act</v>
      </c>
      <c r="D1794" s="49" t="str">
        <f t="shared" si="3"/>
        <v>47-1217</v>
      </c>
      <c r="E1794" s="11" t="s">
        <v>133</v>
      </c>
      <c r="F1794" s="11">
        <v>3.0</v>
      </c>
      <c r="G1794" s="11">
        <v>3.0</v>
      </c>
      <c r="H1794" s="11">
        <v>3.0</v>
      </c>
      <c r="I1794" s="11">
        <v>3.0</v>
      </c>
    </row>
    <row r="1795">
      <c r="A1795" s="10" t="s">
        <v>8192</v>
      </c>
      <c r="B1795" s="49" t="str">
        <f t="shared" si="1"/>
        <v>Livestock/Domestic Animals</v>
      </c>
      <c r="C1795" s="49" t="str">
        <f t="shared" si="2"/>
        <v>Livestock/Domestic Animals; Enter or remain on an animal facility or enter any property with intent to damage</v>
      </c>
      <c r="D1795" s="49" t="str">
        <f t="shared" si="3"/>
        <v>47-1827(f)</v>
      </c>
      <c r="E1795" s="11" t="s">
        <v>133</v>
      </c>
      <c r="F1795" s="11">
        <v>3.0</v>
      </c>
      <c r="G1795" s="11">
        <v>3.0</v>
      </c>
      <c r="H1795" s="11">
        <v>3.0</v>
      </c>
      <c r="I1795" s="11">
        <v>3.0</v>
      </c>
    </row>
    <row r="1796">
      <c r="A1796" s="10" t="s">
        <v>8193</v>
      </c>
      <c r="B1796" s="49" t="str">
        <f t="shared" si="1"/>
        <v>Livestock/Domestic Animals</v>
      </c>
      <c r="C1796" s="49" t="str">
        <f t="shared" si="2"/>
        <v>Livestock/Domestic Animals; Exercise control with intent to deprive owner and damage enterprise at facility</v>
      </c>
      <c r="D1796" s="49" t="str">
        <f t="shared" si="3"/>
        <v>47-1827(b)</v>
      </c>
      <c r="E1796" s="11" t="s">
        <v>133</v>
      </c>
      <c r="F1796" s="11">
        <v>3.0</v>
      </c>
      <c r="G1796" s="11">
        <v>3.0</v>
      </c>
      <c r="H1796" s="11">
        <v>3.0</v>
      </c>
      <c r="I1796" s="11">
        <v>3.0</v>
      </c>
    </row>
    <row r="1797">
      <c r="A1797" s="10" t="s">
        <v>8194</v>
      </c>
      <c r="B1797" s="49" t="str">
        <f t="shared" si="1"/>
        <v>Livestock/Domestic Animals</v>
      </c>
      <c r="C1797" s="49" t="str">
        <f t="shared" si="2"/>
        <v>Livestock/Domestic Animals; Fail or refuse to make payment for livestock purchased for slaughter on the day ownership is transferred unless exception applies; requirements for check payments</v>
      </c>
      <c r="D1797" s="49" t="str">
        <f t="shared" si="3"/>
        <v>47-1802(a)</v>
      </c>
      <c r="E1797" s="11" t="s">
        <v>133</v>
      </c>
      <c r="F1797" s="11">
        <v>3.0</v>
      </c>
      <c r="G1797" s="11">
        <v>3.0</v>
      </c>
      <c r="H1797" s="11">
        <v>3.0</v>
      </c>
      <c r="I1797" s="11">
        <v>3.0</v>
      </c>
    </row>
    <row r="1798">
      <c r="A1798" s="10" t="s">
        <v>8195</v>
      </c>
      <c r="B1798" s="49" t="str">
        <f t="shared" si="1"/>
        <v>Livestock/Domestic Animals</v>
      </c>
      <c r="C1798" s="49" t="str">
        <f t="shared" si="2"/>
        <v>Livestock/Domestic Animals; Fail to obtain a permit to engage in the business of raising domesticated deer</v>
      </c>
      <c r="D1798" s="49" t="str">
        <f t="shared" si="3"/>
        <v>47-2101(a)</v>
      </c>
      <c r="E1798" s="11" t="s">
        <v>133</v>
      </c>
      <c r="F1798" s="11">
        <v>3.0</v>
      </c>
      <c r="G1798" s="11">
        <v>3.0</v>
      </c>
      <c r="H1798" s="11">
        <v>3.0</v>
      </c>
      <c r="I1798" s="11">
        <v>3.0</v>
      </c>
    </row>
    <row r="1799">
      <c r="A1799" s="10" t="s">
        <v>8196</v>
      </c>
      <c r="B1799" s="49" t="str">
        <f t="shared" si="1"/>
        <v>Livestock/Domestic Animals</v>
      </c>
      <c r="C1799" s="49" t="str">
        <f t="shared" si="2"/>
        <v>Livestock/Domestic Animals; Injection of virulent hog-cholera virus into hogs without permit unlawful</v>
      </c>
      <c r="D1799" s="49" t="str">
        <f t="shared" si="3"/>
        <v>47-629</v>
      </c>
      <c r="E1799" s="11" t="s">
        <v>133</v>
      </c>
      <c r="F1799" s="11">
        <v>3.0</v>
      </c>
      <c r="G1799" s="11">
        <v>3.0</v>
      </c>
      <c r="H1799" s="11">
        <v>3.0</v>
      </c>
      <c r="I1799" s="11">
        <v>3.0</v>
      </c>
    </row>
    <row r="1800">
      <c r="A1800" s="10" t="s">
        <v>8197</v>
      </c>
      <c r="B1800" s="49" t="str">
        <f t="shared" si="1"/>
        <v>Livestock/Domestic Animals</v>
      </c>
      <c r="C1800" s="49" t="str">
        <f t="shared" si="2"/>
        <v>Livestock/Domestic Animals; Intent to damage and destroy enterprise at facility, property in or on the facility; damage is $25,000 or more</v>
      </c>
      <c r="D1800" s="49" t="str">
        <f t="shared" si="3"/>
        <v>47-1827(a)</v>
      </c>
      <c r="E1800" s="11" t="s">
        <v>133</v>
      </c>
      <c r="F1800" s="11">
        <v>3.0</v>
      </c>
      <c r="G1800" s="11">
        <v>3.0</v>
      </c>
      <c r="H1800" s="11">
        <v>3.0</v>
      </c>
      <c r="I1800" s="11">
        <v>3.0</v>
      </c>
    </row>
    <row r="1801">
      <c r="A1801" s="10" t="s">
        <v>8198</v>
      </c>
      <c r="B1801" s="49" t="str">
        <f t="shared" si="1"/>
        <v>Livestock/Domestic Animals</v>
      </c>
      <c r="C1801" s="49" t="str">
        <f t="shared" si="2"/>
        <v>Livestock/Domestic Animals; Intent to damage and destroy enterprise at facility, property in or on the facility; damage is at least $1,000 but less than $25,000</v>
      </c>
      <c r="D1801" s="49" t="str">
        <f t="shared" si="3"/>
        <v>47-1827(a)</v>
      </c>
      <c r="E1801" s="11" t="s">
        <v>133</v>
      </c>
      <c r="F1801" s="11">
        <v>3.0</v>
      </c>
      <c r="G1801" s="11">
        <v>3.0</v>
      </c>
      <c r="H1801" s="11">
        <v>3.0</v>
      </c>
      <c r="I1801" s="11">
        <v>3.0</v>
      </c>
    </row>
    <row r="1802">
      <c r="A1802" s="10" t="s">
        <v>8199</v>
      </c>
      <c r="B1802" s="49" t="str">
        <f t="shared" si="1"/>
        <v>Livestock/Domestic Animals</v>
      </c>
      <c r="C1802" s="49" t="str">
        <f t="shared" si="2"/>
        <v>Livestock/Domestic Animals; Intent to damage or destroy field crop; University or private research facility or federal, state or local government; damage is $25,000 or more</v>
      </c>
      <c r="D1802" s="49" t="str">
        <f t="shared" si="3"/>
        <v>47-1827(e)</v>
      </c>
      <c r="E1802" s="11" t="s">
        <v>133</v>
      </c>
      <c r="F1802" s="11">
        <v>3.0</v>
      </c>
      <c r="G1802" s="11">
        <v>3.0</v>
      </c>
      <c r="H1802" s="11">
        <v>3.0</v>
      </c>
      <c r="I1802" s="11">
        <v>3.0</v>
      </c>
    </row>
    <row r="1803">
      <c r="A1803" s="10" t="s">
        <v>8200</v>
      </c>
      <c r="B1803" s="49" t="str">
        <f t="shared" si="1"/>
        <v>Livestock/Domestic Animals</v>
      </c>
      <c r="C1803" s="49" t="str">
        <f t="shared" si="2"/>
        <v>Livestock/Domestic Animals; Intent to damage or destroy field crop; University or private research facility or federal, state or local government; damage is at least $1,000 but less than $25,000</v>
      </c>
      <c r="D1803" s="49" t="str">
        <f t="shared" si="3"/>
        <v>47-1827(e)</v>
      </c>
      <c r="E1803" s="11" t="s">
        <v>133</v>
      </c>
      <c r="F1803" s="11">
        <v>3.0</v>
      </c>
      <c r="G1803" s="11">
        <v>3.0</v>
      </c>
      <c r="H1803" s="11">
        <v>3.0</v>
      </c>
      <c r="I1803" s="11">
        <v>3.0</v>
      </c>
    </row>
    <row r="1804">
      <c r="A1804" s="10" t="s">
        <v>8201</v>
      </c>
      <c r="B1804" s="49" t="str">
        <f t="shared" si="1"/>
        <v>Livestock/Domestic Animals</v>
      </c>
      <c r="C1804" s="49" t="str">
        <f t="shared" si="2"/>
        <v>Livestock/Domestic Animals; Intentionally damage or destroy an animal facility or animal or property in or on an animal facility without consent; less than $1,000</v>
      </c>
      <c r="D1804" s="49" t="str">
        <f t="shared" si="3"/>
        <v>47-1827(a)</v>
      </c>
      <c r="E1804" s="11" t="s">
        <v>133</v>
      </c>
      <c r="F1804" s="11">
        <v>3.0</v>
      </c>
      <c r="G1804" s="11">
        <v>3.0</v>
      </c>
      <c r="H1804" s="11">
        <v>3.0</v>
      </c>
      <c r="I1804" s="11">
        <v>3.0</v>
      </c>
    </row>
    <row r="1805">
      <c r="A1805" s="10" t="s">
        <v>8202</v>
      </c>
      <c r="B1805" s="49" t="str">
        <f t="shared" si="1"/>
        <v>Livestock/Domestic Animals</v>
      </c>
      <c r="C1805" s="49" t="str">
        <f t="shared" si="2"/>
        <v>Livestock/Domestic Animals; Intentionally damage or destroy any field crop product grown in the context of a product development program in conjunction or coordination with a private research facility or a university or any federal, state or local governmental agency without consent; less than $1,000</v>
      </c>
      <c r="D1805" s="49" t="str">
        <f t="shared" si="3"/>
        <v>47-1827(e)</v>
      </c>
      <c r="E1805" s="11" t="s">
        <v>133</v>
      </c>
      <c r="F1805" s="11">
        <v>3.0</v>
      </c>
      <c r="G1805" s="11">
        <v>3.0</v>
      </c>
      <c r="H1805" s="11">
        <v>3.0</v>
      </c>
      <c r="I1805" s="11">
        <v>3.0</v>
      </c>
    </row>
    <row r="1806">
      <c r="A1806" s="10" t="s">
        <v>8203</v>
      </c>
      <c r="B1806" s="49" t="str">
        <f t="shared" si="1"/>
        <v>Livestock/Domestic Animals</v>
      </c>
      <c r="C1806" s="49" t="str">
        <f t="shared" si="2"/>
        <v>Livestock/Domestic Animals; Intentionally releasing domesticated deer</v>
      </c>
      <c r="D1806" s="49" t="str">
        <f t="shared" si="3"/>
        <v>47-2102(a)</v>
      </c>
      <c r="E1806" s="11" t="s">
        <v>133</v>
      </c>
      <c r="F1806" s="11">
        <v>3.0</v>
      </c>
      <c r="G1806" s="11">
        <v>3.0</v>
      </c>
      <c r="H1806" s="11">
        <v>3.0</v>
      </c>
      <c r="I1806" s="11">
        <v>3.0</v>
      </c>
    </row>
    <row r="1807">
      <c r="A1807" s="10" t="s">
        <v>8204</v>
      </c>
      <c r="B1807" s="49" t="str">
        <f t="shared" si="1"/>
        <v>Livestock/Domestic Animals</v>
      </c>
      <c r="C1807" s="49" t="str">
        <f t="shared" si="2"/>
        <v>Livestock/Domestic Animals; Knowingly permit any dead animals, carcasses of such animals or domestic fowl, or any part thereof, to remain in any well, spring, brook, branch, river, creek, pond, road, street, alley, lane other than the person's own driveway, lot, field, meadow not owned or leased by such person or commonly-owned or public property</v>
      </c>
      <c r="D1807" s="49" t="str">
        <f t="shared" si="3"/>
        <v>47-1219(b)</v>
      </c>
      <c r="E1807" s="11" t="s">
        <v>133</v>
      </c>
      <c r="F1807" s="11">
        <v>3.0</v>
      </c>
      <c r="G1807" s="11">
        <v>3.0</v>
      </c>
      <c r="H1807" s="11">
        <v>3.0</v>
      </c>
      <c r="I1807" s="11">
        <v>3.0</v>
      </c>
    </row>
    <row r="1808">
      <c r="A1808" s="10" t="s">
        <v>8205</v>
      </c>
      <c r="B1808" s="49" t="str">
        <f t="shared" si="1"/>
        <v>Livestock/Domestic Animals</v>
      </c>
      <c r="C1808" s="49" t="str">
        <f t="shared" si="2"/>
        <v>Livestock/Domestic Animals; Marks &amp; Brands; bill of sale required for sale of animals in inspection areas</v>
      </c>
      <c r="D1808" s="49" t="str">
        <f t="shared" si="3"/>
        <v>47-438</v>
      </c>
      <c r="E1808" s="11" t="s">
        <v>133</v>
      </c>
      <c r="F1808" s="11">
        <v>3.0</v>
      </c>
      <c r="G1808" s="11">
        <v>3.0</v>
      </c>
      <c r="H1808" s="11">
        <v>3.0</v>
      </c>
      <c r="I1808" s="11">
        <v>3.0</v>
      </c>
    </row>
    <row r="1809">
      <c r="A1809" s="10" t="s">
        <v>8206</v>
      </c>
      <c r="B1809" s="49" t="str">
        <f t="shared" si="1"/>
        <v>Livestock/Domestic Animals</v>
      </c>
      <c r="C1809" s="49" t="str">
        <f t="shared" si="2"/>
        <v>Livestock/Domestic Animals; Marks &amp; Brands; penalty for violation of K.S.A. 47-420, 47-446, and any provisions of act</v>
      </c>
      <c r="D1809" s="49" t="str">
        <f t="shared" si="3"/>
        <v>47-447</v>
      </c>
      <c r="E1809" s="11" t="s">
        <v>133</v>
      </c>
      <c r="F1809" s="11">
        <v>3.0</v>
      </c>
      <c r="G1809" s="11">
        <v>3.0</v>
      </c>
      <c r="H1809" s="11">
        <v>3.0</v>
      </c>
      <c r="I1809" s="11">
        <v>3.0</v>
      </c>
    </row>
    <row r="1810">
      <c r="A1810" s="10" t="s">
        <v>8207</v>
      </c>
      <c r="B1810" s="49" t="str">
        <f t="shared" si="1"/>
        <v>Livestock/Domestic Animals</v>
      </c>
      <c r="C1810" s="49" t="str">
        <f t="shared" si="2"/>
        <v>Livestock/Domestic Animals; Marks &amp; Brands; required contents of bill of sale</v>
      </c>
      <c r="D1810" s="49" t="str">
        <f t="shared" si="3"/>
        <v>47-440</v>
      </c>
      <c r="E1810" s="11" t="s">
        <v>133</v>
      </c>
      <c r="F1810" s="11">
        <v>3.0</v>
      </c>
      <c r="G1810" s="11">
        <v>3.0</v>
      </c>
      <c r="H1810" s="11">
        <v>3.0</v>
      </c>
      <c r="I1810" s="11">
        <v>3.0</v>
      </c>
    </row>
    <row r="1811">
      <c r="A1811" s="10" t="s">
        <v>8208</v>
      </c>
      <c r="B1811" s="49" t="str">
        <f t="shared" si="1"/>
        <v>Livestock/Domestic Animals</v>
      </c>
      <c r="C1811" s="49" t="str">
        <f t="shared" si="2"/>
        <v>Livestock/Domestic Animals; Marks &amp; Brands; unlawful branding or defacing of brands</v>
      </c>
      <c r="D1811" s="49" t="str">
        <f t="shared" si="3"/>
        <v>47-421</v>
      </c>
      <c r="E1811" s="11" t="s">
        <v>133</v>
      </c>
      <c r="F1811" s="11">
        <v>3.0</v>
      </c>
      <c r="G1811" s="11">
        <v>3.0</v>
      </c>
      <c r="H1811" s="11">
        <v>3.0</v>
      </c>
      <c r="I1811" s="11">
        <v>3.0</v>
      </c>
    </row>
    <row r="1812">
      <c r="A1812" s="10" t="s">
        <v>8209</v>
      </c>
      <c r="B1812" s="49" t="str">
        <f t="shared" si="1"/>
        <v>Livestock/Domestic Animals</v>
      </c>
      <c r="C1812" s="49" t="str">
        <f t="shared" si="2"/>
        <v>Livestock/Domestic Animals; Marks &amp; Brands; unlawful to fail or refuse to exhibit bill of sale</v>
      </c>
      <c r="D1812" s="49" t="str">
        <f t="shared" si="3"/>
        <v>47-439</v>
      </c>
      <c r="E1812" s="11" t="s">
        <v>133</v>
      </c>
      <c r="F1812" s="11">
        <v>3.0</v>
      </c>
      <c r="G1812" s="11">
        <v>3.0</v>
      </c>
      <c r="H1812" s="11">
        <v>3.0</v>
      </c>
      <c r="I1812" s="11">
        <v>3.0</v>
      </c>
    </row>
    <row r="1813">
      <c r="A1813" s="10" t="s">
        <v>8210</v>
      </c>
      <c r="B1813" s="49" t="str">
        <f t="shared" si="1"/>
        <v>Livestock/Domestic Animals</v>
      </c>
      <c r="C1813" s="49" t="str">
        <f t="shared" si="2"/>
        <v>Livestock/Domestic Animals; Marks &amp; Brands; unlawful to move cattle within area without inspection</v>
      </c>
      <c r="D1813" s="49" t="str">
        <f t="shared" si="3"/>
        <v>47-442</v>
      </c>
      <c r="E1813" s="11" t="s">
        <v>133</v>
      </c>
      <c r="F1813" s="11">
        <v>3.0</v>
      </c>
      <c r="G1813" s="11">
        <v>3.0</v>
      </c>
      <c r="H1813" s="11">
        <v>3.0</v>
      </c>
      <c r="I1813" s="11">
        <v>3.0</v>
      </c>
    </row>
    <row r="1814">
      <c r="A1814" s="10" t="s">
        <v>8211</v>
      </c>
      <c r="B1814" s="49" t="str">
        <f t="shared" si="1"/>
        <v>Livestock/Domestic Animals</v>
      </c>
      <c r="C1814" s="49" t="str">
        <f t="shared" si="2"/>
        <v>Livestock/Domestic Animals; Marks &amp; Brands; unlawful to remove cattle from area without inspection certificate</v>
      </c>
      <c r="D1814" s="49" t="str">
        <f t="shared" si="3"/>
        <v>47-441</v>
      </c>
      <c r="E1814" s="11" t="s">
        <v>133</v>
      </c>
      <c r="F1814" s="11">
        <v>3.0</v>
      </c>
      <c r="G1814" s="11">
        <v>3.0</v>
      </c>
      <c r="H1814" s="11">
        <v>3.0</v>
      </c>
      <c r="I1814" s="11">
        <v>3.0</v>
      </c>
    </row>
    <row r="1815">
      <c r="A1815" s="10" t="s">
        <v>8212</v>
      </c>
      <c r="B1815" s="49" t="str">
        <f t="shared" si="1"/>
        <v>Livestock/Domestic Animals</v>
      </c>
      <c r="C1815" s="49" t="str">
        <f t="shared" si="2"/>
        <v>Livestock/Domestic Animals; Marks &amp; Brands; use of brand by other than recorded owner</v>
      </c>
      <c r="D1815" s="49" t="str">
        <f t="shared" si="3"/>
        <v>47-422</v>
      </c>
      <c r="E1815" s="11" t="s">
        <v>133</v>
      </c>
      <c r="F1815" s="11">
        <v>3.0</v>
      </c>
      <c r="G1815" s="11">
        <v>3.0</v>
      </c>
      <c r="H1815" s="11">
        <v>3.0</v>
      </c>
      <c r="I1815" s="11">
        <v>3.0</v>
      </c>
    </row>
    <row r="1816">
      <c r="A1816" s="10" t="s">
        <v>8213</v>
      </c>
      <c r="B1816" s="49" t="str">
        <f t="shared" si="1"/>
        <v>Livestock/Domestic Animals</v>
      </c>
      <c r="C1816" s="49" t="str">
        <f t="shared" si="2"/>
        <v>Livestock/Domestic Animals; Marks &amp; Brands; willfully and knowingly brand or cause to be branded with such person's brand, or any brand not the recorded brand of the owner, any livestock being the property of another, or who shall willfully or knowingly efface, deface or obliterate any brand upon any livestock</v>
      </c>
      <c r="D1816" s="49" t="str">
        <f t="shared" si="3"/>
        <v>47-421(b)</v>
      </c>
      <c r="E1816" s="11" t="s">
        <v>133</v>
      </c>
      <c r="F1816" s="11">
        <v>3.0</v>
      </c>
      <c r="G1816" s="11">
        <v>3.0</v>
      </c>
      <c r="H1816" s="11">
        <v>3.0</v>
      </c>
      <c r="I1816" s="11">
        <v>3.0</v>
      </c>
    </row>
    <row r="1817">
      <c r="A1817" s="10" t="s">
        <v>8214</v>
      </c>
      <c r="B1817" s="49" t="str">
        <f t="shared" si="1"/>
        <v>Livestock/Domestic Animals</v>
      </c>
      <c r="C1817" s="49" t="str">
        <f t="shared" si="2"/>
        <v>Livestock/Domestic Animals; Marks &amp; Brands; willfully brand cattle in manner other than as required; falsely brand cattle so as to incorrectly designate the disease control identification or ownership of livestock</v>
      </c>
      <c r="D1817" s="49" t="str">
        <f t="shared" si="3"/>
        <v>47-418a</v>
      </c>
      <c r="E1817" s="11" t="s">
        <v>133</v>
      </c>
      <c r="F1817" s="11">
        <v>3.0</v>
      </c>
      <c r="G1817" s="11">
        <v>3.0</v>
      </c>
      <c r="H1817" s="11">
        <v>3.0</v>
      </c>
      <c r="I1817" s="11">
        <v>3.0</v>
      </c>
    </row>
    <row r="1818">
      <c r="A1818" s="10" t="s">
        <v>8215</v>
      </c>
      <c r="B1818" s="49" t="str">
        <f t="shared" si="1"/>
        <v>Livestock/Domestic Animals</v>
      </c>
      <c r="C1818" s="49" t="str">
        <f t="shared" si="2"/>
        <v>Livestock/Domestic Animals; Marks &amp; Brands; willfully brands or causes to be branded any livestock in any manner other than as required or authorized by the laws of this state and the rules and regulations of the animal health commissioner</v>
      </c>
      <c r="D1818" s="49" t="str">
        <f t="shared" si="3"/>
        <v>47-421(a)</v>
      </c>
      <c r="E1818" s="11" t="s">
        <v>133</v>
      </c>
      <c r="F1818" s="11">
        <v>3.0</v>
      </c>
      <c r="G1818" s="11">
        <v>3.0</v>
      </c>
      <c r="H1818" s="11">
        <v>3.0</v>
      </c>
      <c r="I1818" s="11">
        <v>3.0</v>
      </c>
    </row>
    <row r="1819">
      <c r="A1819" s="10" t="s">
        <v>8216</v>
      </c>
      <c r="B1819" s="49" t="str">
        <f t="shared" si="1"/>
        <v>Livestock/Domestic Animals</v>
      </c>
      <c r="C1819" s="49" t="str">
        <f t="shared" si="2"/>
        <v>Livestock/Domestic Animals; Penalty for violating act; refuse to allow examination of domestic animals for any infectious or contagious disease; hinder or obstruct any examination of or in an attempt to examine domestic animals</v>
      </c>
      <c r="D1819" s="49" t="str">
        <f t="shared" si="3"/>
        <v>47-662</v>
      </c>
      <c r="E1819" s="11" t="s">
        <v>133</v>
      </c>
      <c r="F1819" s="11">
        <v>3.0</v>
      </c>
      <c r="G1819" s="11">
        <v>3.0</v>
      </c>
      <c r="H1819" s="11">
        <v>3.0</v>
      </c>
      <c r="I1819" s="11">
        <v>3.0</v>
      </c>
    </row>
    <row r="1820">
      <c r="A1820" s="10" t="s">
        <v>8217</v>
      </c>
      <c r="B1820" s="49" t="str">
        <f t="shared" si="1"/>
        <v>Livestock/Domestic Animals</v>
      </c>
      <c r="C1820" s="49" t="str">
        <f t="shared" si="2"/>
        <v>Livestock/Domestic Animals; Penalty for violating K.S.A. 47-629 to 47-629c</v>
      </c>
      <c r="D1820" s="49" t="str">
        <f t="shared" si="3"/>
        <v>47-629c</v>
      </c>
      <c r="E1820" s="11" t="s">
        <v>133</v>
      </c>
      <c r="F1820" s="11">
        <v>3.0</v>
      </c>
      <c r="G1820" s="11">
        <v>3.0</v>
      </c>
      <c r="H1820" s="11">
        <v>3.0</v>
      </c>
      <c r="I1820" s="11">
        <v>3.0</v>
      </c>
    </row>
    <row r="1821">
      <c r="A1821" s="10" t="s">
        <v>8218</v>
      </c>
      <c r="B1821" s="49" t="str">
        <f t="shared" si="1"/>
        <v>Livestock/Domestic Animals</v>
      </c>
      <c r="C1821" s="49" t="str">
        <f t="shared" si="2"/>
        <v>Livestock/Domestic Animals; Penalty for violating quarantine; 1st conviction</v>
      </c>
      <c r="D1821" s="49" t="str">
        <f t="shared" si="3"/>
        <v>47-604</v>
      </c>
      <c r="E1821" s="11" t="s">
        <v>133</v>
      </c>
      <c r="F1821" s="11">
        <v>3.0</v>
      </c>
      <c r="G1821" s="11">
        <v>3.0</v>
      </c>
      <c r="H1821" s="11">
        <v>3.0</v>
      </c>
      <c r="I1821" s="11">
        <v>3.0</v>
      </c>
    </row>
    <row r="1822">
      <c r="A1822" s="10" t="s">
        <v>8219</v>
      </c>
      <c r="B1822" s="49" t="str">
        <f t="shared" si="1"/>
        <v>Livestock/Domestic Animals</v>
      </c>
      <c r="C1822" s="49" t="str">
        <f t="shared" si="2"/>
        <v>Livestock/Domestic Animals; Penalty for violating quarantine; 2nd or subs. conviction</v>
      </c>
      <c r="D1822" s="49" t="str">
        <f t="shared" si="3"/>
        <v>47-604</v>
      </c>
      <c r="E1822" s="11" t="s">
        <v>133</v>
      </c>
      <c r="F1822" s="11">
        <v>3.0</v>
      </c>
      <c r="G1822" s="11">
        <v>3.0</v>
      </c>
      <c r="H1822" s="11">
        <v>3.0</v>
      </c>
      <c r="I1822" s="11">
        <v>3.0</v>
      </c>
    </row>
    <row r="1823">
      <c r="A1823" s="10" t="s">
        <v>8220</v>
      </c>
      <c r="B1823" s="49" t="str">
        <f t="shared" si="1"/>
        <v>Livestock/Domestic Animals</v>
      </c>
      <c r="C1823" s="49" t="str">
        <f t="shared" si="2"/>
        <v>Livestock/Domestic Animals; Place any dead animals, carcasses of such animals or domestic fowl, or any part thereof, into any well, spring, brook, branch, river, creek, pond, road, street, alley, lane other than the person's own driveway, lot, field, meadow not owned or leased by such person or commonly-owned or public property</v>
      </c>
      <c r="D1823" s="49" t="str">
        <f t="shared" si="3"/>
        <v>47-1219(a)</v>
      </c>
      <c r="E1823" s="11" t="s">
        <v>133</v>
      </c>
      <c r="F1823" s="11">
        <v>3.0</v>
      </c>
      <c r="G1823" s="11">
        <v>3.0</v>
      </c>
      <c r="H1823" s="11">
        <v>3.0</v>
      </c>
      <c r="I1823" s="11">
        <v>3.0</v>
      </c>
    </row>
    <row r="1824">
      <c r="A1824" s="10" t="s">
        <v>8221</v>
      </c>
      <c r="B1824" s="49" t="str">
        <f t="shared" si="1"/>
        <v>Livestock/Domestic Animals</v>
      </c>
      <c r="C1824" s="49" t="str">
        <f t="shared" si="2"/>
        <v>Livestock/Domestic Animals; Rules and regulations of animal health commissioner; special quarantine</v>
      </c>
      <c r="D1824" s="49" t="str">
        <f t="shared" si="3"/>
        <v>47-607(c)</v>
      </c>
      <c r="E1824" s="11" t="s">
        <v>133</v>
      </c>
      <c r="F1824" s="11">
        <v>3.0</v>
      </c>
      <c r="G1824" s="11">
        <v>3.0</v>
      </c>
      <c r="H1824" s="11">
        <v>3.0</v>
      </c>
      <c r="I1824" s="11">
        <v>3.0</v>
      </c>
    </row>
    <row r="1825">
      <c r="A1825" s="10" t="s">
        <v>8222</v>
      </c>
      <c r="B1825" s="49" t="str">
        <f t="shared" si="1"/>
        <v>Livestock/Domestic Animals</v>
      </c>
      <c r="C1825" s="49" t="str">
        <f t="shared" si="2"/>
        <v>Livestock/Domestic Animals; Sale as brucellosis or Bang's tested unlawful</v>
      </c>
      <c r="D1825" s="49" t="str">
        <f t="shared" si="3"/>
        <v>47-664</v>
      </c>
      <c r="E1825" s="11" t="s">
        <v>133</v>
      </c>
      <c r="F1825" s="11">
        <v>3.0</v>
      </c>
      <c r="G1825" s="11">
        <v>3.0</v>
      </c>
      <c r="H1825" s="11">
        <v>3.0</v>
      </c>
      <c r="I1825" s="11">
        <v>3.0</v>
      </c>
    </row>
    <row r="1826">
      <c r="A1826" s="10" t="s">
        <v>8223</v>
      </c>
      <c r="B1826" s="49" t="str">
        <f t="shared" si="1"/>
        <v>Livestock/Domestic Animals</v>
      </c>
      <c r="C1826" s="49" t="str">
        <f t="shared" si="2"/>
        <v>Livestock/Domestic Animals; Sale of cattle as tuberculosis tested unlawful</v>
      </c>
      <c r="D1826" s="49" t="str">
        <f t="shared" si="3"/>
        <v>47-663</v>
      </c>
      <c r="E1826" s="11" t="s">
        <v>133</v>
      </c>
      <c r="F1826" s="11">
        <v>3.0</v>
      </c>
      <c r="G1826" s="11">
        <v>3.0</v>
      </c>
      <c r="H1826" s="11">
        <v>3.0</v>
      </c>
      <c r="I1826" s="11">
        <v>3.0</v>
      </c>
    </row>
    <row r="1827">
      <c r="A1827" s="10" t="s">
        <v>8224</v>
      </c>
      <c r="B1827" s="49" t="str">
        <f t="shared" si="1"/>
        <v>Livestock/Domestic Animals</v>
      </c>
      <c r="C1827" s="49" t="str">
        <f t="shared" si="2"/>
        <v>Livestock/Domestic Animals; Sale of virulent hog-cholera virus by unauthorized vendors unlawful</v>
      </c>
      <c r="D1827" s="49" t="str">
        <f t="shared" si="3"/>
        <v>47-629a</v>
      </c>
      <c r="E1827" s="11" t="s">
        <v>133</v>
      </c>
      <c r="F1827" s="11">
        <v>3.0</v>
      </c>
      <c r="G1827" s="11">
        <v>3.0</v>
      </c>
      <c r="H1827" s="11">
        <v>3.0</v>
      </c>
      <c r="I1827" s="11">
        <v>3.0</v>
      </c>
    </row>
    <row r="1828">
      <c r="A1828" s="10" t="s">
        <v>8225</v>
      </c>
      <c r="B1828" s="49" t="str">
        <f t="shared" si="1"/>
        <v>Livestock/Domestic Animals</v>
      </c>
      <c r="C1828" s="49" t="str">
        <f t="shared" si="2"/>
        <v>Livestock/Domestic Animals; Sale of virulent hog-cholera virus to unauthorized purchasers unlawful</v>
      </c>
      <c r="D1828" s="49" t="str">
        <f t="shared" si="3"/>
        <v>47-629b</v>
      </c>
      <c r="E1828" s="11" t="s">
        <v>133</v>
      </c>
      <c r="F1828" s="11">
        <v>3.0</v>
      </c>
      <c r="G1828" s="11">
        <v>3.0</v>
      </c>
      <c r="H1828" s="11">
        <v>3.0</v>
      </c>
      <c r="I1828" s="11">
        <v>3.0</v>
      </c>
    </row>
    <row r="1829">
      <c r="A1829" s="10" t="s">
        <v>8226</v>
      </c>
      <c r="B1829" s="49" t="str">
        <f t="shared" si="1"/>
        <v>Livestock/Domestic Animals</v>
      </c>
      <c r="C1829" s="49" t="str">
        <f t="shared" si="2"/>
        <v>Livestock/Domestic Animals; Strays; unlawfully take up any stray or fail to comply with provisions act</v>
      </c>
      <c r="D1829" s="49" t="str">
        <f t="shared" si="3"/>
        <v>47-237</v>
      </c>
      <c r="E1829" s="11" t="s">
        <v>133</v>
      </c>
      <c r="F1829" s="11">
        <v>3.0</v>
      </c>
      <c r="G1829" s="11">
        <v>3.0</v>
      </c>
      <c r="H1829" s="11">
        <v>3.0</v>
      </c>
      <c r="I1829" s="11">
        <v>3.0</v>
      </c>
    </row>
    <row r="1830">
      <c r="A1830" s="10" t="s">
        <v>8227</v>
      </c>
      <c r="B1830" s="49" t="str">
        <f t="shared" si="1"/>
        <v>Livestock/Domestic Animals</v>
      </c>
      <c r="C1830" s="49" t="str">
        <f t="shared" si="2"/>
        <v>Livestock/Domestic Animals; Transport uninspected animals into state without obtaining special permit if required</v>
      </c>
      <c r="D1830" s="49" t="str">
        <f t="shared" si="3"/>
        <v>47-607a</v>
      </c>
      <c r="E1830" s="11" t="s">
        <v>133</v>
      </c>
      <c r="F1830" s="11">
        <v>3.0</v>
      </c>
      <c r="G1830" s="11">
        <v>3.0</v>
      </c>
      <c r="H1830" s="11">
        <v>3.0</v>
      </c>
      <c r="I1830" s="11">
        <v>3.0</v>
      </c>
    </row>
    <row r="1831">
      <c r="A1831" s="10" t="s">
        <v>8228</v>
      </c>
      <c r="B1831" s="49" t="str">
        <f t="shared" si="1"/>
        <v>Livestock/Domestic Animals</v>
      </c>
      <c r="C1831" s="49" t="str">
        <f t="shared" si="2"/>
        <v>Livestock/Domestic Animals; Unlawful to transport uninspected animals into state</v>
      </c>
      <c r="D1831" s="49" t="str">
        <f t="shared" si="3"/>
        <v>47-607(a)</v>
      </c>
      <c r="E1831" s="11" t="s">
        <v>133</v>
      </c>
      <c r="F1831" s="11">
        <v>3.0</v>
      </c>
      <c r="G1831" s="11">
        <v>3.0</v>
      </c>
      <c r="H1831" s="11">
        <v>3.0</v>
      </c>
      <c r="I1831" s="11">
        <v>3.0</v>
      </c>
    </row>
    <row r="1832">
      <c r="A1832" s="10" t="s">
        <v>8229</v>
      </c>
      <c r="B1832" s="49" t="str">
        <f t="shared" si="1"/>
        <v>Livestock/Domestic Animals</v>
      </c>
      <c r="C1832" s="49" t="str">
        <f t="shared" si="2"/>
        <v>Livestock/Domestic Animals; With intent to damage &amp; without consent; enter an animal facility and commit or attempt to commit a prohibited act</v>
      </c>
      <c r="D1832" s="49" t="str">
        <f t="shared" si="3"/>
        <v>47-1827(c)(3)</v>
      </c>
      <c r="E1832" s="11" t="s">
        <v>133</v>
      </c>
      <c r="F1832" s="11">
        <v>3.0</v>
      </c>
      <c r="G1832" s="11">
        <v>3.0</v>
      </c>
      <c r="H1832" s="11">
        <v>3.0</v>
      </c>
      <c r="I1832" s="11">
        <v>3.0</v>
      </c>
    </row>
    <row r="1833">
      <c r="A1833" s="10" t="s">
        <v>8230</v>
      </c>
      <c r="B1833" s="49" t="str">
        <f t="shared" si="1"/>
        <v>Livestock/Domestic Animals</v>
      </c>
      <c r="C1833" s="49" t="str">
        <f t="shared" si="2"/>
        <v>Livestock/Domestic Animals; With intent to damage &amp; without consent; enter an animal facility, not open to the public, with intent to commit a prohibited act</v>
      </c>
      <c r="D1833" s="49" t="str">
        <f t="shared" si="3"/>
        <v>47-1827(c)(1)</v>
      </c>
      <c r="E1833" s="11" t="s">
        <v>133</v>
      </c>
      <c r="F1833" s="11">
        <v>3.0</v>
      </c>
      <c r="G1833" s="11">
        <v>3.0</v>
      </c>
      <c r="H1833" s="11">
        <v>3.0</v>
      </c>
      <c r="I1833" s="11">
        <v>3.0</v>
      </c>
    </row>
    <row r="1834">
      <c r="A1834" s="10" t="s">
        <v>8231</v>
      </c>
      <c r="B1834" s="49" t="str">
        <f t="shared" si="1"/>
        <v>Livestock/Domestic Animals</v>
      </c>
      <c r="C1834" s="49" t="str">
        <f t="shared" si="2"/>
        <v>Livestock/Domestic Animals; With intent to damage &amp; without consent; enter animal facility to take pictures by photograph, video camera or by any other means</v>
      </c>
      <c r="D1834" s="49" t="str">
        <f t="shared" si="3"/>
        <v>47-1827(c)(4)</v>
      </c>
      <c r="E1834" s="11" t="s">
        <v>133</v>
      </c>
      <c r="F1834" s="11">
        <v>3.0</v>
      </c>
      <c r="G1834" s="11">
        <v>3.0</v>
      </c>
      <c r="H1834" s="11">
        <v>3.0</v>
      </c>
      <c r="I1834" s="11">
        <v>3.0</v>
      </c>
    </row>
    <row r="1835">
      <c r="A1835" s="10" t="s">
        <v>8232</v>
      </c>
      <c r="B1835" s="49" t="str">
        <f t="shared" si="1"/>
        <v>Livestock/Domestic Animals</v>
      </c>
      <c r="C1835" s="49" t="str">
        <f t="shared" si="2"/>
        <v>Livestock/Domestic Animals; With intent to damage &amp; without consent; enter or remain on animal facility having had notice that entry was forbidden</v>
      </c>
      <c r="D1835" s="49" t="str">
        <f t="shared" si="3"/>
        <v>47-1827(d)(1)(A)</v>
      </c>
      <c r="E1835" s="11" t="s">
        <v>133</v>
      </c>
      <c r="F1835" s="11">
        <v>3.0</v>
      </c>
      <c r="G1835" s="11">
        <v>3.0</v>
      </c>
      <c r="H1835" s="11">
        <v>3.0</v>
      </c>
      <c r="I1835" s="11">
        <v>3.0</v>
      </c>
    </row>
    <row r="1836">
      <c r="A1836" s="10" t="s">
        <v>8233</v>
      </c>
      <c r="B1836" s="49" t="str">
        <f t="shared" si="1"/>
        <v>Livestock/Domestic Animals</v>
      </c>
      <c r="C1836" s="49" t="str">
        <f t="shared" si="2"/>
        <v>Livestock/Domestic Animals; With intent to damage &amp; without consent; enter or remain on animal facility having received notice to depart but failing to do so</v>
      </c>
      <c r="D1836" s="49" t="str">
        <f t="shared" si="3"/>
        <v>47-1827(d)(1)(B)</v>
      </c>
      <c r="E1836" s="11" t="s">
        <v>133</v>
      </c>
      <c r="F1836" s="11">
        <v>3.0</v>
      </c>
      <c r="G1836" s="11">
        <v>3.0</v>
      </c>
      <c r="H1836" s="11">
        <v>3.0</v>
      </c>
      <c r="I1836" s="11">
        <v>3.0</v>
      </c>
    </row>
    <row r="1837">
      <c r="A1837" s="10" t="s">
        <v>8234</v>
      </c>
      <c r="B1837" s="49" t="str">
        <f t="shared" si="1"/>
        <v>Livestock/Domestic Animals</v>
      </c>
      <c r="C1837" s="49" t="str">
        <f t="shared" si="2"/>
        <v>Livestock/Domestic Animals; With intent to damage &amp; without consent; remain concealed, with intent to commit an act prohibited by this section</v>
      </c>
      <c r="D1837" s="49" t="str">
        <f t="shared" si="3"/>
        <v>47-1827(c)(2)</v>
      </c>
      <c r="E1837" s="11" t="s">
        <v>133</v>
      </c>
      <c r="F1837" s="11">
        <v>3.0</v>
      </c>
      <c r="G1837" s="11">
        <v>3.0</v>
      </c>
      <c r="H1837" s="11">
        <v>3.0</v>
      </c>
      <c r="I1837" s="11">
        <v>3.0</v>
      </c>
    </row>
    <row r="1838">
      <c r="A1838" s="10" t="s">
        <v>8235</v>
      </c>
      <c r="B1838" s="49" t="str">
        <f t="shared" si="1"/>
        <v>Livestock</v>
      </c>
      <c r="C1838" s="49" t="str">
        <f t="shared" si="2"/>
        <v>Livestock; Feedlots; penalty for violation of act</v>
      </c>
      <c r="D1838" s="49" t="str">
        <f t="shared" si="3"/>
        <v>47-1509</v>
      </c>
      <c r="E1838" s="11" t="s">
        <v>133</v>
      </c>
      <c r="F1838" s="11">
        <v>3.0</v>
      </c>
      <c r="G1838" s="11">
        <v>3.0</v>
      </c>
      <c r="H1838" s="11">
        <v>3.0</v>
      </c>
      <c r="I1838" s="11">
        <v>3.0</v>
      </c>
    </row>
    <row r="1839">
      <c r="A1839" s="10" t="s">
        <v>8236</v>
      </c>
      <c r="B1839" s="49" t="str">
        <f t="shared" si="1"/>
        <v>Livestock</v>
      </c>
      <c r="C1839" s="49" t="str">
        <f t="shared" si="2"/>
        <v>Livestock; Stock Running at Large; unlawful driving of animals</v>
      </c>
      <c r="D1839" s="49" t="str">
        <f t="shared" si="3"/>
        <v>47-121</v>
      </c>
      <c r="E1839" s="11" t="s">
        <v>133</v>
      </c>
      <c r="F1839" s="11">
        <v>3.0</v>
      </c>
      <c r="G1839" s="11">
        <v>3.0</v>
      </c>
      <c r="H1839" s="11">
        <v>3.0</v>
      </c>
      <c r="I1839" s="11">
        <v>3.0</v>
      </c>
    </row>
    <row r="1840">
      <c r="A1840" s="10" t="s">
        <v>8237</v>
      </c>
      <c r="B1840" s="49" t="str">
        <f t="shared" si="1"/>
        <v>Loan Brokers</v>
      </c>
      <c r="C1840" s="49" t="str">
        <f t="shared" si="2"/>
        <v>Loan Brokers; Employ any device, scheme or artifice to defraud</v>
      </c>
      <c r="D1840" s="49" t="str">
        <f t="shared" si="3"/>
        <v>50-1017(1)</v>
      </c>
      <c r="E1840" s="11" t="s">
        <v>133</v>
      </c>
      <c r="F1840" s="11">
        <v>3.0</v>
      </c>
      <c r="G1840" s="11">
        <v>3.0</v>
      </c>
      <c r="H1840" s="11">
        <v>3.0</v>
      </c>
      <c r="I1840" s="11">
        <v>3.0</v>
      </c>
    </row>
    <row r="1841">
      <c r="A1841" s="10" t="s">
        <v>8238</v>
      </c>
      <c r="B1841" s="49" t="str">
        <f t="shared" si="1"/>
        <v>Loan Brokers</v>
      </c>
      <c r="C1841" s="49" t="str">
        <f t="shared" si="2"/>
        <v>Loan Brokers; Engage in any act, practice or course of business that operates or would operate as a fraud or deceit upon any person</v>
      </c>
      <c r="D1841" s="49" t="str">
        <f t="shared" si="3"/>
        <v>50-1017(3)</v>
      </c>
      <c r="E1841" s="11" t="s">
        <v>133</v>
      </c>
      <c r="F1841" s="11">
        <v>3.0</v>
      </c>
      <c r="G1841" s="11">
        <v>3.0</v>
      </c>
      <c r="H1841" s="11">
        <v>3.0</v>
      </c>
      <c r="I1841" s="11">
        <v>3.0</v>
      </c>
    </row>
    <row r="1842">
      <c r="A1842" s="10" t="s">
        <v>8239</v>
      </c>
      <c r="B1842" s="49" t="str">
        <f t="shared" si="1"/>
        <v>Loan Brokers</v>
      </c>
      <c r="C1842" s="49" t="str">
        <f t="shared" si="2"/>
        <v>Loan Brokers; Engage in business as an unregistered loan broker</v>
      </c>
      <c r="D1842" s="49" t="str">
        <f t="shared" si="3"/>
        <v>50-1002</v>
      </c>
      <c r="E1842" s="11" t="s">
        <v>133</v>
      </c>
      <c r="F1842" s="11">
        <v>3.0</v>
      </c>
      <c r="G1842" s="11">
        <v>3.0</v>
      </c>
      <c r="H1842" s="11">
        <v>3.0</v>
      </c>
      <c r="I1842" s="11">
        <v>3.0</v>
      </c>
    </row>
    <row r="1843">
      <c r="A1843" s="10" t="s">
        <v>8240</v>
      </c>
      <c r="B1843" s="49" t="str">
        <f t="shared" si="1"/>
        <v>Loan Brokers</v>
      </c>
      <c r="C1843" s="49" t="str">
        <f t="shared" si="2"/>
        <v>Loan Brokers; Make false or misleading filing or statement</v>
      </c>
      <c r="D1843" s="49" t="str">
        <f t="shared" si="3"/>
        <v>50-1018</v>
      </c>
      <c r="E1843" s="11" t="s">
        <v>133</v>
      </c>
      <c r="F1843" s="11">
        <v>3.0</v>
      </c>
      <c r="G1843" s="11">
        <v>3.0</v>
      </c>
      <c r="H1843" s="11">
        <v>3.0</v>
      </c>
      <c r="I1843" s="11">
        <v>3.0</v>
      </c>
    </row>
    <row r="1844">
      <c r="A1844" s="10" t="s">
        <v>8241</v>
      </c>
      <c r="B1844" s="49" t="str">
        <f t="shared" si="1"/>
        <v>Loan Brokers</v>
      </c>
      <c r="C1844" s="49" t="str">
        <f t="shared" si="2"/>
        <v>Loan Brokers; Make untrue statements of a material fact or omit a necessary material fact</v>
      </c>
      <c r="D1844" s="49" t="str">
        <f t="shared" si="3"/>
        <v>50-1017(2)</v>
      </c>
      <c r="E1844" s="11" t="s">
        <v>133</v>
      </c>
      <c r="F1844" s="11">
        <v>3.0</v>
      </c>
      <c r="G1844" s="11">
        <v>3.0</v>
      </c>
      <c r="H1844" s="11">
        <v>3.0</v>
      </c>
      <c r="I1844" s="11">
        <v>3.0</v>
      </c>
    </row>
    <row r="1845">
      <c r="A1845" s="10" t="s">
        <v>8242</v>
      </c>
      <c r="B1845" s="49" t="str">
        <f t="shared" si="1"/>
        <v>Loan Brokers</v>
      </c>
      <c r="C1845" s="49" t="str">
        <f t="shared" si="2"/>
        <v>Loan Brokers; Penalty for willful violation of the loan broker act</v>
      </c>
      <c r="D1845" s="49" t="str">
        <f t="shared" si="3"/>
        <v>50-1013(a)</v>
      </c>
      <c r="E1845" s="11" t="s">
        <v>133</v>
      </c>
      <c r="F1845" s="11">
        <v>3.0</v>
      </c>
      <c r="G1845" s="11">
        <v>3.0</v>
      </c>
      <c r="H1845" s="11">
        <v>3.0</v>
      </c>
      <c r="I1845" s="11">
        <v>3.0</v>
      </c>
    </row>
    <row r="1846">
      <c r="A1846" s="10" t="s">
        <v>8243</v>
      </c>
      <c r="B1846" s="49" t="str">
        <f t="shared" si="1"/>
        <v>Local Boards of Health</v>
      </c>
      <c r="C1846" s="49" t="str">
        <f t="shared" si="2"/>
        <v>Local Boards of Health; Clinics; Fail or neglect to perform duties prescribed by this act</v>
      </c>
      <c r="D1846" s="49" t="str">
        <f t="shared" si="3"/>
        <v>65-202</v>
      </c>
      <c r="E1846" s="11" t="s">
        <v>133</v>
      </c>
      <c r="F1846" s="11">
        <v>3.0</v>
      </c>
      <c r="G1846" s="11">
        <v>3.0</v>
      </c>
      <c r="H1846" s="11">
        <v>3.0</v>
      </c>
      <c r="I1846" s="11">
        <v>3.0</v>
      </c>
    </row>
    <row r="1847">
      <c r="A1847" s="10" t="s">
        <v>8244</v>
      </c>
      <c r="B1847" s="49" t="str">
        <f t="shared" si="1"/>
        <v>Lodging Inspection Act</v>
      </c>
      <c r="C1847" s="49" t="str">
        <f t="shared" si="2"/>
        <v>Lodging Inspection Act; Installing or owning any gas stove in a public building, resort, hotel, restaurant, tourist camp or other similar public place without proper connection to a chimney or other outlet</v>
      </c>
      <c r="D1847" s="49" t="str">
        <f t="shared" si="3"/>
        <v>36-516(a)</v>
      </c>
      <c r="E1847" s="11" t="s">
        <v>133</v>
      </c>
      <c r="F1847" s="11">
        <v>3.0</v>
      </c>
      <c r="G1847" s="11">
        <v>3.0</v>
      </c>
      <c r="H1847" s="11">
        <v>3.0</v>
      </c>
      <c r="I1847" s="11">
        <v>3.0</v>
      </c>
    </row>
    <row r="1848">
      <c r="A1848" s="10" t="s">
        <v>8245</v>
      </c>
      <c r="B1848" s="49" t="str">
        <f t="shared" si="1"/>
        <v>Marriage &amp; Family Therapists Licensure Act</v>
      </c>
      <c r="C1848" s="49" t="str">
        <f t="shared" si="2"/>
        <v>Marriage &amp; Family Therapists Licensure Act; Practice marriage/family therapy as a clinical marriage/family therapist without a license; hold oneself out as licensed clinical marriage/family therapist or clinical marriage/family therapist without such a license</v>
      </c>
      <c r="D1848" s="49" t="str">
        <f t="shared" si="3"/>
        <v>65-6403(b)</v>
      </c>
      <c r="E1848" s="11" t="s">
        <v>133</v>
      </c>
      <c r="F1848" s="11">
        <v>3.0</v>
      </c>
      <c r="G1848" s="11">
        <v>3.0</v>
      </c>
      <c r="H1848" s="11">
        <v>3.0</v>
      </c>
      <c r="I1848" s="11">
        <v>3.0</v>
      </c>
    </row>
    <row r="1849">
      <c r="A1849" s="10" t="s">
        <v>8246</v>
      </c>
      <c r="B1849" s="49" t="str">
        <f t="shared" si="1"/>
        <v>Marriage &amp; Family Therapists Licensure Act</v>
      </c>
      <c r="C1849" s="49" t="str">
        <f t="shared" si="2"/>
        <v>Marriage &amp; Family Therapists Licensure Act; Practice marriage/family therapy without license; hold oneself out as licensed marriage/ family therapist or marriage/family therapist without such a license</v>
      </c>
      <c r="D1849" s="49" t="str">
        <f t="shared" si="3"/>
        <v>65-6403(a)</v>
      </c>
      <c r="E1849" s="11" t="s">
        <v>133</v>
      </c>
      <c r="F1849" s="11">
        <v>3.0</v>
      </c>
      <c r="G1849" s="11">
        <v>3.0</v>
      </c>
      <c r="H1849" s="11">
        <v>3.0</v>
      </c>
      <c r="I1849" s="11">
        <v>3.0</v>
      </c>
    </row>
    <row r="1850">
      <c r="A1850" s="10" t="s">
        <v>8247</v>
      </c>
      <c r="B1850" s="49" t="str">
        <f t="shared" si="1"/>
        <v>Marriage</v>
      </c>
      <c r="C1850" s="49" t="str">
        <f t="shared" si="2"/>
        <v>Marriage; Marriage License - False Swearing in Affidavit</v>
      </c>
      <c r="D1850" s="49" t="str">
        <f t="shared" si="3"/>
        <v>23-2505</v>
      </c>
      <c r="E1850" s="11" t="s">
        <v>133</v>
      </c>
      <c r="F1850" s="11">
        <v>3.0</v>
      </c>
      <c r="G1850" s="11">
        <v>3.0</v>
      </c>
      <c r="H1850" s="11">
        <v>3.0</v>
      </c>
      <c r="I1850" s="11">
        <v>3.0</v>
      </c>
    </row>
    <row r="1851">
      <c r="A1851" s="10" t="s">
        <v>8248</v>
      </c>
      <c r="B1851" s="49" t="str">
        <f t="shared" si="1"/>
        <v>Marriage</v>
      </c>
      <c r="C1851" s="49" t="str">
        <f t="shared" si="2"/>
        <v>Marriage; Penalty for judge or clerk not complying with statutory requirements</v>
      </c>
      <c r="D1851" s="49" t="str">
        <f t="shared" si="3"/>
        <v>23-2513</v>
      </c>
      <c r="E1851" s="11" t="s">
        <v>133</v>
      </c>
      <c r="F1851" s="11">
        <v>3.0</v>
      </c>
      <c r="G1851" s="11">
        <v>3.0</v>
      </c>
      <c r="H1851" s="11">
        <v>3.0</v>
      </c>
      <c r="I1851" s="11">
        <v>3.0</v>
      </c>
    </row>
    <row r="1852">
      <c r="A1852" s="10" t="s">
        <v>8249</v>
      </c>
      <c r="B1852" s="49" t="str">
        <f t="shared" si="1"/>
        <v>Marriage</v>
      </c>
      <c r="C1852" s="49" t="str">
        <f t="shared" si="2"/>
        <v>Marriage; Unauthorized Solemnizing of marriage</v>
      </c>
      <c r="D1852" s="49" t="str">
        <f t="shared" si="3"/>
        <v>23-2517</v>
      </c>
      <c r="E1852" s="11" t="s">
        <v>133</v>
      </c>
      <c r="F1852" s="11">
        <v>3.0</v>
      </c>
      <c r="G1852" s="11">
        <v>3.0</v>
      </c>
      <c r="H1852" s="11">
        <v>3.0</v>
      </c>
      <c r="I1852" s="11">
        <v>3.0</v>
      </c>
    </row>
    <row r="1853">
      <c r="A1853" s="10" t="s">
        <v>8250</v>
      </c>
      <c r="B1853" s="49" t="str">
        <f t="shared" si="1"/>
        <v>Maternity Centers &amp; Child Care Facilities</v>
      </c>
      <c r="C1853" s="49" t="str">
        <f t="shared" si="2"/>
        <v>Maternity Centers &amp; Child Care Facilities; Unauthorized disclosure of confidential criminal history record by staff of child placement agency</v>
      </c>
      <c r="D1853" s="49" t="str">
        <f t="shared" si="3"/>
        <v>65-516(i)(5)</v>
      </c>
      <c r="E1853" s="11" t="s">
        <v>133</v>
      </c>
      <c r="F1853" s="11">
        <v>3.0</v>
      </c>
      <c r="G1853" s="11">
        <v>3.0</v>
      </c>
      <c r="H1853" s="11">
        <v>3.0</v>
      </c>
      <c r="I1853" s="11">
        <v>3.0</v>
      </c>
    </row>
    <row r="1854">
      <c r="A1854" s="10" t="s">
        <v>8251</v>
      </c>
      <c r="B1854" s="49" t="str">
        <f t="shared" si="1"/>
        <v>Maternity Centers &amp; Child Care Facilities</v>
      </c>
      <c r="C1854" s="49" t="str">
        <f t="shared" si="2"/>
        <v>Maternity Centers &amp; Child Care Facilities; Violations of article 5 of chapter 65</v>
      </c>
      <c r="D1854" s="49" t="str">
        <f t="shared" si="3"/>
        <v>65-514</v>
      </c>
      <c r="E1854" s="11" t="s">
        <v>133</v>
      </c>
      <c r="F1854" s="11">
        <v>3.0</v>
      </c>
      <c r="G1854" s="11">
        <v>3.0</v>
      </c>
      <c r="H1854" s="11">
        <v>3.0</v>
      </c>
      <c r="I1854" s="11">
        <v>3.0</v>
      </c>
    </row>
    <row r="1855">
      <c r="A1855" s="10" t="s">
        <v>8252</v>
      </c>
      <c r="B1855" s="49" t="str">
        <f t="shared" si="1"/>
        <v>Meat &amp; Poultry Inspection Act</v>
      </c>
      <c r="C1855" s="49" t="str">
        <f t="shared" si="2"/>
        <v>Meat &amp; Poultry Inspection Act; Penalty for any violation of act</v>
      </c>
      <c r="D1855" s="49" t="str">
        <f t="shared" si="3"/>
        <v>65-6a52</v>
      </c>
      <c r="E1855" s="11" t="s">
        <v>133</v>
      </c>
      <c r="F1855" s="11">
        <v>3.0</v>
      </c>
      <c r="G1855" s="11">
        <v>3.0</v>
      </c>
      <c r="H1855" s="11">
        <v>3.0</v>
      </c>
      <c r="I1855" s="11">
        <v>3.0</v>
      </c>
    </row>
    <row r="1856">
      <c r="A1856" s="10" t="s">
        <v>8253</v>
      </c>
      <c r="B1856" s="49" t="str">
        <f t="shared" si="1"/>
        <v>Meat &amp; Poultry</v>
      </c>
      <c r="C1856" s="49" t="str">
        <f t="shared" si="2"/>
        <v>Meat &amp; Poultry; Imported catfish; labeling as imported required</v>
      </c>
      <c r="D1856" s="49" t="str">
        <f t="shared" si="3"/>
        <v>65-6a53</v>
      </c>
      <c r="E1856" s="11" t="s">
        <v>133</v>
      </c>
      <c r="F1856" s="11">
        <v>3.0</v>
      </c>
      <c r="G1856" s="11">
        <v>3.0</v>
      </c>
      <c r="H1856" s="11">
        <v>3.0</v>
      </c>
      <c r="I1856" s="11">
        <v>3.0</v>
      </c>
    </row>
    <row r="1857">
      <c r="A1857" s="10" t="s">
        <v>8254</v>
      </c>
      <c r="B1857" s="49" t="str">
        <f t="shared" si="1"/>
        <v>Meat &amp; Poultry</v>
      </c>
      <c r="C1857" s="49" t="str">
        <f t="shared" si="2"/>
        <v>Meat &amp; Poultry; Inspections; penalty for any violation of act</v>
      </c>
      <c r="D1857" s="49" t="str">
        <f t="shared" si="3"/>
        <v>65-6a40</v>
      </c>
      <c r="E1857" s="11" t="s">
        <v>133</v>
      </c>
      <c r="F1857" s="11">
        <v>3.0</v>
      </c>
      <c r="G1857" s="11">
        <v>3.0</v>
      </c>
      <c r="H1857" s="11">
        <v>3.0</v>
      </c>
      <c r="I1857" s="11">
        <v>3.0</v>
      </c>
    </row>
    <row r="1858">
      <c r="A1858" s="10" t="s">
        <v>8255</v>
      </c>
      <c r="B1858" s="49" t="str">
        <f t="shared" si="1"/>
        <v>Meat &amp; Poultry</v>
      </c>
      <c r="C1858" s="49" t="str">
        <f t="shared" si="2"/>
        <v>Meat &amp; Poultry; Labeling; penalty for violation of act</v>
      </c>
      <c r="D1858" s="49" t="str">
        <f t="shared" si="3"/>
        <v>65-6a55</v>
      </c>
      <c r="E1858" s="11" t="s">
        <v>133</v>
      </c>
      <c r="F1858" s="11">
        <v>3.0</v>
      </c>
      <c r="G1858" s="11">
        <v>3.0</v>
      </c>
      <c r="H1858" s="11">
        <v>3.0</v>
      </c>
      <c r="I1858" s="11">
        <v>3.0</v>
      </c>
    </row>
    <row r="1859">
      <c r="A1859" s="10" t="s">
        <v>8256</v>
      </c>
      <c r="B1859" s="49" t="str">
        <f t="shared" si="1"/>
        <v>Meat &amp; Poultry</v>
      </c>
      <c r="C1859" s="49" t="str">
        <f t="shared" si="2"/>
        <v>Meat &amp; Poultry; Violation of act involving intent to defraud, or any transportation or distribution or attempted transportation or distribution of an article that is adulterated</v>
      </c>
      <c r="D1859" s="49" t="str">
        <f t="shared" si="3"/>
        <v>65-6a40</v>
      </c>
      <c r="E1859" s="11" t="s">
        <v>133</v>
      </c>
      <c r="F1859" s="11">
        <v>3.0</v>
      </c>
      <c r="G1859" s="11">
        <v>3.0</v>
      </c>
      <c r="H1859" s="11">
        <v>3.0</v>
      </c>
      <c r="I1859" s="11">
        <v>3.0</v>
      </c>
    </row>
    <row r="1860">
      <c r="A1860" s="10" t="s">
        <v>8257</v>
      </c>
      <c r="B1860" s="49" t="str">
        <f t="shared" si="1"/>
        <v>Medicaid fraud</v>
      </c>
      <c r="C1860" s="49" t="str">
        <f t="shared" si="2"/>
        <v>Medicaid fraud; False or fraudulent statement/representation made with intent to influence an official, employee/agent of a state or federal agency having regulatory or administrative authority over the Kansas Medicaid program</v>
      </c>
      <c r="D1860" s="49" t="str">
        <f t="shared" si="3"/>
        <v>21-5927(a)(1)(I)</v>
      </c>
      <c r="E1860" s="11" t="s">
        <v>133</v>
      </c>
      <c r="F1860" s="11">
        <v>3.0</v>
      </c>
      <c r="G1860" s="11">
        <v>3.0</v>
      </c>
      <c r="H1860" s="11">
        <v>3.0</v>
      </c>
      <c r="I1860" s="11">
        <v>3.0</v>
      </c>
    </row>
    <row r="1861">
      <c r="A1861" s="10" t="s">
        <v>8258</v>
      </c>
      <c r="B1861" s="49" t="str">
        <f t="shared" si="1"/>
        <v>Medicaid fraud</v>
      </c>
      <c r="C1861" s="49" t="str">
        <f t="shared" si="2"/>
        <v>Medicaid fraud; Intentionally divide or share any funds illegally obtained from the Medicaid program</v>
      </c>
      <c r="D1861" s="49" t="str">
        <f t="shared" si="3"/>
        <v>21-5928(a)(3)</v>
      </c>
      <c r="E1861" s="11" t="s">
        <v>133</v>
      </c>
      <c r="F1861" s="11">
        <v>3.0</v>
      </c>
      <c r="G1861" s="11">
        <v>3.0</v>
      </c>
      <c r="H1861" s="11">
        <v>3.0</v>
      </c>
      <c r="I1861" s="11">
        <v>3.0</v>
      </c>
    </row>
    <row r="1862">
      <c r="A1862" s="10" t="s">
        <v>8259</v>
      </c>
      <c r="B1862" s="49" t="str">
        <f t="shared" si="1"/>
        <v>Medicaid fraud</v>
      </c>
      <c r="C1862" s="49" t="str">
        <f t="shared" si="2"/>
        <v>Medicaid fraud; intentionally executing or attempting a scheme or artifice to defraud medicaid program or contractor or subcontractor thereof;  Aggregate payments claimed at least $25,000 but less than $100,000</v>
      </c>
      <c r="D1862" s="49" t="str">
        <f t="shared" si="3"/>
        <v>21-5927(a)(2)</v>
      </c>
      <c r="E1862" s="11" t="s">
        <v>133</v>
      </c>
      <c r="F1862" s="11">
        <v>3.0</v>
      </c>
      <c r="G1862" s="11">
        <v>3.0</v>
      </c>
      <c r="H1862" s="11">
        <v>3.0</v>
      </c>
      <c r="I1862" s="11">
        <v>3.0</v>
      </c>
    </row>
    <row r="1863">
      <c r="A1863" s="10" t="s">
        <v>8260</v>
      </c>
      <c r="B1863" s="49" t="str">
        <f t="shared" si="1"/>
        <v>Medicaid fraud</v>
      </c>
      <c r="C1863" s="49" t="str">
        <f t="shared" si="2"/>
        <v>Medicaid fraud; intentionally executing or attempting a scheme or artifice to defraud medicaid program or contractor or subcontractor thereof; Aggregate payments claimed $250,000 or more</v>
      </c>
      <c r="D1863" s="49" t="str">
        <f t="shared" si="3"/>
        <v>21-5927(a)(2)</v>
      </c>
      <c r="E1863" s="11" t="s">
        <v>133</v>
      </c>
      <c r="F1863" s="11">
        <v>3.0</v>
      </c>
      <c r="G1863" s="11">
        <v>3.0</v>
      </c>
      <c r="H1863" s="11">
        <v>3.0</v>
      </c>
      <c r="I1863" s="11">
        <v>3.0</v>
      </c>
    </row>
    <row r="1864">
      <c r="A1864" s="10" t="s">
        <v>8261</v>
      </c>
      <c r="B1864" s="49" t="str">
        <f t="shared" si="1"/>
        <v>Medicaid fraud</v>
      </c>
      <c r="C1864" s="49" t="str">
        <f t="shared" si="2"/>
        <v>Medicaid fraud; intentionally executing or attempting a scheme or artifice to defraud medicaid program or contractor or subcontractor thereof; Aggregate payments claimed at least $100,000 but less than $250,000</v>
      </c>
      <c r="D1864" s="49" t="str">
        <f t="shared" si="3"/>
        <v>21-5927(a)(2)</v>
      </c>
      <c r="E1864" s="11" t="s">
        <v>133</v>
      </c>
      <c r="F1864" s="11">
        <v>3.0</v>
      </c>
      <c r="G1864" s="11">
        <v>3.0</v>
      </c>
      <c r="H1864" s="11">
        <v>3.0</v>
      </c>
      <c r="I1864" s="11">
        <v>3.0</v>
      </c>
    </row>
    <row r="1865">
      <c r="A1865" s="10" t="s">
        <v>8262</v>
      </c>
      <c r="B1865" s="49" t="str">
        <f t="shared" si="1"/>
        <v>Medicaid fraud</v>
      </c>
      <c r="C1865" s="49" t="str">
        <f t="shared" si="2"/>
        <v>Medicaid fraud; intentionally executing or attempting a scheme or artifice to defraud medicaid program or contractor or subcontractor thereof; Aggregate payments claimed at least $1000 but less than $25,000</v>
      </c>
      <c r="D1865" s="49" t="str">
        <f t="shared" si="3"/>
        <v>21-5927(a)(2)</v>
      </c>
      <c r="E1865" s="11" t="s">
        <v>133</v>
      </c>
      <c r="F1865" s="11">
        <v>3.0</v>
      </c>
      <c r="G1865" s="11">
        <v>3.0</v>
      </c>
      <c r="H1865" s="11">
        <v>3.0</v>
      </c>
      <c r="I1865" s="11">
        <v>3.0</v>
      </c>
    </row>
    <row r="1866">
      <c r="A1866" s="10" t="s">
        <v>8263</v>
      </c>
      <c r="B1866" s="49" t="str">
        <f t="shared" si="1"/>
        <v>Medicaid fraud</v>
      </c>
      <c r="C1866" s="49" t="str">
        <f t="shared" si="2"/>
        <v>Medicaid fraud; intentionally executing or attempting a scheme or artifice to defraud medicaid program or contractor or subcontractor thereof; Aggregate payments claimed less than $1,000</v>
      </c>
      <c r="D1866" s="49" t="str">
        <f t="shared" si="3"/>
        <v>21-5927(a)(2)</v>
      </c>
      <c r="E1866" s="11" t="s">
        <v>133</v>
      </c>
      <c r="F1866" s="11">
        <v>3.0</v>
      </c>
      <c r="G1866" s="11">
        <v>3.0</v>
      </c>
      <c r="H1866" s="11">
        <v>3.0</v>
      </c>
      <c r="I1866" s="11">
        <v>3.0</v>
      </c>
    </row>
    <row r="1867">
      <c r="A1867" s="10" t="s">
        <v>8264</v>
      </c>
      <c r="B1867" s="49" t="str">
        <f t="shared" si="1"/>
        <v>Medicaid fraud</v>
      </c>
      <c r="C1867" s="49" t="str">
        <f t="shared" si="2"/>
        <v>Medicaid fraud; intentionally executing or attempting a scheme or artifice to defraud medicaid program or contractor or subcontractor thereof; When death results from such act</v>
      </c>
      <c r="D1867" s="49" t="str">
        <f t="shared" si="3"/>
        <v>21-5927(a)(2)</v>
      </c>
      <c r="E1867" s="11" t="s">
        <v>133</v>
      </c>
      <c r="F1867" s="11">
        <v>3.0</v>
      </c>
      <c r="G1867" s="11">
        <v>3.0</v>
      </c>
      <c r="H1867" s="11">
        <v>3.0</v>
      </c>
      <c r="I1867" s="11">
        <v>3.0</v>
      </c>
    </row>
    <row r="1868">
      <c r="A1868" s="10" t="s">
        <v>8265</v>
      </c>
      <c r="B1868" s="49" t="str">
        <f t="shared" si="1"/>
        <v>Medicaid fraud</v>
      </c>
      <c r="C1868" s="49" t="str">
        <f t="shared" si="2"/>
        <v>Medicaid fraud; intentionally executing or attempting a scheme or artifice to defraud medicaid program or contractor or subcontractor thereof; When great bodily harm results from such act</v>
      </c>
      <c r="D1868" s="49" t="str">
        <f t="shared" si="3"/>
        <v>21-5927(a)(2)</v>
      </c>
      <c r="E1868" s="11" t="s">
        <v>133</v>
      </c>
      <c r="F1868" s="11">
        <v>3.0</v>
      </c>
      <c r="G1868" s="11">
        <v>3.0</v>
      </c>
      <c r="H1868" s="11">
        <v>3.0</v>
      </c>
      <c r="I1868" s="11">
        <v>3.0</v>
      </c>
    </row>
    <row r="1869">
      <c r="A1869" s="10" t="s">
        <v>8266</v>
      </c>
      <c r="B1869" s="49" t="str">
        <f t="shared" si="1"/>
        <v>Medicaid fraud</v>
      </c>
      <c r="C1869" s="49" t="str">
        <f t="shared" si="2"/>
        <v>Medicaid fraud; Intentionally offer or pay any remuneration, including kickbacks, bribes or rebates to any person for Medicaid goods</v>
      </c>
      <c r="D1869" s="49" t="str">
        <f t="shared" si="3"/>
        <v>21-5928(a)(2)</v>
      </c>
      <c r="E1869" s="11" t="s">
        <v>133</v>
      </c>
      <c r="F1869" s="11">
        <v>3.0</v>
      </c>
      <c r="G1869" s="11">
        <v>3.0</v>
      </c>
      <c r="H1869" s="11">
        <v>3.0</v>
      </c>
      <c r="I1869" s="11">
        <v>3.0</v>
      </c>
    </row>
    <row r="1870">
      <c r="A1870" s="10" t="s">
        <v>8267</v>
      </c>
      <c r="B1870" s="49" t="str">
        <f t="shared" si="1"/>
        <v>Medicaid fraud</v>
      </c>
      <c r="C1870" s="49" t="str">
        <f t="shared" si="2"/>
        <v>Medicaid fraud; Intentionally solicit or receive any remuneration, including kickbacks, bribes or rebates for Medicaid goods</v>
      </c>
      <c r="D1870" s="49" t="str">
        <f t="shared" si="3"/>
        <v>21-5928(a)(1)</v>
      </c>
      <c r="E1870" s="11" t="s">
        <v>133</v>
      </c>
      <c r="F1870" s="11">
        <v>3.0</v>
      </c>
      <c r="G1870" s="11">
        <v>3.0</v>
      </c>
      <c r="H1870" s="11">
        <v>3.0</v>
      </c>
      <c r="I1870" s="11">
        <v>3.0</v>
      </c>
    </row>
    <row r="1871">
      <c r="A1871" s="10" t="s">
        <v>8268</v>
      </c>
      <c r="B1871" s="49" t="str">
        <f t="shared" si="1"/>
        <v>Medicaid fraud</v>
      </c>
      <c r="C1871" s="49" t="str">
        <f t="shared" si="2"/>
        <v>Medicaid fraud; Intentionally trade a Medicaid number for money or other remuneration; sign for services not received; sell or exchange Medicaid goods purchased or provided under the Medicaid program for value</v>
      </c>
      <c r="D1871" s="49" t="str">
        <f t="shared" si="3"/>
        <v>21-5928(b)</v>
      </c>
      <c r="E1871" s="11" t="s">
        <v>133</v>
      </c>
      <c r="F1871" s="11">
        <v>3.0</v>
      </c>
      <c r="G1871" s="11">
        <v>3.0</v>
      </c>
      <c r="H1871" s="11">
        <v>3.0</v>
      </c>
      <c r="I1871" s="11">
        <v>3.0</v>
      </c>
    </row>
    <row r="1872">
      <c r="A1872" s="10" t="s">
        <v>8269</v>
      </c>
      <c r="B1872" s="49" t="str">
        <f t="shared" si="1"/>
        <v>Medicaid fraud</v>
      </c>
      <c r="C1872" s="49" t="str">
        <f t="shared" si="2"/>
        <v>Medicaid fraud; Knowingly make any false statement/representation for use by another in obtaining any goods, service, item, facility or accommodation under the Medicaid program;  Aggregate payments claimed $250,000 or more</v>
      </c>
      <c r="D1872" s="49" t="str">
        <f t="shared" si="3"/>
        <v>21-5927(a)(1)(E)</v>
      </c>
      <c r="E1872" s="11" t="s">
        <v>133</v>
      </c>
      <c r="F1872" s="11">
        <v>3.0</v>
      </c>
      <c r="G1872" s="11">
        <v>3.0</v>
      </c>
      <c r="H1872" s="11">
        <v>3.0</v>
      </c>
      <c r="I1872" s="11">
        <v>3.0</v>
      </c>
    </row>
    <row r="1873">
      <c r="A1873" s="10" t="s">
        <v>8270</v>
      </c>
      <c r="B1873" s="49" t="str">
        <f t="shared" si="1"/>
        <v>Medicaid fraud</v>
      </c>
      <c r="C1873" s="49" t="str">
        <f t="shared" si="2"/>
        <v>Medicaid fraud; Knowingly make any false statement/representation for use by another in obtaining any goods, service, item, facility or accommodation under the Medicaid program; Aggregate payments claimed at least $1,000 but less than $25,000</v>
      </c>
      <c r="D1873" s="49" t="str">
        <f t="shared" si="3"/>
        <v>21-5927(a)(1)(E)</v>
      </c>
      <c r="E1873" s="11" t="s">
        <v>133</v>
      </c>
      <c r="F1873" s="11">
        <v>3.0</v>
      </c>
      <c r="G1873" s="11">
        <v>3.0</v>
      </c>
      <c r="H1873" s="11">
        <v>3.0</v>
      </c>
      <c r="I1873" s="11">
        <v>3.0</v>
      </c>
    </row>
    <row r="1874">
      <c r="A1874" s="10" t="s">
        <v>8271</v>
      </c>
      <c r="B1874" s="49" t="str">
        <f t="shared" si="1"/>
        <v>Medicaid fraud</v>
      </c>
      <c r="C1874" s="49" t="str">
        <f t="shared" si="2"/>
        <v>Medicaid fraud; Knowingly make any false statement/representation for use by another in obtaining any goods, service, item, facility or accommodation under the Medicaid program; Aggregate payments claimed at least $100,000 but less than $250,000</v>
      </c>
      <c r="D1874" s="49" t="str">
        <f t="shared" si="3"/>
        <v>21-5927(a)(1)(E)</v>
      </c>
      <c r="E1874" s="11" t="s">
        <v>133</v>
      </c>
      <c r="F1874" s="11">
        <v>3.0</v>
      </c>
      <c r="G1874" s="11">
        <v>3.0</v>
      </c>
      <c r="H1874" s="11">
        <v>3.0</v>
      </c>
      <c r="I1874" s="11">
        <v>3.0</v>
      </c>
    </row>
    <row r="1875">
      <c r="A1875" s="10" t="s">
        <v>8272</v>
      </c>
      <c r="B1875" s="49" t="str">
        <f t="shared" si="1"/>
        <v>Medicaid fraud</v>
      </c>
      <c r="C1875" s="49" t="str">
        <f t="shared" si="2"/>
        <v>Medicaid fraud; Knowingly make any false statement/representation for use by another in obtaining any goods, service, item, facility or accommodation under the Medicaid program; Aggregate payments claimed at least $25,000 but less than $100,000</v>
      </c>
      <c r="D1875" s="49" t="str">
        <f t="shared" si="3"/>
        <v>21-5927(a)(1)(E)</v>
      </c>
      <c r="E1875" s="11" t="s">
        <v>133</v>
      </c>
      <c r="F1875" s="11">
        <v>3.0</v>
      </c>
      <c r="G1875" s="11">
        <v>3.0</v>
      </c>
      <c r="H1875" s="11">
        <v>3.0</v>
      </c>
      <c r="I1875" s="11">
        <v>3.0</v>
      </c>
    </row>
    <row r="1876">
      <c r="A1876" s="10" t="s">
        <v>8273</v>
      </c>
      <c r="B1876" s="49" t="str">
        <f t="shared" si="1"/>
        <v>Medicaid fraud</v>
      </c>
      <c r="C1876" s="49" t="str">
        <f t="shared" si="2"/>
        <v>Medicaid fraud; Knowingly make any false statement/representation for use by another in obtaining any goods, service, item, facility or accommodation under the Medicaid program; Aggregate payments claimed less than $1,000</v>
      </c>
      <c r="D1876" s="49" t="str">
        <f t="shared" si="3"/>
        <v>21-5927(a)(1)(E)</v>
      </c>
      <c r="E1876" s="11" t="s">
        <v>133</v>
      </c>
      <c r="F1876" s="11">
        <v>3.0</v>
      </c>
      <c r="G1876" s="11">
        <v>3.0</v>
      </c>
      <c r="H1876" s="11">
        <v>3.0</v>
      </c>
      <c r="I1876" s="11">
        <v>3.0</v>
      </c>
    </row>
    <row r="1877">
      <c r="A1877" s="10" t="s">
        <v>8274</v>
      </c>
      <c r="B1877" s="49" t="str">
        <f t="shared" si="1"/>
        <v>Medicaid fraud</v>
      </c>
      <c r="C1877" s="49" t="str">
        <f t="shared" si="2"/>
        <v>Medicaid fraud; Knowingly make any false statement/representation for use by another in obtaining any goods, service, item, facility or accommodation under the Medicaid program; When death results from such act</v>
      </c>
      <c r="D1877" s="49" t="str">
        <f t="shared" si="3"/>
        <v>21-5927(a)(1)(E)</v>
      </c>
      <c r="E1877" s="11" t="s">
        <v>133</v>
      </c>
      <c r="F1877" s="11">
        <v>3.0</v>
      </c>
      <c r="G1877" s="11">
        <v>3.0</v>
      </c>
      <c r="H1877" s="11">
        <v>3.0</v>
      </c>
      <c r="I1877" s="11">
        <v>3.0</v>
      </c>
    </row>
    <row r="1878">
      <c r="A1878" s="10" t="s">
        <v>8275</v>
      </c>
      <c r="B1878" s="49" t="str">
        <f t="shared" si="1"/>
        <v>Medicaid fraud</v>
      </c>
      <c r="C1878" s="49" t="str">
        <f t="shared" si="2"/>
        <v>Medicaid fraud; Knowingly make any false statement/representation for use by another in obtaining any goods, service, item, facility or accommodation under the Medicaid program; When great bodily harm results from such act</v>
      </c>
      <c r="D1878" s="49" t="str">
        <f t="shared" si="3"/>
        <v>21-5927(a)(1)(E)</v>
      </c>
      <c r="E1878" s="11" t="s">
        <v>133</v>
      </c>
      <c r="F1878" s="11">
        <v>3.0</v>
      </c>
      <c r="G1878" s="11">
        <v>3.0</v>
      </c>
      <c r="H1878" s="11">
        <v>3.0</v>
      </c>
      <c r="I1878" s="11">
        <v>3.0</v>
      </c>
    </row>
    <row r="1879">
      <c r="A1879" s="10" t="s">
        <v>8276</v>
      </c>
      <c r="B1879" s="49" t="str">
        <f t="shared" si="1"/>
        <v>Medicaid fraud</v>
      </c>
      <c r="C1879" s="49" t="str">
        <f t="shared" si="2"/>
        <v>Medicaid fraud; Make any claim for payment for any goods, service, item, facility, or accommodation, not medically necessary;  Aggregate payments claimed $250,000 or more</v>
      </c>
      <c r="D1879" s="49" t="str">
        <f t="shared" si="3"/>
        <v>21-5927(a)(1)(F)</v>
      </c>
      <c r="E1879" s="11" t="s">
        <v>133</v>
      </c>
      <c r="F1879" s="11">
        <v>3.0</v>
      </c>
      <c r="G1879" s="11">
        <v>3.0</v>
      </c>
      <c r="H1879" s="11">
        <v>3.0</v>
      </c>
      <c r="I1879" s="11">
        <v>3.0</v>
      </c>
    </row>
    <row r="1880">
      <c r="A1880" s="10" t="s">
        <v>8277</v>
      </c>
      <c r="B1880" s="49" t="str">
        <f t="shared" si="1"/>
        <v>Medicaid fraud</v>
      </c>
      <c r="C1880" s="49" t="str">
        <f t="shared" si="2"/>
        <v>Medicaid fraud; Make any claim for payment for any goods, service, item, facility, or accommodation, not medically necessary; Aggregate payments claimed at least $1,000 but less than $25,000</v>
      </c>
      <c r="D1880" s="49" t="str">
        <f t="shared" si="3"/>
        <v>21-5927(a)(1)(F)</v>
      </c>
      <c r="E1880" s="11" t="s">
        <v>133</v>
      </c>
      <c r="F1880" s="11">
        <v>3.0</v>
      </c>
      <c r="G1880" s="11">
        <v>3.0</v>
      </c>
      <c r="H1880" s="11">
        <v>3.0</v>
      </c>
      <c r="I1880" s="11">
        <v>3.0</v>
      </c>
    </row>
    <row r="1881">
      <c r="A1881" s="10" t="s">
        <v>8278</v>
      </c>
      <c r="B1881" s="49" t="str">
        <f t="shared" si="1"/>
        <v>Medicaid fraud</v>
      </c>
      <c r="C1881" s="49" t="str">
        <f t="shared" si="2"/>
        <v>Medicaid fraud; Make any claim for payment for any goods, service, item, facility, or accommodation, not medically necessary; Aggregate payments claimed at least $100,000 but less than $250,000</v>
      </c>
      <c r="D1881" s="49" t="str">
        <f t="shared" si="3"/>
        <v>21-5927(a)(1)(F)</v>
      </c>
      <c r="E1881" s="11" t="s">
        <v>133</v>
      </c>
      <c r="F1881" s="11">
        <v>3.0</v>
      </c>
      <c r="G1881" s="11">
        <v>3.0</v>
      </c>
      <c r="H1881" s="11">
        <v>3.0</v>
      </c>
      <c r="I1881" s="11">
        <v>3.0</v>
      </c>
    </row>
    <row r="1882">
      <c r="A1882" s="10" t="s">
        <v>8279</v>
      </c>
      <c r="B1882" s="49" t="str">
        <f t="shared" si="1"/>
        <v>Medicaid fraud</v>
      </c>
      <c r="C1882" s="49" t="str">
        <f t="shared" si="2"/>
        <v>Medicaid fraud; Make any claim for payment for any goods, service, item, facility, or accommodation, not medically necessary; Aggregate payments claimed less than $1,000</v>
      </c>
      <c r="D1882" s="49" t="str">
        <f t="shared" si="3"/>
        <v>21-5927(a)(1)(F)</v>
      </c>
      <c r="E1882" s="11" t="s">
        <v>133</v>
      </c>
      <c r="F1882" s="11">
        <v>3.0</v>
      </c>
      <c r="G1882" s="11">
        <v>3.0</v>
      </c>
      <c r="H1882" s="11">
        <v>3.0</v>
      </c>
      <c r="I1882" s="11">
        <v>3.0</v>
      </c>
    </row>
    <row r="1883">
      <c r="A1883" s="10" t="s">
        <v>8280</v>
      </c>
      <c r="B1883" s="49" t="str">
        <f t="shared" si="1"/>
        <v>Medicaid fraud</v>
      </c>
      <c r="C1883" s="49" t="str">
        <f t="shared" si="2"/>
        <v>Medicaid fraud; Make any claim for payment for any goods, service, item, facility, or accommodation, not medically necessary; When death results from such act</v>
      </c>
      <c r="D1883" s="49" t="str">
        <f t="shared" si="3"/>
        <v>21-5927(a)(1)(F)</v>
      </c>
      <c r="E1883" s="11" t="s">
        <v>133</v>
      </c>
      <c r="F1883" s="11">
        <v>3.0</v>
      </c>
      <c r="G1883" s="11">
        <v>3.0</v>
      </c>
      <c r="H1883" s="11">
        <v>3.0</v>
      </c>
      <c r="I1883" s="11">
        <v>3.0</v>
      </c>
    </row>
    <row r="1884">
      <c r="A1884" s="10" t="s">
        <v>8281</v>
      </c>
      <c r="B1884" s="49" t="str">
        <f t="shared" si="1"/>
        <v>Medicaid fraud</v>
      </c>
      <c r="C1884" s="49" t="str">
        <f t="shared" si="2"/>
        <v>Medicaid fraud; Make any claim for payment for any goods, service, item, facility, or accommodation, not medically necessary; When great bodily harm results from such act</v>
      </c>
      <c r="D1884" s="49" t="str">
        <f t="shared" si="3"/>
        <v>21-5927(a)(1)(F)</v>
      </c>
      <c r="E1884" s="11" t="s">
        <v>133</v>
      </c>
      <c r="F1884" s="11">
        <v>3.0</v>
      </c>
      <c r="G1884" s="11">
        <v>3.0</v>
      </c>
      <c r="H1884" s="11">
        <v>3.0</v>
      </c>
      <c r="I1884" s="11">
        <v>3.0</v>
      </c>
    </row>
    <row r="1885">
      <c r="A1885" s="10" t="s">
        <v>8282</v>
      </c>
      <c r="B1885" s="49" t="str">
        <f t="shared" si="1"/>
        <v>Medicaid fraud</v>
      </c>
      <c r="C1885" s="49" t="str">
        <f t="shared" si="2"/>
        <v>Medicaid fraud; Make any claim for payment, for any goods, service, item, facility, or accommodation, not medically necessary; Aggregate payments claimed at least $25,000 but less than $100,000</v>
      </c>
      <c r="D1885" s="49" t="str">
        <f t="shared" si="3"/>
        <v>21-5927(a)(1)(F)</v>
      </c>
      <c r="E1885" s="11" t="s">
        <v>133</v>
      </c>
      <c r="F1885" s="11">
        <v>3.0</v>
      </c>
      <c r="G1885" s="11">
        <v>3.0</v>
      </c>
      <c r="H1885" s="11">
        <v>3.0</v>
      </c>
      <c r="I1885" s="11">
        <v>3.0</v>
      </c>
    </row>
    <row r="1886">
      <c r="A1886" s="10" t="s">
        <v>8283</v>
      </c>
      <c r="B1886" s="49" t="str">
        <f t="shared" si="1"/>
        <v>Medicaid fraud</v>
      </c>
      <c r="C1886" s="49" t="str">
        <f t="shared" si="2"/>
        <v>Medicaid fraud; Make any false or fraudulent report or filing used in computing or determining a rate of payment for any goods, service, item, facility or accommodation; Aggregate payments claimed at least $25,000 but less than $100,000</v>
      </c>
      <c r="D1886" s="49" t="str">
        <f t="shared" si="3"/>
        <v>21-5927(a)(1)(C)</v>
      </c>
      <c r="E1886" s="11" t="s">
        <v>133</v>
      </c>
      <c r="F1886" s="11">
        <v>3.0</v>
      </c>
      <c r="G1886" s="11">
        <v>3.0</v>
      </c>
      <c r="H1886" s="11">
        <v>3.0</v>
      </c>
      <c r="I1886" s="11">
        <v>3.0</v>
      </c>
    </row>
    <row r="1887">
      <c r="A1887" s="10" t="s">
        <v>8284</v>
      </c>
      <c r="B1887" s="49" t="str">
        <f t="shared" si="1"/>
        <v>Medicaid fraud</v>
      </c>
      <c r="C1887" s="49" t="str">
        <f t="shared" si="2"/>
        <v>Medicaid fraud; Make any false or fraudulent report or filing used in computing or determining a rate of payment; Aggregate payments claimed $250,000 or more</v>
      </c>
      <c r="D1887" s="49" t="str">
        <f t="shared" si="3"/>
        <v>21-5927(a)(1)(C)</v>
      </c>
      <c r="E1887" s="11" t="s">
        <v>133</v>
      </c>
      <c r="F1887" s="11">
        <v>3.0</v>
      </c>
      <c r="G1887" s="11">
        <v>3.0</v>
      </c>
      <c r="H1887" s="11">
        <v>3.0</v>
      </c>
      <c r="I1887" s="11">
        <v>3.0</v>
      </c>
    </row>
    <row r="1888">
      <c r="A1888" s="10" t="s">
        <v>8285</v>
      </c>
      <c r="B1888" s="49" t="str">
        <f t="shared" si="1"/>
        <v>Medicaid fraud</v>
      </c>
      <c r="C1888" s="49" t="str">
        <f t="shared" si="2"/>
        <v>Medicaid fraud; Make any false or fraudulent report or filing used in computing or determining a rate of payment; Aggregate payments claimed at least $1,000 but less than $25,000</v>
      </c>
      <c r="D1888" s="49" t="str">
        <f t="shared" si="3"/>
        <v>21-5927(a)(1)(C)</v>
      </c>
      <c r="E1888" s="11" t="s">
        <v>133</v>
      </c>
      <c r="F1888" s="11">
        <v>3.0</v>
      </c>
      <c r="G1888" s="11">
        <v>3.0</v>
      </c>
      <c r="H1888" s="11">
        <v>3.0</v>
      </c>
      <c r="I1888" s="11">
        <v>3.0</v>
      </c>
    </row>
    <row r="1889">
      <c r="A1889" s="10" t="s">
        <v>8286</v>
      </c>
      <c r="B1889" s="49" t="str">
        <f t="shared" si="1"/>
        <v>Medicaid fraud</v>
      </c>
      <c r="C1889" s="49" t="str">
        <f t="shared" si="2"/>
        <v>Medicaid fraud; Make any false or fraudulent report or filing used in computing or determining a rate of payment; Aggregate payments claimed at least $100,000 but less than $250,000</v>
      </c>
      <c r="D1889" s="49" t="str">
        <f t="shared" si="3"/>
        <v>21-5927(a)(1)(C)</v>
      </c>
      <c r="E1889" s="11" t="s">
        <v>133</v>
      </c>
      <c r="F1889" s="11">
        <v>3.0</v>
      </c>
      <c r="G1889" s="11">
        <v>3.0</v>
      </c>
      <c r="H1889" s="11">
        <v>3.0</v>
      </c>
      <c r="I1889" s="11">
        <v>3.0</v>
      </c>
    </row>
    <row r="1890">
      <c r="A1890" s="10" t="s">
        <v>8287</v>
      </c>
      <c r="B1890" s="49" t="str">
        <f t="shared" si="1"/>
        <v>Medicaid fraud</v>
      </c>
      <c r="C1890" s="49" t="str">
        <f t="shared" si="2"/>
        <v>Medicaid fraud; Make any false or fraudulent report or filing used in computing or determining a rate of payment; Aggregate payments claimed less than $1,000</v>
      </c>
      <c r="D1890" s="49" t="str">
        <f t="shared" si="3"/>
        <v>21-5927(a)(1)(C)</v>
      </c>
      <c r="E1890" s="11" t="s">
        <v>133</v>
      </c>
      <c r="F1890" s="11">
        <v>3.0</v>
      </c>
      <c r="G1890" s="11">
        <v>3.0</v>
      </c>
      <c r="H1890" s="11">
        <v>3.0</v>
      </c>
      <c r="I1890" s="11">
        <v>3.0</v>
      </c>
    </row>
    <row r="1891">
      <c r="A1891" s="10" t="s">
        <v>8288</v>
      </c>
      <c r="B1891" s="49" t="str">
        <f t="shared" si="1"/>
        <v>Medicaid fraud</v>
      </c>
      <c r="C1891" s="49" t="str">
        <f t="shared" si="2"/>
        <v>Medicaid fraud; Make any false or fraudulent report or filing used in computing or determining a rate of payment; When death results from such act</v>
      </c>
      <c r="D1891" s="49" t="str">
        <f t="shared" si="3"/>
        <v>21-5927(a)(1)(C)</v>
      </c>
      <c r="E1891" s="11" t="s">
        <v>133</v>
      </c>
      <c r="F1891" s="11">
        <v>3.0</v>
      </c>
      <c r="G1891" s="11">
        <v>3.0</v>
      </c>
      <c r="H1891" s="11">
        <v>3.0</v>
      </c>
      <c r="I1891" s="11">
        <v>3.0</v>
      </c>
    </row>
    <row r="1892">
      <c r="A1892" s="10" t="s">
        <v>8289</v>
      </c>
      <c r="B1892" s="49" t="str">
        <f t="shared" si="1"/>
        <v>Medicaid fraud</v>
      </c>
      <c r="C1892" s="49" t="str">
        <f t="shared" si="2"/>
        <v>Medicaid fraud; Make any false or fraudulent report or filing used in computing or determining a rate of payment; When great bodily harm results from such act</v>
      </c>
      <c r="D1892" s="49" t="str">
        <f t="shared" si="3"/>
        <v>21-5927(a)(1)(C)</v>
      </c>
      <c r="E1892" s="11" t="s">
        <v>133</v>
      </c>
      <c r="F1892" s="11">
        <v>3.0</v>
      </c>
      <c r="G1892" s="11">
        <v>3.0</v>
      </c>
      <c r="H1892" s="11">
        <v>3.0</v>
      </c>
      <c r="I1892" s="11">
        <v>3.0</v>
      </c>
    </row>
    <row r="1893">
      <c r="A1893" s="10" t="s">
        <v>8290</v>
      </c>
      <c r="B1893" s="49" t="str">
        <f t="shared" si="1"/>
        <v>Medicaid fraud</v>
      </c>
      <c r="C1893" s="49" t="str">
        <f t="shared" si="2"/>
        <v>Medicaid fraud; Make any false or fraudulent statement/representation for use in determining payments;  Aggregate payments claimed at least $1,000 but less than $25,000</v>
      </c>
      <c r="D1893" s="49" t="str">
        <f t="shared" si="3"/>
        <v>21-5927(a)(1)(B)</v>
      </c>
      <c r="E1893" s="11" t="s">
        <v>133</v>
      </c>
      <c r="F1893" s="11">
        <v>3.0</v>
      </c>
      <c r="G1893" s="11">
        <v>3.0</v>
      </c>
      <c r="H1893" s="11">
        <v>3.0</v>
      </c>
      <c r="I1893" s="11">
        <v>3.0</v>
      </c>
    </row>
    <row r="1894">
      <c r="A1894" s="10" t="s">
        <v>8291</v>
      </c>
      <c r="B1894" s="49" t="str">
        <f t="shared" si="1"/>
        <v>Medicaid fraud</v>
      </c>
      <c r="C1894" s="49" t="str">
        <f t="shared" si="2"/>
        <v>Medicaid fraud; Make any false or fraudulent statement/representation for use in determining payments;  Aggregate payments claimed less than $1,000</v>
      </c>
      <c r="D1894" s="49" t="str">
        <f t="shared" si="3"/>
        <v>21-5927(a)(1)(B)</v>
      </c>
      <c r="E1894" s="11" t="s">
        <v>133</v>
      </c>
      <c r="F1894" s="11">
        <v>3.0</v>
      </c>
      <c r="G1894" s="11">
        <v>3.0</v>
      </c>
      <c r="H1894" s="11">
        <v>3.0</v>
      </c>
      <c r="I1894" s="11">
        <v>3.0</v>
      </c>
    </row>
    <row r="1895">
      <c r="A1895" s="10" t="s">
        <v>8292</v>
      </c>
      <c r="B1895" s="49" t="str">
        <f t="shared" si="1"/>
        <v>Medicaid fraud</v>
      </c>
      <c r="C1895" s="49" t="str">
        <f t="shared" si="2"/>
        <v>Medicaid fraud; Make any false or fraudulent statement/representation for use in determining payments;  When death results from such act</v>
      </c>
      <c r="D1895" s="49" t="str">
        <f t="shared" si="3"/>
        <v>21-5927(a)(1)(B)</v>
      </c>
      <c r="E1895" s="11" t="s">
        <v>133</v>
      </c>
      <c r="F1895" s="11">
        <v>3.0</v>
      </c>
      <c r="G1895" s="11">
        <v>3.0</v>
      </c>
      <c r="H1895" s="11">
        <v>3.0</v>
      </c>
      <c r="I1895" s="11">
        <v>3.0</v>
      </c>
    </row>
    <row r="1896">
      <c r="A1896" s="10" t="s">
        <v>8293</v>
      </c>
      <c r="B1896" s="49" t="str">
        <f t="shared" si="1"/>
        <v>Medicaid fraud</v>
      </c>
      <c r="C1896" s="49" t="str">
        <f t="shared" si="2"/>
        <v>Medicaid fraud; Make any false or fraudulent statement/representation for use in determining payments;  When great bodily harm results from such act</v>
      </c>
      <c r="D1896" s="49" t="str">
        <f t="shared" si="3"/>
        <v>21-5927(a)(1)(B)</v>
      </c>
      <c r="E1896" s="11" t="s">
        <v>133</v>
      </c>
      <c r="F1896" s="11">
        <v>3.0</v>
      </c>
      <c r="G1896" s="11">
        <v>3.0</v>
      </c>
      <c r="H1896" s="11">
        <v>3.0</v>
      </c>
      <c r="I1896" s="11">
        <v>3.0</v>
      </c>
    </row>
    <row r="1897">
      <c r="A1897" s="10" t="s">
        <v>8294</v>
      </c>
      <c r="B1897" s="49" t="str">
        <f t="shared" si="1"/>
        <v>Medicaid fraud</v>
      </c>
      <c r="C1897" s="49" t="str">
        <f t="shared" si="2"/>
        <v>Medicaid fraud; Make any false or fraudulent statement/representation for use in determining payments; Aggregate payments claimed $250,000 or more</v>
      </c>
      <c r="D1897" s="49" t="str">
        <f t="shared" si="3"/>
        <v>21-5927(a)(1)(B)</v>
      </c>
      <c r="E1897" s="11" t="s">
        <v>133</v>
      </c>
      <c r="F1897" s="11">
        <v>3.0</v>
      </c>
      <c r="G1897" s="11">
        <v>3.0</v>
      </c>
      <c r="H1897" s="11">
        <v>3.0</v>
      </c>
      <c r="I1897" s="11">
        <v>3.0</v>
      </c>
    </row>
    <row r="1898">
      <c r="A1898" s="10" t="s">
        <v>8295</v>
      </c>
      <c r="B1898" s="49" t="str">
        <f t="shared" si="1"/>
        <v>Medicaid fraud</v>
      </c>
      <c r="C1898" s="49" t="str">
        <f t="shared" si="2"/>
        <v>Medicaid fraud; Make any false or fraudulent statement/representation for use in determining payments; Aggregate payments claimed at least $100,000 but less than $250,000</v>
      </c>
      <c r="D1898" s="49" t="str">
        <f t="shared" si="3"/>
        <v>21-5927(a)(1)(B)</v>
      </c>
      <c r="E1898" s="11" t="s">
        <v>133</v>
      </c>
      <c r="F1898" s="11">
        <v>3.0</v>
      </c>
      <c r="G1898" s="11">
        <v>3.0</v>
      </c>
      <c r="H1898" s="11">
        <v>3.0</v>
      </c>
      <c r="I1898" s="11">
        <v>3.0</v>
      </c>
    </row>
    <row r="1899">
      <c r="A1899" s="10" t="s">
        <v>8296</v>
      </c>
      <c r="B1899" s="49" t="str">
        <f t="shared" si="1"/>
        <v>Medicaid fraud</v>
      </c>
      <c r="C1899" s="49" t="str">
        <f t="shared" si="2"/>
        <v>Medicaid fraud; Make any false or fraudulent statement/representation for use in determining payments; Aggregate payments claimed at least $25,000 but less than $100,000</v>
      </c>
      <c r="D1899" s="49" t="str">
        <f t="shared" si="3"/>
        <v>21-5927(a)(1)(B)</v>
      </c>
      <c r="E1899" s="11" t="s">
        <v>133</v>
      </c>
      <c r="F1899" s="11">
        <v>3.0</v>
      </c>
      <c r="G1899" s="11">
        <v>3.0</v>
      </c>
      <c r="H1899" s="11">
        <v>3.0</v>
      </c>
      <c r="I1899" s="11">
        <v>3.0</v>
      </c>
    </row>
    <row r="1900">
      <c r="A1900" s="10" t="s">
        <v>8297</v>
      </c>
      <c r="B1900" s="49" t="str">
        <f t="shared" si="1"/>
        <v>Medicaid fraud</v>
      </c>
      <c r="C1900" s="49" t="str">
        <f t="shared" si="2"/>
        <v>Medicaid fraud; Make any false or fraudulent statement/representation in connection with any report or filing used in computing or determining a rate of payment for any goods, service, item, facility or accommodation; Aggregate payments claimed at least $25,000 but less than $100,000</v>
      </c>
      <c r="D1900" s="49" t="str">
        <f t="shared" si="3"/>
        <v>21-5927(a)(1)(D)</v>
      </c>
      <c r="E1900" s="11" t="s">
        <v>133</v>
      </c>
      <c r="F1900" s="11">
        <v>3.0</v>
      </c>
      <c r="G1900" s="11">
        <v>3.0</v>
      </c>
      <c r="H1900" s="11">
        <v>3.0</v>
      </c>
      <c r="I1900" s="11">
        <v>3.0</v>
      </c>
    </row>
    <row r="1901">
      <c r="A1901" s="10" t="s">
        <v>8298</v>
      </c>
      <c r="B1901" s="49" t="str">
        <f t="shared" si="1"/>
        <v>Medicaid fraud</v>
      </c>
      <c r="C1901" s="49" t="str">
        <f t="shared" si="2"/>
        <v>Medicaid fraud; Make any false or fraudulent statement/representation in connection with any report or filing used in computing or determining a rate of payment;  Aggregate payments claimed at least $100,000 but less than $250,000</v>
      </c>
      <c r="D1901" s="49" t="str">
        <f t="shared" si="3"/>
        <v>21-5927(a)(1)(D)</v>
      </c>
      <c r="E1901" s="11" t="s">
        <v>133</v>
      </c>
      <c r="F1901" s="11">
        <v>3.0</v>
      </c>
      <c r="G1901" s="11">
        <v>3.0</v>
      </c>
      <c r="H1901" s="11">
        <v>3.0</v>
      </c>
      <c r="I1901" s="11">
        <v>3.0</v>
      </c>
    </row>
    <row r="1902">
      <c r="A1902" s="10" t="s">
        <v>8299</v>
      </c>
      <c r="B1902" s="49" t="str">
        <f t="shared" si="1"/>
        <v>Medicaid fraud</v>
      </c>
      <c r="C1902" s="49" t="str">
        <f t="shared" si="2"/>
        <v>Medicaid fraud; Make any false or fraudulent statement/representation in connection with any report or filing used in computing or determining a rate of payment; Aggregate payments claimed $250,000 or more</v>
      </c>
      <c r="D1902" s="49" t="str">
        <f t="shared" si="3"/>
        <v>21-5927(a)(1)(D)</v>
      </c>
      <c r="E1902" s="11" t="s">
        <v>133</v>
      </c>
      <c r="F1902" s="11">
        <v>3.0</v>
      </c>
      <c r="G1902" s="11">
        <v>3.0</v>
      </c>
      <c r="H1902" s="11">
        <v>3.0</v>
      </c>
      <c r="I1902" s="11">
        <v>3.0</v>
      </c>
    </row>
    <row r="1903">
      <c r="A1903" s="10" t="s">
        <v>8300</v>
      </c>
      <c r="B1903" s="49" t="str">
        <f t="shared" si="1"/>
        <v>Medicaid fraud</v>
      </c>
      <c r="C1903" s="49" t="str">
        <f t="shared" si="2"/>
        <v>Medicaid fraud; Make any false or fraudulent statement/representation in connection with any report or filing used in computing or determining a rate of payment; Aggregate payments claimed at least $1,000 but less than $25,000</v>
      </c>
      <c r="D1903" s="49" t="str">
        <f t="shared" si="3"/>
        <v>21-5927(a)(1)(D)</v>
      </c>
      <c r="E1903" s="11" t="s">
        <v>133</v>
      </c>
      <c r="F1903" s="11">
        <v>3.0</v>
      </c>
      <c r="G1903" s="11">
        <v>3.0</v>
      </c>
      <c r="H1903" s="11">
        <v>3.0</v>
      </c>
      <c r="I1903" s="11">
        <v>3.0</v>
      </c>
    </row>
    <row r="1904">
      <c r="A1904" s="10" t="s">
        <v>8301</v>
      </c>
      <c r="B1904" s="49" t="str">
        <f t="shared" si="1"/>
        <v>Medicaid fraud</v>
      </c>
      <c r="C1904" s="49" t="str">
        <f t="shared" si="2"/>
        <v>Medicaid fraud; Make any false or fraudulent statement/representation in connection with any report or filing used in computing or determining a rate of payment; Aggregate payments claimed less than $1,000</v>
      </c>
      <c r="D1904" s="49" t="str">
        <f t="shared" si="3"/>
        <v>21-5927(a)(1)(D)</v>
      </c>
      <c r="E1904" s="11" t="s">
        <v>133</v>
      </c>
      <c r="F1904" s="11">
        <v>3.0</v>
      </c>
      <c r="G1904" s="11">
        <v>3.0</v>
      </c>
      <c r="H1904" s="11">
        <v>3.0</v>
      </c>
      <c r="I1904" s="11">
        <v>3.0</v>
      </c>
    </row>
    <row r="1905">
      <c r="A1905" s="10" t="s">
        <v>8302</v>
      </c>
      <c r="B1905" s="49" t="str">
        <f t="shared" si="1"/>
        <v>Medicaid fraud</v>
      </c>
      <c r="C1905" s="49" t="str">
        <f t="shared" si="2"/>
        <v>Medicaid fraud; Make any false or fraudulent statement/representation in connection with any report or filing used in computing or determining a rate of payment; When death results from such act</v>
      </c>
      <c r="D1905" s="49" t="str">
        <f t="shared" si="3"/>
        <v>21-5927(a)(1)(D)</v>
      </c>
      <c r="E1905" s="11" t="s">
        <v>133</v>
      </c>
      <c r="F1905" s="11">
        <v>3.0</v>
      </c>
      <c r="G1905" s="11">
        <v>3.0</v>
      </c>
      <c r="H1905" s="11">
        <v>3.0</v>
      </c>
      <c r="I1905" s="11">
        <v>3.0</v>
      </c>
    </row>
    <row r="1906">
      <c r="A1906" s="10" t="s">
        <v>8303</v>
      </c>
      <c r="B1906" s="49" t="str">
        <f t="shared" si="1"/>
        <v>Medicaid fraud</v>
      </c>
      <c r="C1906" s="49" t="str">
        <f t="shared" si="2"/>
        <v>Medicaid fraud; Make any false or fraudulent statement/representation in connection with any report or filing used in computing or determining a rate of payment; When great bodily harm results from such act</v>
      </c>
      <c r="D1906" s="49" t="str">
        <f t="shared" si="3"/>
        <v>21-5927(a)(1)(D)</v>
      </c>
      <c r="E1906" s="11" t="s">
        <v>133</v>
      </c>
      <c r="F1906" s="11">
        <v>3.0</v>
      </c>
      <c r="G1906" s="11">
        <v>3.0</v>
      </c>
      <c r="H1906" s="11">
        <v>3.0</v>
      </c>
      <c r="I1906" s="11">
        <v>3.0</v>
      </c>
    </row>
    <row r="1907">
      <c r="A1907" s="10" t="s">
        <v>8304</v>
      </c>
      <c r="B1907" s="49" t="str">
        <f t="shared" si="1"/>
        <v>Medicaid fraud</v>
      </c>
      <c r="C1907" s="49" t="str">
        <f t="shared" si="2"/>
        <v>Medicaid fraud; Make any wholly or partially false or fraudulent book, record, document, data or instrument, which is required to be kept or kept as documentation;  Aggregate payments claimed at least $25,000 but less than $100,000</v>
      </c>
      <c r="D1907" s="49" t="str">
        <f t="shared" si="3"/>
        <v>21-5927(a)(1)(G)</v>
      </c>
      <c r="E1907" s="11" t="s">
        <v>133</v>
      </c>
      <c r="F1907" s="11">
        <v>3.0</v>
      </c>
      <c r="G1907" s="11">
        <v>3.0</v>
      </c>
      <c r="H1907" s="11">
        <v>3.0</v>
      </c>
      <c r="I1907" s="11">
        <v>3.0</v>
      </c>
    </row>
    <row r="1908">
      <c r="A1908" s="10" t="s">
        <v>8305</v>
      </c>
      <c r="B1908" s="49" t="str">
        <f t="shared" si="1"/>
        <v>Medicaid fraud</v>
      </c>
      <c r="C1908" s="49" t="str">
        <f t="shared" si="2"/>
        <v>Medicaid fraud; Make any wholly or partially false or fraudulent book, record, document, data or instrument, which is required to be kept or kept as documentation; Aggregate payments claimed $250,000 or more</v>
      </c>
      <c r="D1908" s="49" t="str">
        <f t="shared" si="3"/>
        <v>21-5927(a)(1)(G)</v>
      </c>
      <c r="E1908" s="11" t="s">
        <v>133</v>
      </c>
      <c r="F1908" s="11">
        <v>3.0</v>
      </c>
      <c r="G1908" s="11">
        <v>3.0</v>
      </c>
      <c r="H1908" s="11">
        <v>3.0</v>
      </c>
      <c r="I1908" s="11">
        <v>3.0</v>
      </c>
    </row>
    <row r="1909">
      <c r="A1909" s="10" t="s">
        <v>8306</v>
      </c>
      <c r="B1909" s="49" t="str">
        <f t="shared" si="1"/>
        <v>Medicaid fraud</v>
      </c>
      <c r="C1909" s="49" t="str">
        <f t="shared" si="2"/>
        <v>Medicaid fraud; Make any wholly or partially false or fraudulent book, record, document, data or instrument, which is required to be kept or kept as documentation; Aggregate payments claimed at least $1,000 but less than $25,000</v>
      </c>
      <c r="D1909" s="49" t="str">
        <f t="shared" si="3"/>
        <v>21-5927(a)(1)(G)</v>
      </c>
      <c r="E1909" s="11" t="s">
        <v>133</v>
      </c>
      <c r="F1909" s="11">
        <v>3.0</v>
      </c>
      <c r="G1909" s="11">
        <v>3.0</v>
      </c>
      <c r="H1909" s="11">
        <v>3.0</v>
      </c>
      <c r="I1909" s="11">
        <v>3.0</v>
      </c>
    </row>
    <row r="1910">
      <c r="A1910" s="10" t="s">
        <v>8307</v>
      </c>
      <c r="B1910" s="49" t="str">
        <f t="shared" si="1"/>
        <v>Medicaid fraud</v>
      </c>
      <c r="C1910" s="49" t="str">
        <f t="shared" si="2"/>
        <v>Medicaid fraud; Make any wholly or partially false or fraudulent book, record, document, data or instrument, which is required to be kept or kept as documentation; Aggregate payments claimed at least $100,000 but less than $250,000</v>
      </c>
      <c r="D1910" s="49" t="str">
        <f t="shared" si="3"/>
        <v>21-5927(a)(1)(G)</v>
      </c>
      <c r="E1910" s="11" t="s">
        <v>133</v>
      </c>
      <c r="F1910" s="11">
        <v>3.0</v>
      </c>
      <c r="G1910" s="11">
        <v>3.0</v>
      </c>
      <c r="H1910" s="11">
        <v>3.0</v>
      </c>
      <c r="I1910" s="11">
        <v>3.0</v>
      </c>
    </row>
    <row r="1911">
      <c r="A1911" s="10" t="s">
        <v>8308</v>
      </c>
      <c r="B1911" s="49" t="str">
        <f t="shared" si="1"/>
        <v>Medicaid fraud</v>
      </c>
      <c r="C1911" s="49" t="str">
        <f t="shared" si="2"/>
        <v>Medicaid fraud; Make any wholly or partially false or fraudulent book, record, document, data or instrument, which is required to be kept or kept as documentation; Aggregate payments claimed less than $1,000</v>
      </c>
      <c r="D1911" s="49" t="str">
        <f t="shared" si="3"/>
        <v>21-5927(a)(1)(G)</v>
      </c>
      <c r="E1911" s="11" t="s">
        <v>133</v>
      </c>
      <c r="F1911" s="11">
        <v>3.0</v>
      </c>
      <c r="G1911" s="11">
        <v>3.0</v>
      </c>
      <c r="H1911" s="11">
        <v>3.0</v>
      </c>
      <c r="I1911" s="11">
        <v>3.0</v>
      </c>
    </row>
    <row r="1912">
      <c r="A1912" s="10" t="s">
        <v>8309</v>
      </c>
      <c r="B1912" s="49" t="str">
        <f t="shared" si="1"/>
        <v>Medicaid fraud</v>
      </c>
      <c r="C1912" s="49" t="str">
        <f t="shared" si="2"/>
        <v>Medicaid fraud; Make any wholly or partially false or fraudulent book, record, document, data or instrument, which is required to be kept or kept as documentation; When death results from such act</v>
      </c>
      <c r="D1912" s="49" t="str">
        <f t="shared" si="3"/>
        <v>21-5927(a)(1)(G)</v>
      </c>
      <c r="E1912" s="11" t="s">
        <v>133</v>
      </c>
      <c r="F1912" s="11">
        <v>3.0</v>
      </c>
      <c r="G1912" s="11">
        <v>3.0</v>
      </c>
      <c r="H1912" s="11">
        <v>3.0</v>
      </c>
      <c r="I1912" s="11">
        <v>3.0</v>
      </c>
    </row>
    <row r="1913">
      <c r="A1913" s="10" t="s">
        <v>8310</v>
      </c>
      <c r="B1913" s="49" t="str">
        <f t="shared" si="1"/>
        <v>Medicaid fraud</v>
      </c>
      <c r="C1913" s="49" t="str">
        <f t="shared" si="2"/>
        <v>Medicaid fraud; Make any wholly or partially false or fraudulent book, record, document, data or instrument, which is required to be kept or kept as documentation; When great bodily harm results from such act</v>
      </c>
      <c r="D1913" s="49" t="str">
        <f t="shared" si="3"/>
        <v>21-5927(a)(1)(G)</v>
      </c>
      <c r="E1913" s="11" t="s">
        <v>133</v>
      </c>
      <c r="F1913" s="11">
        <v>3.0</v>
      </c>
      <c r="G1913" s="11">
        <v>3.0</v>
      </c>
      <c r="H1913" s="11">
        <v>3.0</v>
      </c>
      <c r="I1913" s="11">
        <v>3.0</v>
      </c>
    </row>
    <row r="1914">
      <c r="A1914" s="10" t="s">
        <v>8311</v>
      </c>
      <c r="B1914" s="49" t="str">
        <f t="shared" si="1"/>
        <v>Medicaid fraud</v>
      </c>
      <c r="C1914" s="49" t="str">
        <f t="shared" si="2"/>
        <v>Medicaid fraud; Make false or fraudulent claim for payment for any goods, service, item, facility, or accommodation; Aggregate payments claimed $250,000 or more</v>
      </c>
      <c r="D1914" s="49" t="str">
        <f t="shared" si="3"/>
        <v>21-5927(a)(1)(A)</v>
      </c>
      <c r="E1914" s="11" t="s">
        <v>133</v>
      </c>
      <c r="F1914" s="11">
        <v>3.0</v>
      </c>
      <c r="G1914" s="11">
        <v>3.0</v>
      </c>
      <c r="H1914" s="11">
        <v>3.0</v>
      </c>
      <c r="I1914" s="11">
        <v>3.0</v>
      </c>
    </row>
    <row r="1915">
      <c r="A1915" s="10" t="s">
        <v>8312</v>
      </c>
      <c r="B1915" s="49" t="str">
        <f t="shared" si="1"/>
        <v>Medicaid fraud</v>
      </c>
      <c r="C1915" s="49" t="str">
        <f t="shared" si="2"/>
        <v>Medicaid fraud; Make false or fraudulent claim for payment for any goods, service, item, facility, or accommodation; Aggregate payments claimed at least $1,000 but less than $25,000</v>
      </c>
      <c r="D1915" s="49" t="str">
        <f t="shared" si="3"/>
        <v>21-5927(a)(1)(A)</v>
      </c>
      <c r="E1915" s="11" t="s">
        <v>133</v>
      </c>
      <c r="F1915" s="11">
        <v>3.0</v>
      </c>
      <c r="G1915" s="11">
        <v>3.0</v>
      </c>
      <c r="H1915" s="11">
        <v>3.0</v>
      </c>
      <c r="I1915" s="11">
        <v>3.0</v>
      </c>
    </row>
    <row r="1916">
      <c r="A1916" s="10" t="s">
        <v>8313</v>
      </c>
      <c r="B1916" s="49" t="str">
        <f t="shared" si="1"/>
        <v>Medicaid fraud</v>
      </c>
      <c r="C1916" s="49" t="str">
        <f t="shared" si="2"/>
        <v>Medicaid fraud; Make false or fraudulent claim for payment for any goods, service, item, facility, or accommodation; Aggregate payments claimed at least $100,000 but less than $250,000</v>
      </c>
      <c r="D1916" s="49" t="str">
        <f t="shared" si="3"/>
        <v>21-5927(a)(1)(A)</v>
      </c>
      <c r="E1916" s="11" t="s">
        <v>133</v>
      </c>
      <c r="F1916" s="11">
        <v>3.0</v>
      </c>
      <c r="G1916" s="11">
        <v>3.0</v>
      </c>
      <c r="H1916" s="11">
        <v>3.0</v>
      </c>
      <c r="I1916" s="11">
        <v>3.0</v>
      </c>
    </row>
    <row r="1917">
      <c r="A1917" s="10" t="s">
        <v>8314</v>
      </c>
      <c r="B1917" s="49" t="str">
        <f t="shared" si="1"/>
        <v>Medicaid fraud</v>
      </c>
      <c r="C1917" s="49" t="str">
        <f t="shared" si="2"/>
        <v>Medicaid fraud; Make false or fraudulent claim for payment for any goods, service, item, facility, or accommodation; Aggregate payments claimed at least $25,000 but less than $100,000</v>
      </c>
      <c r="D1917" s="49" t="str">
        <f t="shared" si="3"/>
        <v>21-5927(a)(1)(A)</v>
      </c>
      <c r="E1917" s="11" t="s">
        <v>133</v>
      </c>
      <c r="F1917" s="11">
        <v>3.0</v>
      </c>
      <c r="G1917" s="11">
        <v>3.0</v>
      </c>
      <c r="H1917" s="11">
        <v>3.0</v>
      </c>
      <c r="I1917" s="11">
        <v>3.0</v>
      </c>
    </row>
    <row r="1918">
      <c r="A1918" s="10" t="s">
        <v>8315</v>
      </c>
      <c r="B1918" s="49" t="str">
        <f t="shared" si="1"/>
        <v>Medicaid fraud</v>
      </c>
      <c r="C1918" s="49" t="str">
        <f t="shared" si="2"/>
        <v>Medicaid fraud; Make false or fraudulent claim for payment for any goods, service, item, facility, or accommodation; Aggregate payments claimed less than $1,000</v>
      </c>
      <c r="D1918" s="49" t="str">
        <f t="shared" si="3"/>
        <v>21-5927(a)(1)(A)</v>
      </c>
      <c r="E1918" s="11" t="s">
        <v>133</v>
      </c>
      <c r="F1918" s="11">
        <v>3.0</v>
      </c>
      <c r="G1918" s="11">
        <v>3.0</v>
      </c>
      <c r="H1918" s="11">
        <v>3.0</v>
      </c>
      <c r="I1918" s="11">
        <v>3.0</v>
      </c>
    </row>
    <row r="1919">
      <c r="A1919" s="10" t="s">
        <v>8316</v>
      </c>
      <c r="B1919" s="49" t="str">
        <f t="shared" si="1"/>
        <v>Medicaid fraud</v>
      </c>
      <c r="C1919" s="49" t="str">
        <f t="shared" si="2"/>
        <v>Medicaid fraud; Make false or fraudulent claim for payment for any goods, service, item, facility, or accommodation; When death results from such act</v>
      </c>
      <c r="D1919" s="49" t="str">
        <f t="shared" si="3"/>
        <v>21-5927(a)(1)(A)</v>
      </c>
      <c r="E1919" s="11" t="s">
        <v>133</v>
      </c>
      <c r="F1919" s="11">
        <v>3.0</v>
      </c>
      <c r="G1919" s="11">
        <v>3.0</v>
      </c>
      <c r="H1919" s="11">
        <v>3.0</v>
      </c>
      <c r="I1919" s="11">
        <v>3.0</v>
      </c>
    </row>
    <row r="1920">
      <c r="A1920" s="10" t="s">
        <v>8317</v>
      </c>
      <c r="B1920" s="49" t="str">
        <f t="shared" si="1"/>
        <v>Medicaid fraud</v>
      </c>
      <c r="C1920" s="49" t="str">
        <f t="shared" si="2"/>
        <v>Medicaid fraud; Make false or fraudulent claim for payment for any goods, service, item, facility, or accommodation; When great bodily harm results from such act</v>
      </c>
      <c r="D1920" s="49" t="str">
        <f t="shared" si="3"/>
        <v>21-5927(a)(1)(A)</v>
      </c>
      <c r="E1920" s="11" t="s">
        <v>133</v>
      </c>
      <c r="F1920" s="11">
        <v>3.0</v>
      </c>
      <c r="G1920" s="11">
        <v>3.0</v>
      </c>
      <c r="H1920" s="11">
        <v>3.0</v>
      </c>
      <c r="I1920" s="11">
        <v>3.0</v>
      </c>
    </row>
    <row r="1921">
      <c r="A1921" s="10" t="s">
        <v>8318</v>
      </c>
      <c r="B1921" s="49" t="str">
        <f t="shared" si="1"/>
        <v>Medicaid fraud</v>
      </c>
      <c r="C1921" s="49" t="str">
        <f t="shared" si="2"/>
        <v>Medicaid fraud; Submit false or fraudulent book, record, document, data or instrument to a LEO, attorney general, or to the department of SRS, in connection with any audit or investigation</v>
      </c>
      <c r="D1921" s="49" t="str">
        <f t="shared" si="3"/>
        <v>21-5927(a)(1)(H)</v>
      </c>
      <c r="E1921" s="11" t="s">
        <v>133</v>
      </c>
      <c r="F1921" s="11">
        <v>3.0</v>
      </c>
      <c r="G1921" s="11">
        <v>3.0</v>
      </c>
      <c r="H1921" s="11">
        <v>3.0</v>
      </c>
      <c r="I1921" s="11">
        <v>3.0</v>
      </c>
    </row>
    <row r="1922">
      <c r="A1922" s="10" t="s">
        <v>8319</v>
      </c>
      <c r="B1922" s="49" t="str">
        <f t="shared" si="1"/>
        <v>Medicaid</v>
      </c>
      <c r="C1922" s="49" t="str">
        <f t="shared" si="2"/>
        <v>Medicaid; Intentional destruction or concealment of records</v>
      </c>
      <c r="D1922" s="49" t="str">
        <f t="shared" si="3"/>
        <v>21-5931(a)</v>
      </c>
      <c r="E1922" s="11" t="s">
        <v>133</v>
      </c>
      <c r="F1922" s="11">
        <v>3.0</v>
      </c>
      <c r="G1922" s="11">
        <v>3.0</v>
      </c>
      <c r="H1922" s="11">
        <v>3.0</v>
      </c>
      <c r="I1922" s="11">
        <v>3.0</v>
      </c>
    </row>
    <row r="1923">
      <c r="A1923" s="10" t="s">
        <v>8320</v>
      </c>
      <c r="B1923" s="49" t="str">
        <f t="shared" si="1"/>
        <v>Mental Health Tech</v>
      </c>
      <c r="C1923" s="49" t="str">
        <f t="shared" si="2"/>
        <v>Mental Health Tech; 2nd or subs. violation of any provisions of the mental health technician's licensure act</v>
      </c>
      <c r="D1923" s="49" t="str">
        <f t="shared" si="3"/>
        <v>65-4214(a)(5)</v>
      </c>
      <c r="E1923" s="11" t="s">
        <v>133</v>
      </c>
      <c r="F1923" s="11">
        <v>3.0</v>
      </c>
      <c r="G1923" s="11">
        <v>3.0</v>
      </c>
      <c r="H1923" s="11">
        <v>3.0</v>
      </c>
      <c r="I1923" s="11">
        <v>3.0</v>
      </c>
    </row>
    <row r="1924">
      <c r="A1924" s="10" t="s">
        <v>8321</v>
      </c>
      <c r="B1924" s="49" t="str">
        <f t="shared" si="1"/>
        <v>Mental Health Tech</v>
      </c>
      <c r="C1924" s="49" t="str">
        <f t="shared" si="2"/>
        <v>Mental Health Tech; Fraudulently obtain, sell, transfer, or furnish any mental health technician diploma, license, renewal of license or record, or aid or abet another; 1st violation</v>
      </c>
      <c r="D1924" s="49" t="str">
        <f t="shared" si="3"/>
        <v>65-4214(a)(1)</v>
      </c>
      <c r="E1924" s="11" t="s">
        <v>133</v>
      </c>
      <c r="F1924" s="11">
        <v>3.0</v>
      </c>
      <c r="G1924" s="11">
        <v>3.0</v>
      </c>
      <c r="H1924" s="11">
        <v>3.0</v>
      </c>
      <c r="I1924" s="11">
        <v>3.0</v>
      </c>
    </row>
    <row r="1925">
      <c r="A1925" s="10" t="s">
        <v>8322</v>
      </c>
      <c r="B1925" s="49" t="str">
        <f t="shared" si="1"/>
        <v>Mental Health Tech</v>
      </c>
      <c r="C1925" s="49" t="str">
        <f t="shared" si="2"/>
        <v>Mental Health Tech; Fraudulently obtain, sell, transfer, or furnish any mental health technician diploma, license, renewal of license or record, or aid or abet another; 2nd or subs. violation</v>
      </c>
      <c r="D1925" s="49" t="str">
        <f t="shared" si="3"/>
        <v>65-4214(a)(1)</v>
      </c>
      <c r="E1925" s="11" t="s">
        <v>133</v>
      </c>
      <c r="F1925" s="11">
        <v>3.0</v>
      </c>
      <c r="G1925" s="11">
        <v>3.0</v>
      </c>
      <c r="H1925" s="11">
        <v>3.0</v>
      </c>
      <c r="I1925" s="11">
        <v>3.0</v>
      </c>
    </row>
    <row r="1926">
      <c r="A1926" s="10" t="s">
        <v>8323</v>
      </c>
      <c r="B1926" s="49" t="str">
        <f t="shared" si="1"/>
        <v>Mental Health Tech</v>
      </c>
      <c r="C1926" s="49" t="str">
        <f t="shared" si="2"/>
        <v>Mental Health Tech; Practice as a mental health technician while license is suspended or revoked; 1st violation</v>
      </c>
      <c r="D1926" s="49" t="str">
        <f t="shared" si="3"/>
        <v>65-4214(a)(4)</v>
      </c>
      <c r="E1926" s="11" t="s">
        <v>133</v>
      </c>
      <c r="F1926" s="11">
        <v>3.0</v>
      </c>
      <c r="G1926" s="11">
        <v>3.0</v>
      </c>
      <c r="H1926" s="11">
        <v>3.0</v>
      </c>
      <c r="I1926" s="11">
        <v>3.0</v>
      </c>
    </row>
    <row r="1927">
      <c r="A1927" s="10" t="s">
        <v>8324</v>
      </c>
      <c r="B1927" s="49" t="str">
        <f t="shared" si="1"/>
        <v>Mental Health Tech</v>
      </c>
      <c r="C1927" s="49" t="str">
        <f t="shared" si="2"/>
        <v>Mental Health Tech; Practice as a mental health technician while license is suspended or revoked; 2nd or subs. violation</v>
      </c>
      <c r="D1927" s="49" t="str">
        <f t="shared" si="3"/>
        <v>65-4214(a)(4)</v>
      </c>
      <c r="E1927" s="11" t="s">
        <v>133</v>
      </c>
      <c r="F1927" s="11">
        <v>3.0</v>
      </c>
      <c r="G1927" s="11">
        <v>3.0</v>
      </c>
      <c r="H1927" s="11">
        <v>3.0</v>
      </c>
      <c r="I1927" s="11">
        <v>3.0</v>
      </c>
    </row>
    <row r="1928">
      <c r="A1928" s="10" t="s">
        <v>8325</v>
      </c>
      <c r="B1928" s="49" t="str">
        <f t="shared" si="1"/>
        <v>Mental Health Tech</v>
      </c>
      <c r="C1928" s="49" t="str">
        <f t="shared" si="2"/>
        <v>Mental Health Tech; Represent that a provider of continuing education is approved for educating mental health technicians, without such approval; 1st violation</v>
      </c>
      <c r="D1928" s="49" t="str">
        <f t="shared" si="3"/>
        <v>65-4214(a)(6)</v>
      </c>
      <c r="E1928" s="11" t="s">
        <v>133</v>
      </c>
      <c r="F1928" s="11">
        <v>3.0</v>
      </c>
      <c r="G1928" s="11">
        <v>3.0</v>
      </c>
      <c r="H1928" s="11">
        <v>3.0</v>
      </c>
      <c r="I1928" s="11">
        <v>3.0</v>
      </c>
    </row>
    <row r="1929">
      <c r="A1929" s="10" t="s">
        <v>8326</v>
      </c>
      <c r="B1929" s="49" t="str">
        <f t="shared" si="1"/>
        <v>Mental Health Tech</v>
      </c>
      <c r="C1929" s="49" t="str">
        <f t="shared" si="2"/>
        <v>Mental Health Tech; Represent that a provider of continuing education is approved for educating mental health technicians, without such approval; 2nd or subs. violation</v>
      </c>
      <c r="D1929" s="49" t="str">
        <f t="shared" si="3"/>
        <v>65-4214(a)(6)</v>
      </c>
      <c r="E1929" s="11" t="s">
        <v>133</v>
      </c>
      <c r="F1929" s="11">
        <v>3.0</v>
      </c>
      <c r="G1929" s="11">
        <v>3.0</v>
      </c>
      <c r="H1929" s="11">
        <v>3.0</v>
      </c>
      <c r="I1929" s="11">
        <v>3.0</v>
      </c>
    </row>
    <row r="1930">
      <c r="A1930" s="10" t="s">
        <v>8327</v>
      </c>
      <c r="B1930" s="49" t="str">
        <f t="shared" si="1"/>
        <v>Mental Health Tech</v>
      </c>
      <c r="C1930" s="49" t="str">
        <f t="shared" si="2"/>
        <v>Mental Health Tech; Represent, or hold oneself out as a mental health technician or practice as a mental health technician without having a license to so practice; 1st violation</v>
      </c>
      <c r="D1930" s="49" t="str">
        <f t="shared" si="3"/>
        <v>65-4214(a)(2)</v>
      </c>
      <c r="E1930" s="11" t="s">
        <v>133</v>
      </c>
      <c r="F1930" s="11">
        <v>3.0</v>
      </c>
      <c r="G1930" s="11">
        <v>3.0</v>
      </c>
      <c r="H1930" s="11">
        <v>3.0</v>
      </c>
      <c r="I1930" s="11">
        <v>3.0</v>
      </c>
    </row>
    <row r="1931">
      <c r="A1931" s="10" t="s">
        <v>8328</v>
      </c>
      <c r="B1931" s="49" t="str">
        <f t="shared" si="1"/>
        <v>Mental Health Tech</v>
      </c>
      <c r="C1931" s="49" t="str">
        <f t="shared" si="2"/>
        <v>Mental Health Tech; Represent, or hold oneself out as a mental health technician or practice as a mental health technician without having a license to so practice; 2nd or subs. violation</v>
      </c>
      <c r="D1931" s="49" t="str">
        <f t="shared" si="3"/>
        <v>65-4214(a)(2)</v>
      </c>
      <c r="E1931" s="11" t="s">
        <v>133</v>
      </c>
      <c r="F1931" s="11">
        <v>3.0</v>
      </c>
      <c r="G1931" s="11">
        <v>3.0</v>
      </c>
      <c r="H1931" s="11">
        <v>3.0</v>
      </c>
      <c r="I1931" s="11">
        <v>3.0</v>
      </c>
    </row>
    <row r="1932">
      <c r="A1932" s="10" t="s">
        <v>8329</v>
      </c>
      <c r="B1932" s="49" t="str">
        <f t="shared" si="1"/>
        <v>Mental Health Tech</v>
      </c>
      <c r="C1932" s="49" t="str">
        <f t="shared" si="2"/>
        <v>Mental Health Tech; Use in connection with one's name any designation intending to imply that such person is a licensed mental health technician without having such license; 1st violation</v>
      </c>
      <c r="D1932" s="49" t="str">
        <f t="shared" si="3"/>
        <v>65-4214(a)(3)</v>
      </c>
      <c r="E1932" s="11" t="s">
        <v>133</v>
      </c>
      <c r="F1932" s="11">
        <v>3.0</v>
      </c>
      <c r="G1932" s="11">
        <v>3.0</v>
      </c>
      <c r="H1932" s="11">
        <v>3.0</v>
      </c>
      <c r="I1932" s="11">
        <v>3.0</v>
      </c>
    </row>
    <row r="1933">
      <c r="A1933" s="10" t="s">
        <v>8330</v>
      </c>
      <c r="B1933" s="49" t="str">
        <f t="shared" si="1"/>
        <v>Mental Health Tech</v>
      </c>
      <c r="C1933" s="49" t="str">
        <f t="shared" si="2"/>
        <v>Mental Health Tech; Use in connection with one's name any designation intending to imply that such person is a licensed mental health technician without having such license; 2nd or subs. violation</v>
      </c>
      <c r="D1933" s="49" t="str">
        <f t="shared" si="3"/>
        <v>65-4214(a)(3)</v>
      </c>
      <c r="E1933" s="11" t="s">
        <v>133</v>
      </c>
      <c r="F1933" s="11">
        <v>3.0</v>
      </c>
      <c r="G1933" s="11">
        <v>3.0</v>
      </c>
      <c r="H1933" s="11">
        <v>3.0</v>
      </c>
      <c r="I1933" s="11">
        <v>3.0</v>
      </c>
    </row>
    <row r="1934">
      <c r="A1934" s="10" t="s">
        <v>8331</v>
      </c>
      <c r="B1934" s="49" t="str">
        <f t="shared" si="1"/>
        <v>Mental Health Tech</v>
      </c>
      <c r="C1934" s="49" t="str">
        <f t="shared" si="2"/>
        <v>Mental Health Tech; Violate any of the provisions of the mental health technician's licensure act; 1st violation</v>
      </c>
      <c r="D1934" s="49" t="str">
        <f t="shared" si="3"/>
        <v>65-4214(a)(5)</v>
      </c>
      <c r="E1934" s="11" t="s">
        <v>133</v>
      </c>
      <c r="F1934" s="11">
        <v>3.0</v>
      </c>
      <c r="G1934" s="11">
        <v>3.0</v>
      </c>
      <c r="H1934" s="11">
        <v>3.0</v>
      </c>
      <c r="I1934" s="11">
        <v>3.0</v>
      </c>
    </row>
    <row r="1935">
      <c r="A1935" s="10" t="s">
        <v>8332</v>
      </c>
      <c r="B1935" s="49" t="str">
        <f t="shared" si="1"/>
        <v>Mentally Ill, Incapacitated &amp; Dependent Persons</v>
      </c>
      <c r="C1935" s="49" t="str">
        <f t="shared" si="2"/>
        <v>Mentally Ill, Incapacitated &amp; Dependent Persons; Illegal disposition of assistance; Value $25,000 or more</v>
      </c>
      <c r="D1935" s="49" t="str">
        <f t="shared" si="3"/>
        <v>39-717(a)(1)</v>
      </c>
      <c r="E1935" s="11" t="s">
        <v>133</v>
      </c>
      <c r="F1935" s="11">
        <v>3.0</v>
      </c>
      <c r="G1935" s="11">
        <v>3.0</v>
      </c>
      <c r="H1935" s="11">
        <v>3.0</v>
      </c>
      <c r="I1935" s="11">
        <v>3.0</v>
      </c>
    </row>
    <row r="1936">
      <c r="A1936" s="10" t="s">
        <v>8333</v>
      </c>
      <c r="B1936" s="49" t="str">
        <f t="shared" si="1"/>
        <v>Mentally Ill, Incapacitated &amp; Dependent Persons</v>
      </c>
      <c r="C1936" s="49" t="str">
        <f t="shared" si="2"/>
        <v>Mentally Ill, Incapacitated &amp; Dependent Persons; Illegal disposition of assistance; value at least $1,000 but less than $25,000</v>
      </c>
      <c r="D1936" s="49" t="str">
        <f t="shared" si="3"/>
        <v>39-717(a)(1)</v>
      </c>
      <c r="E1936" s="11" t="s">
        <v>133</v>
      </c>
      <c r="F1936" s="11">
        <v>3.0</v>
      </c>
      <c r="G1936" s="11">
        <v>3.0</v>
      </c>
      <c r="H1936" s="11">
        <v>3.0</v>
      </c>
      <c r="I1936" s="11">
        <v>3.0</v>
      </c>
    </row>
    <row r="1937">
      <c r="A1937" s="10" t="s">
        <v>8334</v>
      </c>
      <c r="B1937" s="49" t="str">
        <f t="shared" si="1"/>
        <v>Mentally Ill, Incapacitated &amp; Dependent Persons</v>
      </c>
      <c r="C1937" s="49" t="str">
        <f t="shared" si="2"/>
        <v>Mentally Ill, Incapacitated &amp; Dependent Persons; Illegal disposition of assistance; value less than $1,000</v>
      </c>
      <c r="D1937" s="49" t="str">
        <f t="shared" si="3"/>
        <v>39-717(a)(1)</v>
      </c>
      <c r="E1937" s="11" t="s">
        <v>133</v>
      </c>
      <c r="F1937" s="11">
        <v>3.0</v>
      </c>
      <c r="G1937" s="11">
        <v>3.0</v>
      </c>
      <c r="H1937" s="11">
        <v>3.0</v>
      </c>
      <c r="I1937" s="11">
        <v>3.0</v>
      </c>
    </row>
    <row r="1938">
      <c r="A1938" s="10" t="s">
        <v>8335</v>
      </c>
      <c r="B1938" s="49" t="str">
        <f t="shared" si="1"/>
        <v>Mentally Ill, Incapacitated &amp; Dependent Persons</v>
      </c>
      <c r="C1938" s="49" t="str">
        <f t="shared" si="2"/>
        <v>Mentally Ill, Incapacitated &amp; Dependent Persons; Illegal purchase, acquisition or possession of assistance; value $25,000 or more</v>
      </c>
      <c r="D1938" s="49" t="str">
        <f t="shared" si="3"/>
        <v>39-717(a)(2)</v>
      </c>
      <c r="E1938" s="11" t="s">
        <v>133</v>
      </c>
      <c r="F1938" s="11">
        <v>3.0</v>
      </c>
      <c r="G1938" s="11">
        <v>3.0</v>
      </c>
      <c r="H1938" s="11">
        <v>3.0</v>
      </c>
      <c r="I1938" s="11">
        <v>3.0</v>
      </c>
    </row>
    <row r="1939">
      <c r="A1939" s="10" t="s">
        <v>8336</v>
      </c>
      <c r="B1939" s="49" t="str">
        <f t="shared" si="1"/>
        <v>Mentally Ill, Incapacitated &amp; Dependent Persons</v>
      </c>
      <c r="C1939" s="49" t="str">
        <f t="shared" si="2"/>
        <v>Mentally Ill, Incapacitated &amp; Dependent Persons; Illegal purchase, acquisition or possession of assistance; value at least $1,000 but less than $25,000</v>
      </c>
      <c r="D1939" s="49" t="str">
        <f t="shared" si="3"/>
        <v>39-717(a)(2)</v>
      </c>
      <c r="E1939" s="11" t="s">
        <v>133</v>
      </c>
      <c r="F1939" s="11">
        <v>3.0</v>
      </c>
      <c r="G1939" s="11">
        <v>3.0</v>
      </c>
      <c r="H1939" s="11">
        <v>3.0</v>
      </c>
      <c r="I1939" s="11">
        <v>3.0</v>
      </c>
    </row>
    <row r="1940">
      <c r="A1940" s="10" t="s">
        <v>8337</v>
      </c>
      <c r="B1940" s="49" t="str">
        <f t="shared" si="1"/>
        <v>Mentally Ill, Incapacitated &amp; Dependent Persons</v>
      </c>
      <c r="C1940" s="49" t="str">
        <f t="shared" si="2"/>
        <v>Mentally Ill, Incapacitated &amp; Dependent Persons; Illegal purchase, acquisition or possession of assistance; value less than $1,000</v>
      </c>
      <c r="D1940" s="49" t="str">
        <f t="shared" si="3"/>
        <v>39-717(a)(2)</v>
      </c>
      <c r="E1940" s="11" t="s">
        <v>133</v>
      </c>
      <c r="F1940" s="11">
        <v>3.0</v>
      </c>
      <c r="G1940" s="11">
        <v>3.0</v>
      </c>
      <c r="H1940" s="11">
        <v>3.0</v>
      </c>
      <c r="I1940" s="11">
        <v>3.0</v>
      </c>
    </row>
    <row r="1941">
      <c r="A1941" s="10" t="s">
        <v>8338</v>
      </c>
      <c r="B1941" s="49" t="str">
        <f t="shared" si="1"/>
        <v>Mentally Ill, Incapacitated &amp; Dependent Persons</v>
      </c>
      <c r="C1941" s="49" t="str">
        <f t="shared" si="2"/>
        <v>Mentally Ill, Incapacitated &amp; Dependent Persons; Unlawful acts relating to information concerning absent parents; unauthorized requesting, obtaining, or seeking out confidential information obtained by the secretary under K.S.A. 39-758 or K.S.A. 39-7,136, 39-7,143 and 39-7,150 done under false pretenses; unauthorized, willful communicating confidential information</v>
      </c>
      <c r="D1941" s="49" t="str">
        <f t="shared" si="3"/>
        <v>39-759(a)</v>
      </c>
      <c r="E1941" s="11" t="s">
        <v>133</v>
      </c>
      <c r="F1941" s="11">
        <v>3.0</v>
      </c>
      <c r="G1941" s="11">
        <v>3.0</v>
      </c>
      <c r="H1941" s="11">
        <v>3.0</v>
      </c>
      <c r="I1941" s="11">
        <v>3.0</v>
      </c>
    </row>
    <row r="1942">
      <c r="A1942" s="10" t="s">
        <v>8339</v>
      </c>
      <c r="B1942" s="49" t="str">
        <f t="shared" si="1"/>
        <v>Mentally Ill, Incapacitated &amp; Dependent Persons</v>
      </c>
      <c r="C1942" s="49" t="str">
        <f t="shared" si="2"/>
        <v>Mentally Ill, Incapacitated &amp; Dependent Persons; Unlawful acts relating to information concerning absent parents; unauthorized requesting, obtaining, or seeking out confidential information obtained by the secretary under K.S.A. 39-758 or K.S.A. 39-7,136, 39-7,143 and 39-7,150</v>
      </c>
      <c r="D1942" s="49" t="str">
        <f t="shared" si="3"/>
        <v>39-759(a)</v>
      </c>
      <c r="E1942" s="11" t="s">
        <v>133</v>
      </c>
      <c r="F1942" s="11">
        <v>3.0</v>
      </c>
      <c r="G1942" s="11">
        <v>3.0</v>
      </c>
      <c r="H1942" s="11">
        <v>3.0</v>
      </c>
      <c r="I1942" s="11">
        <v>3.0</v>
      </c>
    </row>
    <row r="1943">
      <c r="A1943" s="10" t="s">
        <v>8340</v>
      </c>
      <c r="B1943" s="49" t="str">
        <f t="shared" si="1"/>
        <v>Mentally Ill, Incapacitated &amp; Dependent Persons</v>
      </c>
      <c r="C1943" s="49" t="str">
        <f t="shared" si="2"/>
        <v>Mentally Ill, Incapacitated &amp; Dependent Persons; Welfare fraud; $100,000 or more</v>
      </c>
      <c r="D1943" s="49" t="str">
        <f t="shared" si="3"/>
        <v>39-720</v>
      </c>
      <c r="E1943" s="11" t="s">
        <v>133</v>
      </c>
      <c r="F1943" s="11">
        <v>3.0</v>
      </c>
      <c r="G1943" s="11">
        <v>3.0</v>
      </c>
      <c r="H1943" s="11">
        <v>3.0</v>
      </c>
      <c r="I1943" s="11">
        <v>3.0</v>
      </c>
    </row>
    <row r="1944">
      <c r="A1944" s="10" t="s">
        <v>8341</v>
      </c>
      <c r="B1944" s="49" t="str">
        <f t="shared" si="1"/>
        <v>Mentally Ill, Incapacitated &amp; Dependent Persons</v>
      </c>
      <c r="C1944" s="49" t="str">
        <f t="shared" si="2"/>
        <v>Mentally Ill, Incapacitated &amp; Dependent Persons; Welfare fraud; punished according to K.S.A. 21-3701; value less than $1,000</v>
      </c>
      <c r="D1944" s="49" t="str">
        <f t="shared" si="3"/>
        <v>39-720</v>
      </c>
      <c r="E1944" s="11" t="s">
        <v>133</v>
      </c>
      <c r="F1944" s="11">
        <v>3.0</v>
      </c>
      <c r="G1944" s="11">
        <v>3.0</v>
      </c>
      <c r="H1944" s="11">
        <v>3.0</v>
      </c>
      <c r="I1944" s="11">
        <v>3.0</v>
      </c>
    </row>
    <row r="1945">
      <c r="A1945" s="10" t="s">
        <v>8342</v>
      </c>
      <c r="B1945" s="49" t="str">
        <f t="shared" si="1"/>
        <v>Mentally Ill, Incapacitated &amp; Dependent Persons</v>
      </c>
      <c r="C1945" s="49" t="str">
        <f t="shared" si="2"/>
        <v>Mentally Ill, Incapacitated &amp; Dependent Persons; Welfare fraud; value at least $1,000 but less than $25,000</v>
      </c>
      <c r="D1945" s="49" t="str">
        <f t="shared" si="3"/>
        <v>39-720</v>
      </c>
      <c r="E1945" s="11" t="s">
        <v>133</v>
      </c>
      <c r="F1945" s="11">
        <v>3.0</v>
      </c>
      <c r="G1945" s="11">
        <v>3.0</v>
      </c>
      <c r="H1945" s="11">
        <v>3.0</v>
      </c>
      <c r="I1945" s="11">
        <v>3.0</v>
      </c>
    </row>
    <row r="1946">
      <c r="A1946" s="10" t="s">
        <v>8343</v>
      </c>
      <c r="B1946" s="49" t="str">
        <f t="shared" si="1"/>
        <v>Mentally Ill, Incapacitated &amp; Dependent Persons</v>
      </c>
      <c r="C1946" s="49" t="str">
        <f t="shared" si="2"/>
        <v>Mentally Ill, Incapacitated &amp; Dependent Persons; Welfare fraud; value at least $25,000 but less than $100,000</v>
      </c>
      <c r="D1946" s="49" t="str">
        <f t="shared" si="3"/>
        <v>39-720</v>
      </c>
      <c r="E1946" s="11" t="s">
        <v>133</v>
      </c>
      <c r="F1946" s="11">
        <v>3.0</v>
      </c>
      <c r="G1946" s="11">
        <v>3.0</v>
      </c>
      <c r="H1946" s="11">
        <v>3.0</v>
      </c>
      <c r="I1946" s="11">
        <v>3.0</v>
      </c>
    </row>
    <row r="1947">
      <c r="A1947" s="10" t="s">
        <v>8344</v>
      </c>
      <c r="B1947" s="49" t="str">
        <f t="shared" si="1"/>
        <v>Milk, Cream &amp; Dairy Products</v>
      </c>
      <c r="C1947" s="49" t="str">
        <f t="shared" si="2"/>
        <v>Milk, Cream &amp; Dairy Products; Adulterate or misbrand any milk, milk products or dairy products</v>
      </c>
      <c r="D1947" s="49" t="str">
        <f t="shared" si="3"/>
        <v>65-789(c)</v>
      </c>
      <c r="E1947" s="11" t="s">
        <v>133</v>
      </c>
      <c r="F1947" s="11">
        <v>3.0</v>
      </c>
      <c r="G1947" s="11">
        <v>3.0</v>
      </c>
      <c r="H1947" s="11">
        <v>3.0</v>
      </c>
      <c r="I1947" s="11">
        <v>3.0</v>
      </c>
    </row>
    <row r="1948">
      <c r="A1948" s="10" t="s">
        <v>8345</v>
      </c>
      <c r="B1948" s="49" t="str">
        <f t="shared" si="1"/>
        <v>Milk, Cream &amp; Dairy Products</v>
      </c>
      <c r="C1948" s="49" t="str">
        <f t="shared" si="2"/>
        <v>Milk, Cream &amp; Dairy Products; Engage in any business or activity requiring a license or permit under this act without having a license or permit</v>
      </c>
      <c r="D1948" s="49" t="str">
        <f t="shared" si="3"/>
        <v>65-789(a)</v>
      </c>
      <c r="E1948" s="11" t="s">
        <v>133</v>
      </c>
      <c r="F1948" s="11">
        <v>3.0</v>
      </c>
      <c r="G1948" s="11">
        <v>3.0</v>
      </c>
      <c r="H1948" s="11">
        <v>3.0</v>
      </c>
      <c r="I1948" s="11">
        <v>3.0</v>
      </c>
    </row>
    <row r="1949">
      <c r="A1949" s="10" t="s">
        <v>8346</v>
      </c>
      <c r="B1949" s="49" t="str">
        <f t="shared" si="1"/>
        <v>Milk, Cream &amp; Dairy Products</v>
      </c>
      <c r="C1949" s="49" t="str">
        <f t="shared" si="2"/>
        <v>Milk, Cream &amp; Dairy Products; Sell, offer for sale or have possession with intent to sell at retail to the final consumer any milk or milk product which has not been inspected and designated grade A pasteurized</v>
      </c>
      <c r="D1949" s="49" t="str">
        <f t="shared" si="3"/>
        <v>65-789(d)</v>
      </c>
      <c r="E1949" s="11" t="s">
        <v>133</v>
      </c>
      <c r="F1949" s="11">
        <v>3.0</v>
      </c>
      <c r="G1949" s="11">
        <v>3.0</v>
      </c>
      <c r="H1949" s="11">
        <v>3.0</v>
      </c>
      <c r="I1949" s="11">
        <v>3.0</v>
      </c>
    </row>
    <row r="1950">
      <c r="A1950" s="10" t="s">
        <v>8347</v>
      </c>
      <c r="B1950" s="49" t="str">
        <f t="shared" si="1"/>
        <v>Milk, Cream &amp; Dairy Products</v>
      </c>
      <c r="C1950" s="49" t="str">
        <f t="shared" si="2"/>
        <v>Milk, Cream &amp; Dairy Products; Sell, offer or expose for sale any milk, milk products or dairy products which are adulterated or misbranded</v>
      </c>
      <c r="D1950" s="49" t="str">
        <f t="shared" si="3"/>
        <v>65-789(b)(2)</v>
      </c>
      <c r="E1950" s="11" t="s">
        <v>133</v>
      </c>
      <c r="F1950" s="11">
        <v>3.0</v>
      </c>
      <c r="G1950" s="11">
        <v>3.0</v>
      </c>
      <c r="H1950" s="11">
        <v>3.0</v>
      </c>
      <c r="I1950" s="11">
        <v>3.0</v>
      </c>
    </row>
    <row r="1951">
      <c r="A1951" s="10" t="s">
        <v>8348</v>
      </c>
      <c r="B1951" s="49" t="str">
        <f t="shared" si="1"/>
        <v>Milk, Cream &amp; Dairy Products</v>
      </c>
      <c r="C1951" s="49" t="str">
        <f t="shared" si="2"/>
        <v>Milk, Cream &amp; Dairy Products; Sell, offer or expose for sale any nonconforming milk, milk products or dairy products</v>
      </c>
      <c r="D1951" s="49" t="str">
        <f t="shared" si="3"/>
        <v>65-789(b)(1)</v>
      </c>
      <c r="E1951" s="11" t="s">
        <v>133</v>
      </c>
      <c r="F1951" s="11">
        <v>3.0</v>
      </c>
      <c r="G1951" s="11">
        <v>3.0</v>
      </c>
      <c r="H1951" s="11">
        <v>3.0</v>
      </c>
      <c r="I1951" s="11">
        <v>3.0</v>
      </c>
    </row>
    <row r="1952">
      <c r="A1952" s="10" t="s">
        <v>8349</v>
      </c>
      <c r="B1952" s="49" t="str">
        <f t="shared" si="1"/>
        <v>Milk, Cream &amp; Dairy Products</v>
      </c>
      <c r="C1952" s="49" t="str">
        <f t="shared" si="2"/>
        <v>Milk, Cream &amp; Dairy Products; Violate any provision of this act or any rules or regulations promulgated thereunder</v>
      </c>
      <c r="D1952" s="49" t="str">
        <f t="shared" si="3"/>
        <v>65-789(e)</v>
      </c>
      <c r="E1952" s="11" t="s">
        <v>133</v>
      </c>
      <c r="F1952" s="11">
        <v>3.0</v>
      </c>
      <c r="G1952" s="11">
        <v>3.0</v>
      </c>
      <c r="H1952" s="11">
        <v>3.0</v>
      </c>
      <c r="I1952" s="11">
        <v>3.0</v>
      </c>
    </row>
    <row r="1953">
      <c r="A1953" s="10" t="s">
        <v>8350</v>
      </c>
      <c r="B1953" s="49" t="str">
        <f t="shared" si="1"/>
        <v>Mineral Severance Tax</v>
      </c>
      <c r="C1953" s="49" t="str">
        <f t="shared" si="2"/>
        <v>Mineral Severance Tax; Fail to make a return, or pay tax; make a false or fraudulent return; fail to keep required books or records; willful violation of any rules and regulations of this act; aid and abet another in attempting to evade the payment of any tax; violation of any other provisions of this act</v>
      </c>
      <c r="D1953" s="49" t="str">
        <f t="shared" si="3"/>
        <v>79-4225(d)</v>
      </c>
      <c r="E1953" s="11" t="s">
        <v>133</v>
      </c>
      <c r="F1953" s="11">
        <v>3.0</v>
      </c>
      <c r="G1953" s="11">
        <v>3.0</v>
      </c>
      <c r="H1953" s="11">
        <v>3.0</v>
      </c>
      <c r="I1953" s="11">
        <v>3.0</v>
      </c>
    </row>
    <row r="1954">
      <c r="A1954" s="10" t="s">
        <v>8351</v>
      </c>
      <c r="B1954" s="49" t="str">
        <f t="shared" si="1"/>
        <v>Mines &amp; Mining</v>
      </c>
      <c r="C1954" s="49" t="str">
        <f t="shared" si="2"/>
        <v>Mines &amp; Mining; Falsification of information in application for registration of mining site</v>
      </c>
      <c r="D1954" s="49" t="str">
        <f t="shared" si="3"/>
        <v>49-607(a)</v>
      </c>
      <c r="E1954" s="11" t="s">
        <v>133</v>
      </c>
      <c r="F1954" s="11">
        <v>3.0</v>
      </c>
      <c r="G1954" s="11">
        <v>3.0</v>
      </c>
      <c r="H1954" s="11">
        <v>3.0</v>
      </c>
      <c r="I1954" s="11">
        <v>3.0</v>
      </c>
    </row>
    <row r="1955">
      <c r="A1955" s="10" t="s">
        <v>8352</v>
      </c>
      <c r="B1955" s="49" t="str">
        <f t="shared" si="1"/>
        <v>Mines &amp; Mining</v>
      </c>
      <c r="C1955" s="49" t="str">
        <f t="shared" si="2"/>
        <v>Mines &amp; Mining; Ingress and egress for survey; penalty for interference with survey</v>
      </c>
      <c r="D1955" s="49" t="str">
        <f t="shared" si="3"/>
        <v>49-105</v>
      </c>
      <c r="E1955" s="11" t="s">
        <v>133</v>
      </c>
      <c r="F1955" s="11">
        <v>3.0</v>
      </c>
      <c r="G1955" s="11">
        <v>3.0</v>
      </c>
      <c r="H1955" s="11">
        <v>3.0</v>
      </c>
      <c r="I1955" s="11">
        <v>3.0</v>
      </c>
    </row>
    <row r="1956">
      <c r="A1956" s="10" t="s">
        <v>8353</v>
      </c>
      <c r="B1956" s="49" t="str">
        <f t="shared" si="1"/>
        <v>Mines &amp; Mining</v>
      </c>
      <c r="C1956" s="49" t="str">
        <f t="shared" si="2"/>
        <v>Mines &amp; Mining; Penalty for interfering with survey ordered pursuant to K.S.A. 49-106</v>
      </c>
      <c r="D1956" s="49" t="str">
        <f t="shared" si="3"/>
        <v>49-108</v>
      </c>
      <c r="E1956" s="11" t="s">
        <v>133</v>
      </c>
      <c r="F1956" s="11">
        <v>3.0</v>
      </c>
      <c r="G1956" s="11">
        <v>3.0</v>
      </c>
      <c r="H1956" s="11">
        <v>3.0</v>
      </c>
      <c r="I1956" s="11">
        <v>3.0</v>
      </c>
    </row>
    <row r="1957">
      <c r="A1957" s="10" t="s">
        <v>8354</v>
      </c>
      <c r="B1957" s="49" t="str">
        <f t="shared" si="1"/>
        <v>Mistreatment of a Confined Person</v>
      </c>
      <c r="C1957" s="49" t="str">
        <f t="shared" si="2"/>
        <v>Mistreatment of a Confined Person</v>
      </c>
      <c r="D1957" s="49" t="str">
        <f t="shared" si="3"/>
        <v>21-5416(a)</v>
      </c>
      <c r="E1957" s="11" t="s">
        <v>133</v>
      </c>
      <c r="F1957" s="11">
        <v>3.0</v>
      </c>
      <c r="G1957" s="11">
        <v>3.0</v>
      </c>
      <c r="H1957" s="11">
        <v>3.0</v>
      </c>
      <c r="I1957" s="11">
        <v>3.0</v>
      </c>
    </row>
    <row r="1958">
      <c r="A1958" s="10" t="s">
        <v>8355</v>
      </c>
      <c r="B1958" s="49" t="str">
        <f t="shared" si="1"/>
        <v>Mistreatment of an Elder Person</v>
      </c>
      <c r="C1958" s="49" t="str">
        <f t="shared" si="2"/>
        <v>Mistreatment of an Elder Person; Knowingly taking the personal property or financial resources of a elder person by taking control, title, use or management of such property or resources; amount of $1,000,000 or more</v>
      </c>
      <c r="D1958" s="49" t="str">
        <f t="shared" si="3"/>
        <v>21-5417(b)(1)</v>
      </c>
      <c r="E1958" s="11" t="s">
        <v>133</v>
      </c>
      <c r="F1958" s="11">
        <v>3.0</v>
      </c>
      <c r="G1958" s="11">
        <v>3.0</v>
      </c>
      <c r="H1958" s="11">
        <v>3.0</v>
      </c>
      <c r="I1958" s="11">
        <v>3.0</v>
      </c>
    </row>
    <row r="1959">
      <c r="A1959" s="10" t="s">
        <v>8356</v>
      </c>
      <c r="B1959" s="49" t="str">
        <f t="shared" si="1"/>
        <v>Mistreatment of an Elder Person</v>
      </c>
      <c r="C1959" s="49" t="str">
        <f t="shared" si="2"/>
        <v>Mistreatment of an Elder Person; Knowingly taking the personal property or financial resources of a elder person by taking control, title, use or management of such property or resources; amount of at least $100,000 but less than $250,000</v>
      </c>
      <c r="D1959" s="49" t="str">
        <f t="shared" si="3"/>
        <v>21-5417(b)(1)</v>
      </c>
      <c r="E1959" s="11" t="s">
        <v>133</v>
      </c>
      <c r="F1959" s="11">
        <v>3.0</v>
      </c>
      <c r="G1959" s="11">
        <v>3.0</v>
      </c>
      <c r="H1959" s="11">
        <v>3.0</v>
      </c>
      <c r="I1959" s="11">
        <v>3.0</v>
      </c>
    </row>
    <row r="1960">
      <c r="A1960" s="10" t="s">
        <v>8357</v>
      </c>
      <c r="B1960" s="49" t="str">
        <f t="shared" si="1"/>
        <v>Mistreatment of an Elder Person</v>
      </c>
      <c r="C1960" s="49" t="str">
        <f t="shared" si="2"/>
        <v>Mistreatment of an Elder Person; Knowingly taking the personal property or financial resources of a elder person by taking control, title, use or management of such property or resources; amount of at least $25,000 but less than $100,000</v>
      </c>
      <c r="D1960" s="49" t="str">
        <f t="shared" si="3"/>
        <v>21-5417(b)(1)</v>
      </c>
      <c r="E1960" s="11" t="s">
        <v>133</v>
      </c>
      <c r="F1960" s="11">
        <v>3.0</v>
      </c>
      <c r="G1960" s="11">
        <v>3.0</v>
      </c>
      <c r="H1960" s="11">
        <v>3.0</v>
      </c>
      <c r="I1960" s="11">
        <v>3.0</v>
      </c>
    </row>
    <row r="1961">
      <c r="A1961" s="10" t="s">
        <v>8358</v>
      </c>
      <c r="B1961" s="49" t="str">
        <f t="shared" si="1"/>
        <v>Mistreatment of an Elder Person</v>
      </c>
      <c r="C1961" s="49" t="str">
        <f t="shared" si="2"/>
        <v>Mistreatment of an Elder Person; Knowingly taking the personal property or financial resources of a elder person by taking control, title, use or management of such property or resources; amount of at least $250,000 but less than $1,000,000</v>
      </c>
      <c r="D1961" s="49" t="str">
        <f t="shared" si="3"/>
        <v>21-5417(b)(1)</v>
      </c>
      <c r="E1961" s="11" t="s">
        <v>133</v>
      </c>
      <c r="F1961" s="11">
        <v>3.0</v>
      </c>
      <c r="G1961" s="11">
        <v>3.0</v>
      </c>
      <c r="H1961" s="11">
        <v>3.0</v>
      </c>
      <c r="I1961" s="11">
        <v>3.0</v>
      </c>
    </row>
    <row r="1962">
      <c r="A1962" s="10" t="s">
        <v>8359</v>
      </c>
      <c r="B1962" s="49" t="str">
        <f t="shared" si="1"/>
        <v>Mistreatment of an Elder Person</v>
      </c>
      <c r="C1962" s="49" t="str">
        <f t="shared" si="2"/>
        <v>Mistreatment of an Elder Person; Knowingly taking the personal property or financial resources of a elder person by taking control, title, use or management of such property or resources; amount of at least $5000 but less than $25,000</v>
      </c>
      <c r="D1962" s="49" t="str">
        <f t="shared" si="3"/>
        <v>21-5417(b)(1)</v>
      </c>
      <c r="E1962" s="11" t="s">
        <v>133</v>
      </c>
      <c r="F1962" s="11">
        <v>3.0</v>
      </c>
      <c r="G1962" s="11">
        <v>3.0</v>
      </c>
      <c r="H1962" s="11">
        <v>3.0</v>
      </c>
      <c r="I1962" s="11">
        <v>3.0</v>
      </c>
    </row>
    <row r="1963">
      <c r="A1963" s="10" t="s">
        <v>8360</v>
      </c>
      <c r="B1963" s="49" t="str">
        <f t="shared" si="1"/>
        <v>Mistreatment of an Elder Person</v>
      </c>
      <c r="C1963" s="49" t="str">
        <f t="shared" si="2"/>
        <v>Mistreatment of an Elder Person; Knowingly taking the personal property or financial resources of a elder person by taking control, title, use or management of such property or resources; amount of less than $5000</v>
      </c>
      <c r="D1963" s="49" t="str">
        <f t="shared" si="3"/>
        <v>21-5417(b)(1)</v>
      </c>
      <c r="E1963" s="11" t="s">
        <v>133</v>
      </c>
      <c r="F1963" s="11">
        <v>3.0</v>
      </c>
      <c r="G1963" s="11">
        <v>3.0</v>
      </c>
      <c r="H1963" s="11">
        <v>3.0</v>
      </c>
      <c r="I1963" s="11">
        <v>3.0</v>
      </c>
    </row>
    <row r="1964">
      <c r="A1964" s="10" t="s">
        <v>8361</v>
      </c>
      <c r="B1964" s="49" t="str">
        <f t="shared" si="1"/>
        <v>Mistreatment of an Elder Person</v>
      </c>
      <c r="C1964" s="49" t="str">
        <f t="shared" si="2"/>
        <v>Mistreatment of an Elder Person; Knowingly taking the personal property or financial resources of a elder person by taking control, title, use or management of such property or resources; amount of less than $5000 if committed by a person who has been convicted of mistreatment of an elder person two or more times in the previous 5 years</v>
      </c>
      <c r="D1964" s="49" t="str">
        <f t="shared" si="3"/>
        <v>21-5417(b)(1)</v>
      </c>
      <c r="E1964" s="11" t="s">
        <v>133</v>
      </c>
      <c r="F1964" s="11">
        <v>3.0</v>
      </c>
      <c r="G1964" s="11">
        <v>3.0</v>
      </c>
      <c r="H1964" s="11">
        <v>3.0</v>
      </c>
      <c r="I1964" s="11">
        <v>3.0</v>
      </c>
    </row>
    <row r="1965">
      <c r="A1965" s="10" t="s">
        <v>8362</v>
      </c>
      <c r="B1965" s="49" t="str">
        <f t="shared" si="1"/>
        <v>Mistreatment of an Elder Person</v>
      </c>
      <c r="C1965" s="49" t="str">
        <f t="shared" si="2"/>
        <v>Mistreatment of an Elder Person; Omission or deprivation of treatment, goods or services that are necessary to maintain physical or mental health of such elder person</v>
      </c>
      <c r="D1965" s="49" t="str">
        <f t="shared" si="3"/>
        <v>21-5417(b)(2)</v>
      </c>
      <c r="E1965" s="11" t="s">
        <v>133</v>
      </c>
      <c r="F1965" s="11">
        <v>3.0</v>
      </c>
      <c r="G1965" s="11">
        <v>3.0</v>
      </c>
      <c r="H1965" s="11">
        <v>3.0</v>
      </c>
      <c r="I1965" s="11">
        <v>3.0</v>
      </c>
    </row>
    <row r="1966">
      <c r="A1966" s="10" t="s">
        <v>8363</v>
      </c>
      <c r="B1966" s="49" t="str">
        <f t="shared" si="1"/>
        <v>Mistreatment of Dependent Adult</v>
      </c>
      <c r="C1966" s="49" t="str">
        <f t="shared" si="2"/>
        <v>Mistreatment of Dependent Adult; Knowingly inflict physical injury, unreasonable confinement or unreasonable punishment upon a dependent adult</v>
      </c>
      <c r="D1966" s="49" t="str">
        <f t="shared" si="3"/>
        <v>21-5417(a)(1)</v>
      </c>
      <c r="E1966" s="11" t="s">
        <v>133</v>
      </c>
      <c r="F1966" s="11">
        <v>3.0</v>
      </c>
      <c r="G1966" s="11">
        <v>3.0</v>
      </c>
      <c r="H1966" s="11">
        <v>3.0</v>
      </c>
      <c r="I1966" s="11">
        <v>3.0</v>
      </c>
    </row>
    <row r="1967">
      <c r="A1967" s="10" t="s">
        <v>8364</v>
      </c>
      <c r="B1967" s="49" t="str">
        <f t="shared" si="1"/>
        <v>Mistreatment of Dependent Adult</v>
      </c>
      <c r="C1967" s="49" t="str">
        <f t="shared" si="2"/>
        <v>Mistreatment of Dependent Adult; Knowingly omit or deprive of treatment, goods or services necessary to maintain physical or mental health of a dependent adult</v>
      </c>
      <c r="D1967" s="49" t="str">
        <f t="shared" si="3"/>
        <v>21-5417(a)(3)</v>
      </c>
      <c r="E1967" s="11" t="s">
        <v>133</v>
      </c>
      <c r="F1967" s="11">
        <v>3.0</v>
      </c>
      <c r="G1967" s="11">
        <v>3.0</v>
      </c>
      <c r="H1967" s="11">
        <v>3.0</v>
      </c>
      <c r="I1967" s="11">
        <v>3.0</v>
      </c>
    </row>
    <row r="1968">
      <c r="A1968" s="10" t="s">
        <v>8365</v>
      </c>
      <c r="B1968" s="49" t="str">
        <f t="shared" si="1"/>
        <v>Mistreatment of Dependent Adult</v>
      </c>
      <c r="C1968" s="49" t="str">
        <f t="shared" si="2"/>
        <v>Mistreatment of Dependent Adult; Knowingly taking the personal property or financial resources of a dependent adult by taking control, title, use or management of such property or resources; amount is $1,000,000 or more</v>
      </c>
      <c r="D1968" s="49" t="str">
        <f t="shared" si="3"/>
        <v>21-5417(a)(2)</v>
      </c>
      <c r="E1968" s="11" t="s">
        <v>133</v>
      </c>
      <c r="F1968" s="11">
        <v>3.0</v>
      </c>
      <c r="G1968" s="11">
        <v>3.0</v>
      </c>
      <c r="H1968" s="11">
        <v>3.0</v>
      </c>
      <c r="I1968" s="11">
        <v>3.0</v>
      </c>
    </row>
    <row r="1969">
      <c r="A1969" s="10" t="s">
        <v>8366</v>
      </c>
      <c r="B1969" s="49" t="str">
        <f t="shared" si="1"/>
        <v>Mistreatment of Dependent Adult</v>
      </c>
      <c r="C1969" s="49" t="str">
        <f t="shared" si="2"/>
        <v>Mistreatment of Dependent Adult; Knowingly taking the personal property or financial resources of a dependent adult by taking control, title, use or management of such property or resources; amount is at least $1,000 but less than $25,000</v>
      </c>
      <c r="D1969" s="49" t="str">
        <f t="shared" si="3"/>
        <v>21-5417(a)(2)</v>
      </c>
      <c r="E1969" s="11" t="s">
        <v>133</v>
      </c>
      <c r="F1969" s="11">
        <v>3.0</v>
      </c>
      <c r="G1969" s="11">
        <v>3.0</v>
      </c>
      <c r="H1969" s="11">
        <v>3.0</v>
      </c>
      <c r="I1969" s="11">
        <v>3.0</v>
      </c>
    </row>
    <row r="1970">
      <c r="A1970" s="10" t="s">
        <v>8367</v>
      </c>
      <c r="B1970" s="49" t="str">
        <f t="shared" si="1"/>
        <v>Mistreatment of Dependent Adult</v>
      </c>
      <c r="C1970" s="49" t="str">
        <f t="shared" si="2"/>
        <v>Mistreatment of Dependent Adult; Knowingly taking the personal property or financial resources of a dependent adult by taking control, title, use or management of such property or resources; amount is at least $100,000 but less than $250,000</v>
      </c>
      <c r="D1970" s="49" t="str">
        <f t="shared" si="3"/>
        <v>21-5417(a)(2)</v>
      </c>
      <c r="E1970" s="11" t="s">
        <v>133</v>
      </c>
      <c r="F1970" s="11">
        <v>3.0</v>
      </c>
      <c r="G1970" s="11">
        <v>3.0</v>
      </c>
      <c r="H1970" s="11">
        <v>3.0</v>
      </c>
      <c r="I1970" s="11">
        <v>3.0</v>
      </c>
    </row>
    <row r="1971">
      <c r="A1971" s="10" t="s">
        <v>8368</v>
      </c>
      <c r="B1971" s="49" t="str">
        <f t="shared" si="1"/>
        <v>Mistreatment of Dependent Adult</v>
      </c>
      <c r="C1971" s="49" t="str">
        <f t="shared" si="2"/>
        <v>Mistreatment of Dependent Adult; Knowingly taking the personal property or financial resources of a dependent adult by taking control, title, use or management of such property or resources; amount is at least $25,000 but less than $100,000</v>
      </c>
      <c r="D1971" s="49" t="str">
        <f t="shared" si="3"/>
        <v>21-5417(a)(2)</v>
      </c>
      <c r="E1971" s="11" t="s">
        <v>133</v>
      </c>
      <c r="F1971" s="11">
        <v>3.0</v>
      </c>
      <c r="G1971" s="11">
        <v>3.0</v>
      </c>
      <c r="H1971" s="11">
        <v>3.0</v>
      </c>
      <c r="I1971" s="11">
        <v>3.0</v>
      </c>
    </row>
    <row r="1972">
      <c r="A1972" s="10" t="s">
        <v>8369</v>
      </c>
      <c r="B1972" s="49" t="str">
        <f t="shared" si="1"/>
        <v>Mistreatment of Dependent Adult</v>
      </c>
      <c r="C1972" s="49" t="str">
        <f t="shared" si="2"/>
        <v>Mistreatment of Dependent Adult; Knowingly taking the personal property or financial resources of a dependent adult by taking control, title, use or management of such property or resources; amount is at least $250,000 but less than $1,000,000</v>
      </c>
      <c r="D1972" s="49" t="str">
        <f t="shared" si="3"/>
        <v>21-5417(a)(2)</v>
      </c>
      <c r="E1972" s="11" t="s">
        <v>133</v>
      </c>
      <c r="F1972" s="11">
        <v>3.0</v>
      </c>
      <c r="G1972" s="11">
        <v>3.0</v>
      </c>
      <c r="H1972" s="11">
        <v>3.0</v>
      </c>
      <c r="I1972" s="11">
        <v>3.0</v>
      </c>
    </row>
    <row r="1973">
      <c r="A1973" s="10" t="s">
        <v>8370</v>
      </c>
      <c r="B1973" s="49" t="str">
        <f t="shared" si="1"/>
        <v>Mistreatment of Dependent Adult</v>
      </c>
      <c r="C1973" s="49" t="str">
        <f t="shared" si="2"/>
        <v>Mistreatment of Dependent Adult; Knowingly taking the personal property or financial resources of a dependent adult by taking control, title, use or management of such property or resources; amount is less than $1,000 but committed by a person who has been convicted of this 2 or more times within 5 yrs</v>
      </c>
      <c r="D1973" s="49" t="str">
        <f t="shared" si="3"/>
        <v>21-5417(a)(2)</v>
      </c>
      <c r="E1973" s="11" t="s">
        <v>133</v>
      </c>
      <c r="F1973" s="11">
        <v>3.0</v>
      </c>
      <c r="G1973" s="11">
        <v>3.0</v>
      </c>
      <c r="H1973" s="11">
        <v>3.0</v>
      </c>
      <c r="I1973" s="11">
        <v>3.0</v>
      </c>
    </row>
    <row r="1974">
      <c r="A1974" s="10" t="s">
        <v>8371</v>
      </c>
      <c r="B1974" s="49" t="str">
        <f t="shared" si="1"/>
        <v>Mistreatment of Dependent Adult</v>
      </c>
      <c r="C1974" s="49" t="str">
        <f t="shared" si="2"/>
        <v>Mistreatment of Dependent Adult; Knowingly taking the personal property or financial resources of a dependent adult by taking control, title, use or management of such property or resources; amount less than $1,000</v>
      </c>
      <c r="D1974" s="49" t="str">
        <f t="shared" si="3"/>
        <v>21-5417(a)(2)</v>
      </c>
      <c r="E1974" s="11" t="s">
        <v>133</v>
      </c>
      <c r="F1974" s="11">
        <v>3.0</v>
      </c>
      <c r="G1974" s="11">
        <v>3.0</v>
      </c>
      <c r="H1974" s="11">
        <v>3.0</v>
      </c>
      <c r="I1974" s="11">
        <v>3.0</v>
      </c>
    </row>
    <row r="1975">
      <c r="A1975" s="10" t="s">
        <v>8372</v>
      </c>
      <c r="B1975" s="49" t="str">
        <f t="shared" si="1"/>
        <v>Misuse of Public Funds</v>
      </c>
      <c r="C1975" s="49" t="str">
        <f t="shared" si="2"/>
        <v>Misuse of Public Funds; Aggregate is $100,000 or more</v>
      </c>
      <c r="D1975" s="49" t="str">
        <f t="shared" si="3"/>
        <v>21-6005(a)</v>
      </c>
      <c r="E1975" s="11" t="s">
        <v>133</v>
      </c>
      <c r="F1975" s="11">
        <v>3.0</v>
      </c>
      <c r="G1975" s="11">
        <v>3.0</v>
      </c>
      <c r="H1975" s="11">
        <v>3.0</v>
      </c>
      <c r="I1975" s="11">
        <v>3.0</v>
      </c>
    </row>
    <row r="1976">
      <c r="A1976" s="10" t="s">
        <v>8373</v>
      </c>
      <c r="B1976" s="49" t="str">
        <f t="shared" si="1"/>
        <v>Misuse of Public Funds</v>
      </c>
      <c r="C1976" s="49" t="str">
        <f t="shared" si="2"/>
        <v>Misuse of Public Funds; Aggregate is at least $1,000 but less than $25,000</v>
      </c>
      <c r="D1976" s="49" t="str">
        <f t="shared" si="3"/>
        <v>21-6005(a)</v>
      </c>
      <c r="E1976" s="11" t="s">
        <v>133</v>
      </c>
      <c r="F1976" s="11">
        <v>3.0</v>
      </c>
      <c r="G1976" s="11">
        <v>3.0</v>
      </c>
      <c r="H1976" s="11">
        <v>3.0</v>
      </c>
      <c r="I1976" s="11">
        <v>3.0</v>
      </c>
    </row>
    <row r="1977">
      <c r="A1977" s="10" t="s">
        <v>8374</v>
      </c>
      <c r="B1977" s="49" t="str">
        <f t="shared" si="1"/>
        <v>Misuse of Public Funds</v>
      </c>
      <c r="C1977" s="49" t="str">
        <f t="shared" si="2"/>
        <v>Misuse of Public Funds; Aggregate is at least $25,000 but less than $100,000</v>
      </c>
      <c r="D1977" s="49" t="str">
        <f t="shared" si="3"/>
        <v>21-6005(a)</v>
      </c>
      <c r="E1977" s="11" t="s">
        <v>133</v>
      </c>
      <c r="F1977" s="11">
        <v>3.0</v>
      </c>
      <c r="G1977" s="11">
        <v>3.0</v>
      </c>
      <c r="H1977" s="11">
        <v>3.0</v>
      </c>
      <c r="I1977" s="11">
        <v>3.0</v>
      </c>
    </row>
    <row r="1978">
      <c r="A1978" s="10" t="s">
        <v>8375</v>
      </c>
      <c r="B1978" s="49" t="str">
        <f t="shared" si="1"/>
        <v>Misuse of Public Funds</v>
      </c>
      <c r="C1978" s="49" t="str">
        <f t="shared" si="2"/>
        <v>Misuse of Public Funds; Aggregate is less than $1,000</v>
      </c>
      <c r="D1978" s="49" t="str">
        <f t="shared" si="3"/>
        <v>21-6005(a)</v>
      </c>
      <c r="E1978" s="11" t="s">
        <v>133</v>
      </c>
      <c r="F1978" s="11">
        <v>3.0</v>
      </c>
      <c r="G1978" s="11">
        <v>3.0</v>
      </c>
      <c r="H1978" s="11">
        <v>3.0</v>
      </c>
      <c r="I1978" s="11">
        <v>3.0</v>
      </c>
    </row>
    <row r="1979">
      <c r="A1979" s="10" t="s">
        <v>8376</v>
      </c>
      <c r="B1979" s="49" t="str">
        <f t="shared" si="1"/>
        <v>Mortgage Business Act</v>
      </c>
      <c r="C1979" s="49" t="str">
        <f t="shared" si="2"/>
        <v>Mortgage Business Act; Advertise, display, distribute, broadcast or televise, or cause or permit such, any false, misleading or deceptive statement or representation with regard to rates, terms or conditions for a mortgage loan</v>
      </c>
      <c r="D1979" s="49" t="str">
        <f t="shared" si="3"/>
        <v>9-2212(i)</v>
      </c>
      <c r="E1979" s="11" t="s">
        <v>133</v>
      </c>
      <c r="F1979" s="11">
        <v>3.0</v>
      </c>
      <c r="G1979" s="11">
        <v>3.0</v>
      </c>
      <c r="H1979" s="11">
        <v>3.0</v>
      </c>
      <c r="I1979" s="11">
        <v>3.0</v>
      </c>
    </row>
    <row r="1980">
      <c r="A1980" s="10" t="s">
        <v>8377</v>
      </c>
      <c r="B1980" s="49" t="str">
        <f t="shared" si="1"/>
        <v>Mortgage Business Act</v>
      </c>
      <c r="C1980" s="49" t="str">
        <f t="shared" si="2"/>
        <v>Mortgage Business Act; Compensate, contract with or employ, any person engaged in mortgage business who is not properly licensed or registered</v>
      </c>
      <c r="D1980" s="49" t="str">
        <f t="shared" si="3"/>
        <v>9-2212(a)</v>
      </c>
      <c r="E1980" s="11" t="s">
        <v>133</v>
      </c>
      <c r="F1980" s="11">
        <v>3.0</v>
      </c>
      <c r="G1980" s="11">
        <v>3.0</v>
      </c>
      <c r="H1980" s="11">
        <v>3.0</v>
      </c>
      <c r="I1980" s="11">
        <v>3.0</v>
      </c>
    </row>
    <row r="1981">
      <c r="A1981" s="10" t="s">
        <v>8378</v>
      </c>
      <c r="B1981" s="49" t="str">
        <f t="shared" si="1"/>
        <v>Mortgage Business Act</v>
      </c>
      <c r="C1981" s="49" t="str">
        <f t="shared" si="2"/>
        <v>Mortgage Business Act; Delay closing of a mortgage loan for the purpose of increasing interest, costs, fees or charges payable by the borrower</v>
      </c>
      <c r="D1981" s="49" t="str">
        <f t="shared" si="3"/>
        <v>9-2212(c)</v>
      </c>
      <c r="E1981" s="11" t="s">
        <v>133</v>
      </c>
      <c r="F1981" s="11">
        <v>3.0</v>
      </c>
      <c r="G1981" s="11">
        <v>3.0</v>
      </c>
      <c r="H1981" s="11">
        <v>3.0</v>
      </c>
      <c r="I1981" s="11">
        <v>3.0</v>
      </c>
    </row>
    <row r="1982">
      <c r="A1982" s="10" t="s">
        <v>8379</v>
      </c>
      <c r="B1982" s="49" t="str">
        <f t="shared" si="1"/>
        <v>Mortgage Business Act</v>
      </c>
      <c r="C1982" s="49" t="str">
        <f t="shared" si="2"/>
        <v>Mortgage Business Act; Engage in any transaction, practice or business conduct that is not in good faith, or that operates a fraud upon any person connected with the making of, purchase or sale of any mortgage loan</v>
      </c>
      <c r="D1982" s="49" t="str">
        <f t="shared" si="3"/>
        <v>9-2212(f)</v>
      </c>
      <c r="E1982" s="11" t="s">
        <v>133</v>
      </c>
      <c r="F1982" s="11">
        <v>3.0</v>
      </c>
      <c r="G1982" s="11">
        <v>3.0</v>
      </c>
      <c r="H1982" s="11">
        <v>3.0</v>
      </c>
      <c r="I1982" s="11">
        <v>3.0</v>
      </c>
    </row>
    <row r="1983">
      <c r="A1983" s="10" t="s">
        <v>8380</v>
      </c>
      <c r="B1983" s="49" t="str">
        <f t="shared" si="1"/>
        <v>Mortgage Business Act</v>
      </c>
      <c r="C1983" s="49" t="str">
        <f t="shared" si="2"/>
        <v>Mortgage Business Act; Engage in fraudulent residential mortgage brokerage or underwriting practices</v>
      </c>
      <c r="D1983" s="49" t="str">
        <f t="shared" si="3"/>
        <v>9-2212(h)</v>
      </c>
      <c r="E1983" s="11" t="s">
        <v>133</v>
      </c>
      <c r="F1983" s="11">
        <v>3.0</v>
      </c>
      <c r="G1983" s="11">
        <v>3.0</v>
      </c>
      <c r="H1983" s="11">
        <v>3.0</v>
      </c>
      <c r="I1983" s="11">
        <v>3.0</v>
      </c>
    </row>
    <row r="1984">
      <c r="A1984" s="10" t="s">
        <v>8381</v>
      </c>
      <c r="B1984" s="49" t="str">
        <f t="shared" si="1"/>
        <v>Mortgage Business Act</v>
      </c>
      <c r="C1984" s="49" t="str">
        <f t="shared" si="2"/>
        <v>Mortgage Business Act; License required to conduct mortgage business</v>
      </c>
      <c r="D1984" s="49" t="str">
        <f t="shared" si="3"/>
        <v>9-2203(a)</v>
      </c>
      <c r="E1984" s="11" t="s">
        <v>133</v>
      </c>
      <c r="F1984" s="11">
        <v>3.0</v>
      </c>
      <c r="G1984" s="11">
        <v>3.0</v>
      </c>
      <c r="H1984" s="11">
        <v>3.0</v>
      </c>
      <c r="I1984" s="11">
        <v>3.0</v>
      </c>
    </row>
    <row r="1985">
      <c r="A1985" s="10" t="s">
        <v>8382</v>
      </c>
      <c r="B1985" s="49" t="str">
        <f t="shared" si="1"/>
        <v>Mortgage Business Act</v>
      </c>
      <c r="C1985" s="49" t="str">
        <f t="shared" si="2"/>
        <v>Mortgage Business Act; Misrepresent material facts or make false promises intended to influence, persuade or induce an applicant for a mortgage loan, or mortgagee, to take a mortgage loan; cause or contribute to such misrepresentation</v>
      </c>
      <c r="D1985" s="49" t="str">
        <f t="shared" si="3"/>
        <v>9-2212(d)</v>
      </c>
      <c r="E1985" s="11" t="s">
        <v>133</v>
      </c>
      <c r="F1985" s="11">
        <v>3.0</v>
      </c>
      <c r="G1985" s="11">
        <v>3.0</v>
      </c>
      <c r="H1985" s="11">
        <v>3.0</v>
      </c>
      <c r="I1985" s="11">
        <v>3.0</v>
      </c>
    </row>
    <row r="1986">
      <c r="A1986" s="10" t="s">
        <v>8383</v>
      </c>
      <c r="B1986" s="49" t="str">
        <f t="shared" si="1"/>
        <v>Mortgage Business Act</v>
      </c>
      <c r="C1986" s="49" t="str">
        <f t="shared" si="2"/>
        <v>Mortgage Business Act; Misrepresent to or conceal from an applicant for a mortgage loan or mortgagor, material facts, terms or conditions of a transaction to which the licensee or registrant is a party</v>
      </c>
      <c r="D1986" s="49" t="str">
        <f t="shared" si="3"/>
        <v>9-2212(e)</v>
      </c>
      <c r="E1986" s="11" t="s">
        <v>133</v>
      </c>
      <c r="F1986" s="11">
        <v>3.0</v>
      </c>
      <c r="G1986" s="11">
        <v>3.0</v>
      </c>
      <c r="H1986" s="11">
        <v>3.0</v>
      </c>
      <c r="I1986" s="11">
        <v>3.0</v>
      </c>
    </row>
    <row r="1987">
      <c r="A1987" s="10" t="s">
        <v>8384</v>
      </c>
      <c r="B1987" s="49" t="str">
        <f t="shared" si="1"/>
        <v>Mortgage Business Act</v>
      </c>
      <c r="C1987" s="49" t="str">
        <f t="shared" si="2"/>
        <v>Mortgage Business Act; Receive compensation for rendering mortgage business services when licensee or registrant has otherwise acted as a real estate broker or agent in connection with the sale of the real estate which secures the mortgage transaction without providing written disclosure as required</v>
      </c>
      <c r="D1987" s="49" t="str">
        <f t="shared" si="3"/>
        <v>9-2212(g)</v>
      </c>
      <c r="E1987" s="11" t="s">
        <v>133</v>
      </c>
      <c r="F1987" s="11">
        <v>3.0</v>
      </c>
      <c r="G1987" s="11">
        <v>3.0</v>
      </c>
      <c r="H1987" s="11">
        <v>3.0</v>
      </c>
      <c r="I1987" s="11">
        <v>3.0</v>
      </c>
    </row>
    <row r="1988">
      <c r="A1988" s="10" t="s">
        <v>8385</v>
      </c>
      <c r="B1988" s="49" t="str">
        <f t="shared" si="1"/>
        <v>Mortgage Business Act</v>
      </c>
      <c r="C1988" s="49" t="str">
        <f t="shared" si="2"/>
        <v>Mortgage Business Act; Record a mortgage if moneys are not available for the immediate disbursal to the mortgagor without informing the mortgagor in writing of a definite date by which payment shall be made and obtaining the mortgagor's written permission for the delay</v>
      </c>
      <c r="D1988" s="49" t="str">
        <f t="shared" si="3"/>
        <v>9-2212(j)</v>
      </c>
      <c r="E1988" s="11" t="s">
        <v>133</v>
      </c>
      <c r="F1988" s="11">
        <v>3.0</v>
      </c>
      <c r="G1988" s="11">
        <v>3.0</v>
      </c>
      <c r="H1988" s="11">
        <v>3.0</v>
      </c>
      <c r="I1988" s="11">
        <v>3.0</v>
      </c>
    </row>
    <row r="1989">
      <c r="A1989" s="10" t="s">
        <v>8386</v>
      </c>
      <c r="B1989" s="49" t="str">
        <f t="shared" si="1"/>
        <v>Mortgage Business Act</v>
      </c>
      <c r="C1989" s="49" t="str">
        <f t="shared" si="2"/>
        <v>Mortgage Business Act; Registration required for a loan originator</v>
      </c>
      <c r="D1989" s="49" t="str">
        <f t="shared" si="3"/>
        <v>9-2203(b)</v>
      </c>
      <c r="E1989" s="11" t="s">
        <v>133</v>
      </c>
      <c r="F1989" s="11">
        <v>3.0</v>
      </c>
      <c r="G1989" s="11">
        <v>3.0</v>
      </c>
      <c r="H1989" s="11">
        <v>3.0</v>
      </c>
      <c r="I1989" s="11">
        <v>3.0</v>
      </c>
    </row>
    <row r="1990">
      <c r="A1990" s="10" t="s">
        <v>8387</v>
      </c>
      <c r="B1990" s="49" t="str">
        <f t="shared" si="1"/>
        <v>Mortgage Business Act</v>
      </c>
      <c r="C1990" s="49" t="str">
        <f t="shared" si="2"/>
        <v>Mortgage Business Act; Transfer, assign or attempt to transfer or assign, a license or registration to any other person</v>
      </c>
      <c r="D1990" s="49" t="str">
        <f t="shared" si="3"/>
        <v>9-2212(k)</v>
      </c>
      <c r="E1990" s="11" t="s">
        <v>133</v>
      </c>
      <c r="F1990" s="11">
        <v>3.0</v>
      </c>
      <c r="G1990" s="11">
        <v>3.0</v>
      </c>
      <c r="H1990" s="11">
        <v>3.0</v>
      </c>
      <c r="I1990" s="11">
        <v>3.0</v>
      </c>
    </row>
    <row r="1991">
      <c r="A1991" s="10" t="s">
        <v>8388</v>
      </c>
      <c r="B1991" s="49" t="str">
        <f t="shared" si="1"/>
        <v>Mortgage Business Act</v>
      </c>
      <c r="C1991" s="49" t="str">
        <f t="shared" si="2"/>
        <v>Mortgage Business Act; Unauthorized employment of a person who has: (1) had a license or registration denied, revoked, suspended or refused renewal; or (2) been convicted of any crime involving fraud, dishonesty or deceit</v>
      </c>
      <c r="D1991" s="49" t="str">
        <f t="shared" si="3"/>
        <v>9-2212(b)</v>
      </c>
      <c r="E1991" s="11" t="s">
        <v>133</v>
      </c>
      <c r="F1991" s="11">
        <v>3.0</v>
      </c>
      <c r="G1991" s="11">
        <v>3.0</v>
      </c>
      <c r="H1991" s="11">
        <v>3.0</v>
      </c>
      <c r="I1991" s="11">
        <v>3.0</v>
      </c>
    </row>
    <row r="1992">
      <c r="A1992" s="10" t="s">
        <v>8389</v>
      </c>
      <c r="B1992" s="49" t="str">
        <f t="shared" si="1"/>
        <v>Mortgage Business Act</v>
      </c>
      <c r="C1992" s="49" t="str">
        <f t="shared" si="2"/>
        <v>Mortgage Business Act; Willful or knowing violation any of the provisions of this act, any rule and regulation</v>
      </c>
      <c r="D1992" s="49" t="str">
        <f t="shared" si="3"/>
        <v>9-2203(c)</v>
      </c>
      <c r="E1992" s="11" t="s">
        <v>133</v>
      </c>
      <c r="F1992" s="11">
        <v>3.0</v>
      </c>
      <c r="G1992" s="11">
        <v>3.0</v>
      </c>
      <c r="H1992" s="11">
        <v>3.0</v>
      </c>
      <c r="I1992" s="11">
        <v>3.0</v>
      </c>
    </row>
    <row r="1993">
      <c r="A1993" s="10" t="s">
        <v>8390</v>
      </c>
      <c r="B1993" s="49" t="str">
        <f t="shared" si="1"/>
        <v>Motion Pictures</v>
      </c>
      <c r="C1993" s="49" t="str">
        <f t="shared" si="2"/>
        <v>Motion Pictures; Unlawful use of a recording device; 1st conviction</v>
      </c>
      <c r="D1993" s="49" t="str">
        <f t="shared" si="3"/>
        <v>51-301(a)</v>
      </c>
      <c r="E1993" s="11" t="s">
        <v>133</v>
      </c>
      <c r="F1993" s="11">
        <v>3.0</v>
      </c>
      <c r="G1993" s="11">
        <v>3.0</v>
      </c>
      <c r="H1993" s="11">
        <v>3.0</v>
      </c>
      <c r="I1993" s="11">
        <v>3.0</v>
      </c>
    </row>
    <row r="1994">
      <c r="A1994" s="10" t="s">
        <v>8391</v>
      </c>
      <c r="B1994" s="49" t="str">
        <f t="shared" si="1"/>
        <v>Motion Pictures</v>
      </c>
      <c r="C1994" s="49" t="str">
        <f t="shared" si="2"/>
        <v>Motion Pictures; Unlawful use of a recording device; 2nd or subs. conviction</v>
      </c>
      <c r="D1994" s="49" t="str">
        <f t="shared" si="3"/>
        <v>51-301(a)</v>
      </c>
      <c r="E1994" s="11" t="s">
        <v>133</v>
      </c>
      <c r="F1994" s="11">
        <v>3.0</v>
      </c>
      <c r="G1994" s="11">
        <v>3.0</v>
      </c>
      <c r="H1994" s="11">
        <v>3.0</v>
      </c>
      <c r="I1994" s="11">
        <v>3.0</v>
      </c>
    </row>
    <row r="1995">
      <c r="A1995" s="10" t="s">
        <v>8392</v>
      </c>
      <c r="B1995" s="49" t="str">
        <f t="shared" si="1"/>
        <v>Motor Carriers</v>
      </c>
      <c r="C1995" s="49" t="str">
        <f t="shared" si="2"/>
        <v>Motor Carriers; Failure or refusal of driver of a vehicle to drive such vehicle to the nearest inspection station or other suitable place when so directed by a member of the highway patrol</v>
      </c>
      <c r="D1995" s="49" t="str">
        <f t="shared" si="3"/>
        <v>66-1319(a)</v>
      </c>
      <c r="E1995" s="11" t="s">
        <v>133</v>
      </c>
      <c r="F1995" s="11">
        <v>3.0</v>
      </c>
      <c r="G1995" s="11">
        <v>3.0</v>
      </c>
      <c r="H1995" s="11">
        <v>3.0</v>
      </c>
      <c r="I1995" s="11">
        <v>3.0</v>
      </c>
    </row>
    <row r="1996">
      <c r="A1996" s="10" t="s">
        <v>8393</v>
      </c>
      <c r="B1996" s="49" t="str">
        <f t="shared" si="1"/>
        <v>Motor Carriers</v>
      </c>
      <c r="C1996" s="49" t="str">
        <f t="shared" si="2"/>
        <v>Motor Carriers; Penalty for violating any of the provisions of K.S.A. 66-1,139 or 66-1,140</v>
      </c>
      <c r="D1996" s="49" t="str">
        <f t="shared" si="3"/>
        <v>66-1315</v>
      </c>
      <c r="E1996" s="11" t="s">
        <v>133</v>
      </c>
      <c r="F1996" s="11">
        <v>3.0</v>
      </c>
      <c r="G1996" s="11">
        <v>3.0</v>
      </c>
      <c r="H1996" s="11">
        <v>3.0</v>
      </c>
      <c r="I1996" s="11">
        <v>3.0</v>
      </c>
    </row>
    <row r="1997">
      <c r="A1997" s="10" t="s">
        <v>8394</v>
      </c>
      <c r="B1997" s="49" t="str">
        <f t="shared" si="1"/>
        <v>Motorboat Exhaust Noise Emissions in Violation of Limits</v>
      </c>
      <c r="C1997" s="49" t="str">
        <f t="shared" si="2"/>
        <v>Motorboat Exhaust Noise Emissions in Violation of Limits</v>
      </c>
      <c r="D1997" s="49" t="str">
        <f t="shared" si="3"/>
        <v>32-1120(a)</v>
      </c>
      <c r="E1997" s="11" t="s">
        <v>133</v>
      </c>
      <c r="F1997" s="11">
        <v>3.0</v>
      </c>
      <c r="G1997" s="11">
        <v>3.0</v>
      </c>
      <c r="H1997" s="11">
        <v>3.0</v>
      </c>
      <c r="I1997" s="11">
        <v>3.0</v>
      </c>
    </row>
    <row r="1998">
      <c r="A1998" s="10" t="s">
        <v>8395</v>
      </c>
      <c r="B1998" s="49" t="str">
        <f t="shared" si="1"/>
        <v>Motorboat Exhaust Noise Emissions in Violation of Limits</v>
      </c>
      <c r="C1998" s="49" t="str">
        <f t="shared" si="2"/>
        <v>Motorboat Exhaust Noise Emissions in Violation of Limits; Failure to comply with a request or direction of officer</v>
      </c>
      <c r="D1998" s="49" t="str">
        <f t="shared" si="3"/>
        <v>32-1120(c)</v>
      </c>
      <c r="E1998" s="11" t="s">
        <v>133</v>
      </c>
      <c r="F1998" s="11">
        <v>3.0</v>
      </c>
      <c r="G1998" s="11">
        <v>3.0</v>
      </c>
      <c r="H1998" s="11">
        <v>3.0</v>
      </c>
      <c r="I1998" s="11">
        <v>3.0</v>
      </c>
    </row>
    <row r="1999">
      <c r="A1999" s="10" t="s">
        <v>8396</v>
      </c>
      <c r="B1999" s="49" t="str">
        <f t="shared" si="1"/>
        <v>Naturopathic Doctor Licensure Act</v>
      </c>
      <c r="C1999" s="49" t="str">
        <f t="shared" si="2"/>
        <v>Naturopathic Doctor Licensure Act; Violations</v>
      </c>
      <c r="D1999" s="49" t="str">
        <f t="shared" si="3"/>
        <v>65-7211</v>
      </c>
      <c r="E1999" s="11" t="s">
        <v>133</v>
      </c>
      <c r="F1999" s="11">
        <v>3.0</v>
      </c>
      <c r="G1999" s="11">
        <v>3.0</v>
      </c>
      <c r="H1999" s="11">
        <v>3.0</v>
      </c>
      <c r="I1999" s="11">
        <v>3.0</v>
      </c>
    </row>
    <row r="2000">
      <c r="A2000" s="10" t="s">
        <v>8397</v>
      </c>
      <c r="B2000" s="49" t="str">
        <f t="shared" si="1"/>
        <v>New Goods Public Auction</v>
      </c>
      <c r="C2000" s="49" t="str">
        <f t="shared" si="2"/>
        <v>New Goods Public Auction; Engage in, or conduct a public auction, without a license; knowingly advertise, represent or hold forth any sale of goods, wares or merchandise to be conducted contrary to the provisions of this act</v>
      </c>
      <c r="D2000" s="49" t="str">
        <f t="shared" si="3"/>
        <v>58-1022</v>
      </c>
      <c r="E2000" s="11" t="s">
        <v>133</v>
      </c>
      <c r="F2000" s="11">
        <v>3.0</v>
      </c>
      <c r="G2000" s="11">
        <v>3.0</v>
      </c>
      <c r="H2000" s="11">
        <v>3.0</v>
      </c>
      <c r="I2000" s="11">
        <v>3.0</v>
      </c>
    </row>
    <row r="2001">
      <c r="A2001" s="10" t="s">
        <v>8398</v>
      </c>
      <c r="B2001" s="49" t="str">
        <f t="shared" si="1"/>
        <v>New Goods Public Auction</v>
      </c>
      <c r="C2001" s="49" t="str">
        <f t="shared" si="2"/>
        <v>New Goods Public Auction; License required to conduct certain auction sales</v>
      </c>
      <c r="D2001" s="49" t="str">
        <f t="shared" si="3"/>
        <v>58-1016</v>
      </c>
      <c r="E2001" s="11" t="s">
        <v>133</v>
      </c>
      <c r="F2001" s="11">
        <v>3.0</v>
      </c>
      <c r="G2001" s="11">
        <v>3.0</v>
      </c>
      <c r="H2001" s="11">
        <v>3.0</v>
      </c>
      <c r="I2001" s="11">
        <v>3.0</v>
      </c>
    </row>
    <row r="2002">
      <c r="A2002" s="10" t="s">
        <v>8399</v>
      </c>
      <c r="B2002" s="49" t="str">
        <f t="shared" si="1"/>
        <v>Nonsupport of Child</v>
      </c>
      <c r="C2002" s="49" t="str">
        <f t="shared" si="2"/>
        <v>Nonsupport of Child; Parent's unlawful failure, neglect or refusal to provide support/maintenance of the child</v>
      </c>
      <c r="D2002" s="49" t="str">
        <f t="shared" si="3"/>
        <v>21-5606(a)(1)</v>
      </c>
      <c r="E2002" s="11" t="s">
        <v>133</v>
      </c>
      <c r="F2002" s="11">
        <v>3.0</v>
      </c>
      <c r="G2002" s="11">
        <v>3.0</v>
      </c>
      <c r="H2002" s="11">
        <v>3.0</v>
      </c>
      <c r="I2002" s="11">
        <v>3.0</v>
      </c>
    </row>
    <row r="2003">
      <c r="A2003" s="10" t="s">
        <v>8400</v>
      </c>
      <c r="B2003" s="49" t="str">
        <f t="shared" si="1"/>
        <v>Nonsupport of Spouse</v>
      </c>
      <c r="C2003" s="49" t="str">
        <f t="shared" si="2"/>
        <v>Nonsupport of Spouse; Failure to provide for the support of a person's spouse</v>
      </c>
      <c r="D2003" s="49" t="str">
        <f t="shared" si="3"/>
        <v>21-5606(a)(2)</v>
      </c>
      <c r="E2003" s="11" t="s">
        <v>133</v>
      </c>
      <c r="F2003" s="11">
        <v>3.0</v>
      </c>
      <c r="G2003" s="11">
        <v>3.0</v>
      </c>
      <c r="H2003" s="11">
        <v>3.0</v>
      </c>
      <c r="I2003" s="11">
        <v>3.0</v>
      </c>
    </row>
    <row r="2004">
      <c r="A2004" s="10" t="s">
        <v>8401</v>
      </c>
      <c r="B2004" s="49" t="str">
        <f t="shared" si="1"/>
        <v>Notaries Public &amp; Commissioners</v>
      </c>
      <c r="C2004" s="49" t="str">
        <f t="shared" si="2"/>
        <v>Notaries Public &amp; Commissioners; Willful neglect or refusal to provide date of expiration of appointment</v>
      </c>
      <c r="D2004" s="49" t="str">
        <f t="shared" si="3"/>
        <v>53-106</v>
      </c>
      <c r="E2004" s="11" t="s">
        <v>133</v>
      </c>
      <c r="F2004" s="11">
        <v>3.0</v>
      </c>
      <c r="G2004" s="11">
        <v>3.0</v>
      </c>
      <c r="H2004" s="11">
        <v>3.0</v>
      </c>
      <c r="I2004" s="11">
        <v>3.0</v>
      </c>
    </row>
    <row r="2005">
      <c r="A2005" s="10" t="s">
        <v>8402</v>
      </c>
      <c r="B2005" s="49" t="str">
        <f t="shared" si="1"/>
        <v>Notary public - use of "notario publico" prohibited</v>
      </c>
      <c r="C2005" s="49" t="str">
        <f t="shared" si="2"/>
        <v>Notary public - use of "notario publico" prohibited</v>
      </c>
      <c r="D2005" s="49" t="str">
        <f t="shared" si="3"/>
        <v>53-121(a)-(b)</v>
      </c>
      <c r="E2005" s="11" t="s">
        <v>133</v>
      </c>
      <c r="F2005" s="11">
        <v>3.0</v>
      </c>
      <c r="G2005" s="11">
        <v>3.0</v>
      </c>
      <c r="H2005" s="11">
        <v>3.0</v>
      </c>
      <c r="I2005" s="11">
        <v>3.0</v>
      </c>
    </row>
    <row r="2006">
      <c r="A2006" s="10" t="s">
        <v>8403</v>
      </c>
      <c r="B2006" s="49" t="str">
        <f t="shared" si="1"/>
        <v>Nuclear Energy Development &amp; Radiation Control Act</v>
      </c>
      <c r="C2006" s="49" t="str">
        <f t="shared" si="2"/>
        <v>Nuclear Energy Development &amp; Radiation Control Act; Prohibited uses</v>
      </c>
      <c r="D2006" s="49" t="str">
        <f t="shared" si="3"/>
        <v>48-1612</v>
      </c>
      <c r="E2006" s="11" t="s">
        <v>133</v>
      </c>
      <c r="F2006" s="11">
        <v>3.0</v>
      </c>
      <c r="G2006" s="11">
        <v>3.0</v>
      </c>
      <c r="H2006" s="11">
        <v>3.0</v>
      </c>
      <c r="I2006" s="11">
        <v>3.0</v>
      </c>
    </row>
    <row r="2007">
      <c r="A2007" s="10" t="s">
        <v>8404</v>
      </c>
      <c r="B2007" s="49" t="str">
        <f t="shared" si="1"/>
        <v>Nurse Practice Act</v>
      </c>
      <c r="C2007" s="49" t="str">
        <f t="shared" si="2"/>
        <v>Nurse Practice Act; Any other violation of the Kansas nurse practice act or rules and regulations adopted pursuant thereto; 1st violation</v>
      </c>
      <c r="D2007" s="49" t="str">
        <f t="shared" si="3"/>
        <v>65-1162(b)(4)</v>
      </c>
      <c r="E2007" s="11" t="s">
        <v>133</v>
      </c>
      <c r="F2007" s="11">
        <v>3.0</v>
      </c>
      <c r="G2007" s="11">
        <v>3.0</v>
      </c>
      <c r="H2007" s="11">
        <v>3.0</v>
      </c>
      <c r="I2007" s="11">
        <v>3.0</v>
      </c>
    </row>
    <row r="2008">
      <c r="A2008" s="10" t="s">
        <v>8405</v>
      </c>
      <c r="B2008" s="49" t="str">
        <f t="shared" si="1"/>
        <v>Nurse Practice Act</v>
      </c>
      <c r="C2008" s="49" t="str">
        <f t="shared" si="2"/>
        <v>Nurse Practice Act; Any other violation of the Kansas nurse practice act or rules and regulations adopted pursuant thereto; 2nd or subs. violation</v>
      </c>
      <c r="D2008" s="49" t="str">
        <f t="shared" si="3"/>
        <v>65-1162(b)(4)</v>
      </c>
      <c r="E2008" s="11" t="s">
        <v>133</v>
      </c>
      <c r="F2008" s="11">
        <v>3.0</v>
      </c>
      <c r="G2008" s="11">
        <v>3.0</v>
      </c>
      <c r="H2008" s="11">
        <v>3.0</v>
      </c>
      <c r="I2008" s="11">
        <v>3.0</v>
      </c>
    </row>
    <row r="2009">
      <c r="A2009" s="10" t="s">
        <v>8406</v>
      </c>
      <c r="B2009" s="49" t="str">
        <f t="shared" si="1"/>
        <v>Nurse Practice Act</v>
      </c>
      <c r="C2009" s="49" t="str">
        <f t="shared" si="2"/>
        <v>Nurse Practice Act; Employ or offer to employ a person as a registered nurse anesthetist knowing that such person is not authorized to practice as such; 1st violation</v>
      </c>
      <c r="D2009" s="49" t="str">
        <f t="shared" si="3"/>
        <v>65-1162(b)(1)</v>
      </c>
      <c r="E2009" s="11" t="s">
        <v>133</v>
      </c>
      <c r="F2009" s="11">
        <v>3.0</v>
      </c>
      <c r="G2009" s="11">
        <v>3.0</v>
      </c>
      <c r="H2009" s="11">
        <v>3.0</v>
      </c>
      <c r="I2009" s="11">
        <v>3.0</v>
      </c>
    </row>
    <row r="2010">
      <c r="A2010" s="10" t="s">
        <v>8407</v>
      </c>
      <c r="B2010" s="49" t="str">
        <f t="shared" si="1"/>
        <v>Nurse Practice Act</v>
      </c>
      <c r="C2010" s="49" t="str">
        <f t="shared" si="2"/>
        <v>Nurse Practice Act; Employ or offer to employ a person as a registered nurse anesthetist knowing that such person is not authorized to practice as such; 2nd or subs. violation</v>
      </c>
      <c r="D2010" s="49" t="str">
        <f t="shared" si="3"/>
        <v>65-1162(b)(1)</v>
      </c>
      <c r="E2010" s="11" t="s">
        <v>133</v>
      </c>
      <c r="F2010" s="11">
        <v>3.0</v>
      </c>
      <c r="G2010" s="11">
        <v>3.0</v>
      </c>
      <c r="H2010" s="11">
        <v>3.0</v>
      </c>
      <c r="I2010" s="11">
        <v>3.0</v>
      </c>
    </row>
    <row r="2011">
      <c r="A2011" s="10" t="s">
        <v>8408</v>
      </c>
      <c r="B2011" s="49" t="str">
        <f t="shared" si="1"/>
        <v>Nurse Practice Act</v>
      </c>
      <c r="C2011" s="49" t="str">
        <f t="shared" si="2"/>
        <v>Nurse Practice Act; Engage in the administration of general or regional anesthesia without being authorized by the board to practice as a registered nurse anesthetist</v>
      </c>
      <c r="D2011" s="49" t="str">
        <f t="shared" si="3"/>
        <v>65-1162(a)</v>
      </c>
      <c r="E2011" s="11" t="s">
        <v>133</v>
      </c>
      <c r="F2011" s="11">
        <v>3.0</v>
      </c>
      <c r="G2011" s="11">
        <v>3.0</v>
      </c>
      <c r="H2011" s="11">
        <v>3.0</v>
      </c>
      <c r="I2011" s="11">
        <v>3.0</v>
      </c>
    </row>
    <row r="2012">
      <c r="A2012" s="10" t="s">
        <v>8409</v>
      </c>
      <c r="B2012" s="49" t="str">
        <f t="shared" si="1"/>
        <v>Nurse Practice Act</v>
      </c>
      <c r="C2012" s="49" t="str">
        <f t="shared" si="2"/>
        <v>Nurse Practice Act; Fraudulently seek, obtain or furnish documents indicating that a person is authorized by the board to practice as a registered nurse anesthetist when such person is not so authorized; aiding and abetting such activities; 1st violation</v>
      </c>
      <c r="D2012" s="49" t="str">
        <f t="shared" si="3"/>
        <v>65-1162(b)(2)</v>
      </c>
      <c r="E2012" s="11" t="s">
        <v>133</v>
      </c>
      <c r="F2012" s="11">
        <v>3.0</v>
      </c>
      <c r="G2012" s="11">
        <v>3.0</v>
      </c>
      <c r="H2012" s="11">
        <v>3.0</v>
      </c>
      <c r="I2012" s="11">
        <v>3.0</v>
      </c>
    </row>
    <row r="2013">
      <c r="A2013" s="10" t="s">
        <v>8410</v>
      </c>
      <c r="B2013" s="49" t="str">
        <f t="shared" si="1"/>
        <v>Nurse Practice Act</v>
      </c>
      <c r="C2013" s="49" t="str">
        <f t="shared" si="2"/>
        <v>Nurse Practice Act; Fraudulently seek, obtain or furnish documents indicating that a person is authorized by the board to practice as a registered nurse anesthetist when such person is not so authorized; aiding and abetting such activities; 2nd or subs. violation</v>
      </c>
      <c r="D2013" s="49" t="str">
        <f t="shared" si="3"/>
        <v>65-1162(b)(2)</v>
      </c>
      <c r="E2013" s="11" t="s">
        <v>133</v>
      </c>
      <c r="F2013" s="11">
        <v>3.0</v>
      </c>
      <c r="G2013" s="11">
        <v>3.0</v>
      </c>
      <c r="H2013" s="11">
        <v>3.0</v>
      </c>
      <c r="I2013" s="11">
        <v>3.0</v>
      </c>
    </row>
    <row r="2014">
      <c r="A2014" s="10" t="s">
        <v>8411</v>
      </c>
      <c r="B2014" s="49" t="str">
        <f t="shared" si="1"/>
        <v>Nurse Practice Act</v>
      </c>
      <c r="C2014" s="49" t="str">
        <f t="shared" si="2"/>
        <v>Nurse Practice Act; Practice or offer to practice as an advanced registered nurse practitioner in this state without being so certified; 1st violation</v>
      </c>
      <c r="D2014" s="49" t="str">
        <f t="shared" si="3"/>
        <v>65-1114(b)(1)</v>
      </c>
      <c r="E2014" s="11" t="s">
        <v>133</v>
      </c>
      <c r="F2014" s="11">
        <v>3.0</v>
      </c>
      <c r="G2014" s="11">
        <v>3.0</v>
      </c>
      <c r="H2014" s="11">
        <v>3.0</v>
      </c>
      <c r="I2014" s="11">
        <v>3.0</v>
      </c>
    </row>
    <row r="2015">
      <c r="A2015" s="10" t="s">
        <v>8412</v>
      </c>
      <c r="B2015" s="49" t="str">
        <f t="shared" si="1"/>
        <v>Nurse Practice Act</v>
      </c>
      <c r="C2015" s="49" t="str">
        <f t="shared" si="2"/>
        <v>Nurse Practice Act; Practice or offer to practice as an advanced registered nurse practitioner in this state without being so certified; 2nd or subs. violation</v>
      </c>
      <c r="D2015" s="49" t="str">
        <f t="shared" si="3"/>
        <v>65-1114(b)(1)</v>
      </c>
      <c r="E2015" s="11" t="s">
        <v>133</v>
      </c>
      <c r="F2015" s="11">
        <v>3.0</v>
      </c>
      <c r="G2015" s="11">
        <v>3.0</v>
      </c>
      <c r="H2015" s="11">
        <v>3.0</v>
      </c>
      <c r="I2015" s="11">
        <v>3.0</v>
      </c>
    </row>
    <row r="2016">
      <c r="A2016" s="10" t="s">
        <v>8413</v>
      </c>
      <c r="B2016" s="49" t="str">
        <f t="shared" si="1"/>
        <v>Nurse Practice Act</v>
      </c>
      <c r="C2016" s="49" t="str">
        <f t="shared" si="2"/>
        <v>Nurse Practice Act; Practice or offer to practice practical nursing in this state without license; 1st violation</v>
      </c>
      <c r="D2016" s="49" t="str">
        <f t="shared" si="3"/>
        <v>65-1114(a)(3)</v>
      </c>
      <c r="E2016" s="11" t="s">
        <v>133</v>
      </c>
      <c r="F2016" s="11">
        <v>3.0</v>
      </c>
      <c r="G2016" s="11">
        <v>3.0</v>
      </c>
      <c r="H2016" s="11">
        <v>3.0</v>
      </c>
      <c r="I2016" s="11">
        <v>3.0</v>
      </c>
    </row>
    <row r="2017">
      <c r="A2017" s="10" t="s">
        <v>8414</v>
      </c>
      <c r="B2017" s="49" t="str">
        <f t="shared" si="1"/>
        <v>Nurse Practice Act</v>
      </c>
      <c r="C2017" s="49" t="str">
        <f t="shared" si="2"/>
        <v>Nurse Practice Act; Practice or offer to practice practical nursing in this state without license; 2nd or subs. violation</v>
      </c>
      <c r="D2017" s="49" t="str">
        <f t="shared" si="3"/>
        <v>65-1114(a)(3)</v>
      </c>
      <c r="E2017" s="11" t="s">
        <v>133</v>
      </c>
      <c r="F2017" s="11">
        <v>3.0</v>
      </c>
      <c r="G2017" s="11">
        <v>3.0</v>
      </c>
      <c r="H2017" s="11">
        <v>3.0</v>
      </c>
      <c r="I2017" s="11">
        <v>3.0</v>
      </c>
    </row>
    <row r="2018">
      <c r="A2018" s="10" t="s">
        <v>8415</v>
      </c>
      <c r="B2018" s="49" t="str">
        <f t="shared" si="1"/>
        <v>Nurse Practice Act</v>
      </c>
      <c r="C2018" s="49" t="str">
        <f t="shared" si="2"/>
        <v>Nurse Practice Act; Practice or to offer to practice professional nursing in this state without license; 1st violation</v>
      </c>
      <c r="D2018" s="49" t="str">
        <f t="shared" si="3"/>
        <v>65-1114(a)(1)</v>
      </c>
      <c r="E2018" s="11" t="s">
        <v>133</v>
      </c>
      <c r="F2018" s="11">
        <v>3.0</v>
      </c>
      <c r="G2018" s="11">
        <v>3.0</v>
      </c>
      <c r="H2018" s="11">
        <v>3.0</v>
      </c>
      <c r="I2018" s="11">
        <v>3.0</v>
      </c>
    </row>
    <row r="2019">
      <c r="A2019" s="10" t="s">
        <v>8416</v>
      </c>
      <c r="B2019" s="49" t="str">
        <f t="shared" si="1"/>
        <v>Nurse Practice Act</v>
      </c>
      <c r="C2019" s="49" t="str">
        <f t="shared" si="2"/>
        <v>Nurse Practice Act; Practice or to offer to practice professional nursing in this state without license; 2nd or subs. violation</v>
      </c>
      <c r="D2019" s="49" t="str">
        <f t="shared" si="3"/>
        <v>65-1114(a)(1)</v>
      </c>
      <c r="E2019" s="11" t="s">
        <v>133</v>
      </c>
      <c r="F2019" s="11">
        <v>3.0</v>
      </c>
      <c r="G2019" s="11">
        <v>3.0</v>
      </c>
      <c r="H2019" s="11">
        <v>3.0</v>
      </c>
      <c r="I2019" s="11">
        <v>3.0</v>
      </c>
    </row>
    <row r="2020">
      <c r="A2020" s="10" t="s">
        <v>8417</v>
      </c>
      <c r="B2020" s="49" t="str">
        <f t="shared" si="1"/>
        <v>Nurse Practice Act</v>
      </c>
      <c r="C2020" s="49" t="str">
        <f t="shared" si="2"/>
        <v>Nurse Practice Act; Practice professional nursing, practical nursing or as an advanced registered nurse practitioner while license or certificate has expired or has been suspended or revoked; 1st violation</v>
      </c>
      <c r="D2020" s="49" t="str">
        <f t="shared" si="3"/>
        <v>65-1122(d)</v>
      </c>
      <c r="E2020" s="11" t="s">
        <v>133</v>
      </c>
      <c r="F2020" s="11">
        <v>3.0</v>
      </c>
      <c r="G2020" s="11">
        <v>3.0</v>
      </c>
      <c r="H2020" s="11">
        <v>3.0</v>
      </c>
      <c r="I2020" s="11">
        <v>3.0</v>
      </c>
    </row>
    <row r="2021">
      <c r="A2021" s="10" t="s">
        <v>8418</v>
      </c>
      <c r="B2021" s="49" t="str">
        <f t="shared" si="1"/>
        <v>Nurse Practice Act</v>
      </c>
      <c r="C2021" s="49" t="str">
        <f t="shared" si="2"/>
        <v>Nurse Practice Act; Practice professional nursing, practical nursing or as an advanced registered nurse practitioner while license or certificate has expired or has been suspended or revoked; 2nd or subs. violation</v>
      </c>
      <c r="D2021" s="49" t="str">
        <f t="shared" si="3"/>
        <v>65-1122(d)</v>
      </c>
      <c r="E2021" s="11" t="s">
        <v>133</v>
      </c>
      <c r="F2021" s="11">
        <v>3.0</v>
      </c>
      <c r="G2021" s="11">
        <v>3.0</v>
      </c>
      <c r="H2021" s="11">
        <v>3.0</v>
      </c>
      <c r="I2021" s="11">
        <v>3.0</v>
      </c>
    </row>
    <row r="2022">
      <c r="A2022" s="10" t="s">
        <v>8419</v>
      </c>
      <c r="B2022" s="49" t="str">
        <f t="shared" si="1"/>
        <v>Nurse Practice Act</v>
      </c>
      <c r="C2022" s="49" t="str">
        <f t="shared" si="2"/>
        <v>Nurse Practice Act; Practice professional nursing, practical nursing or practice as an advanced registered nurse practitioner, without being so licensed or certified; 1st violation</v>
      </c>
      <c r="D2022" s="49" t="str">
        <f t="shared" si="3"/>
        <v>65-1122(b)</v>
      </c>
      <c r="E2022" s="11" t="s">
        <v>133</v>
      </c>
      <c r="F2022" s="11">
        <v>3.0</v>
      </c>
      <c r="G2022" s="11">
        <v>3.0</v>
      </c>
      <c r="H2022" s="11">
        <v>3.0</v>
      </c>
      <c r="I2022" s="11">
        <v>3.0</v>
      </c>
    </row>
    <row r="2023">
      <c r="A2023" s="10" t="s">
        <v>8420</v>
      </c>
      <c r="B2023" s="49" t="str">
        <f t="shared" si="1"/>
        <v>Nurse Practice Act</v>
      </c>
      <c r="C2023" s="49" t="str">
        <f t="shared" si="2"/>
        <v>Nurse Practice Act; Practice professional nursing, practical nursing or practice as an advanced registered nurse practitioner, without being so licensed or certified; 2nd or subs. violation</v>
      </c>
      <c r="D2023" s="49" t="str">
        <f t="shared" si="3"/>
        <v>65-1122(b)</v>
      </c>
      <c r="E2023" s="11" t="s">
        <v>133</v>
      </c>
      <c r="F2023" s="11">
        <v>3.0</v>
      </c>
      <c r="G2023" s="11">
        <v>3.0</v>
      </c>
      <c r="H2023" s="11">
        <v>3.0</v>
      </c>
      <c r="I2023" s="11">
        <v>3.0</v>
      </c>
    </row>
    <row r="2024">
      <c r="A2024" s="10" t="s">
        <v>8421</v>
      </c>
      <c r="B2024" s="49" t="str">
        <f t="shared" si="1"/>
        <v>Nurse Practice Act</v>
      </c>
      <c r="C2024" s="49" t="str">
        <f t="shared" si="2"/>
        <v>Nurse Practice Act; Represent that a provider of continuing nursing education is approved by the board for educating either professional nurses or practical nurses, without being so approved; 1st violation</v>
      </c>
      <c r="D2024" s="49" t="str">
        <f t="shared" si="3"/>
        <v>65-1122(g)</v>
      </c>
      <c r="E2024" s="11" t="s">
        <v>133</v>
      </c>
      <c r="F2024" s="11">
        <v>3.0</v>
      </c>
      <c r="G2024" s="11">
        <v>3.0</v>
      </c>
      <c r="H2024" s="11">
        <v>3.0</v>
      </c>
      <c r="I2024" s="11">
        <v>3.0</v>
      </c>
    </row>
    <row r="2025">
      <c r="A2025" s="10" t="s">
        <v>8422</v>
      </c>
      <c r="B2025" s="49" t="str">
        <f t="shared" si="1"/>
        <v>Nurse Practice Act</v>
      </c>
      <c r="C2025" s="49" t="str">
        <f t="shared" si="2"/>
        <v>Nurse Practice Act; Represent that a provider of continuing nursing education is approved by the board for educating either professional nurses or practical nurses, without being so approved; 2nd or subs. violation</v>
      </c>
      <c r="D2025" s="49" t="str">
        <f t="shared" si="3"/>
        <v>65-1122(g)</v>
      </c>
      <c r="E2025" s="11" t="s">
        <v>133</v>
      </c>
      <c r="F2025" s="11">
        <v>3.0</v>
      </c>
      <c r="G2025" s="11">
        <v>3.0</v>
      </c>
      <c r="H2025" s="11">
        <v>3.0</v>
      </c>
      <c r="I2025" s="11">
        <v>3.0</v>
      </c>
    </row>
    <row r="2026">
      <c r="A2026" s="10" t="s">
        <v>8423</v>
      </c>
      <c r="B2026" s="49" t="str">
        <f t="shared" si="1"/>
        <v>Nurse Practice Act</v>
      </c>
      <c r="C2026" s="49" t="str">
        <f t="shared" si="2"/>
        <v>Nurse Practice Act; Represent that a school for nursing is approved for educating either professional nurses or practical nurses, without being so approved; 1st violation</v>
      </c>
      <c r="D2026" s="49" t="str">
        <f t="shared" si="3"/>
        <v>65-1122(e)</v>
      </c>
      <c r="E2026" s="11" t="s">
        <v>133</v>
      </c>
      <c r="F2026" s="11">
        <v>3.0</v>
      </c>
      <c r="G2026" s="11">
        <v>3.0</v>
      </c>
      <c r="H2026" s="11">
        <v>3.0</v>
      </c>
      <c r="I2026" s="11">
        <v>3.0</v>
      </c>
    </row>
    <row r="2027">
      <c r="A2027" s="10" t="s">
        <v>8424</v>
      </c>
      <c r="B2027" s="49" t="str">
        <f t="shared" si="1"/>
        <v>Nurse Practice Act</v>
      </c>
      <c r="C2027" s="49" t="str">
        <f t="shared" si="2"/>
        <v>Nurse Practice Act; Represent that a school for nursing is approved for educating either professional nurses or practical nurses, without being so approved; 2nd or subs. violation</v>
      </c>
      <c r="D2027" s="49" t="str">
        <f t="shared" si="3"/>
        <v>65-1122(e)</v>
      </c>
      <c r="E2027" s="11" t="s">
        <v>133</v>
      </c>
      <c r="F2027" s="11">
        <v>3.0</v>
      </c>
      <c r="G2027" s="11">
        <v>3.0</v>
      </c>
      <c r="H2027" s="11">
        <v>3.0</v>
      </c>
      <c r="I2027" s="11">
        <v>3.0</v>
      </c>
    </row>
    <row r="2028">
      <c r="A2028" s="10" t="s">
        <v>8425</v>
      </c>
      <c r="B2028" s="49" t="str">
        <f t="shared" si="1"/>
        <v>Nurse Practice Act</v>
      </c>
      <c r="C2028" s="49" t="str">
        <f t="shared" si="2"/>
        <v>Nurse Practice Act; Sell or fraudulently obtain or furnish any nursing diploma, license, record or certificate of qualification; aid and abet such activities; 1st violation</v>
      </c>
      <c r="D2028" s="49" t="str">
        <f t="shared" si="3"/>
        <v>65-1122(a)</v>
      </c>
      <c r="E2028" s="11" t="s">
        <v>133</v>
      </c>
      <c r="F2028" s="11">
        <v>3.0</v>
      </c>
      <c r="G2028" s="11">
        <v>3.0</v>
      </c>
      <c r="H2028" s="11">
        <v>3.0</v>
      </c>
      <c r="I2028" s="11">
        <v>3.0</v>
      </c>
    </row>
    <row r="2029">
      <c r="A2029" s="10" t="s">
        <v>8426</v>
      </c>
      <c r="B2029" s="49" t="str">
        <f t="shared" si="1"/>
        <v>Nurse Practice Act</v>
      </c>
      <c r="C2029" s="49" t="str">
        <f t="shared" si="2"/>
        <v>Nurse Practice Act; Sell or fraudulently obtain or furnish any nursing diploma, license, record or certificate of qualification; aid and abet such activities; 2nd or subs. violation</v>
      </c>
      <c r="D2029" s="49" t="str">
        <f t="shared" si="3"/>
        <v>65-1122(a)</v>
      </c>
      <c r="E2029" s="11" t="s">
        <v>133</v>
      </c>
      <c r="F2029" s="11">
        <v>3.0</v>
      </c>
      <c r="G2029" s="11">
        <v>3.0</v>
      </c>
      <c r="H2029" s="11">
        <v>3.0</v>
      </c>
      <c r="I2029" s="11">
        <v>3.0</v>
      </c>
    </row>
    <row r="2030">
      <c r="A2030" s="10" t="s">
        <v>8427</v>
      </c>
      <c r="B2030" s="49" t="str">
        <f t="shared" si="1"/>
        <v>Nurse Practice Act</v>
      </c>
      <c r="C2030" s="49" t="str">
        <f t="shared" si="2"/>
        <v>Nurse Practice Act; Use any title, abbreviation, letters, figures, sign, card or device to indicate that any person is a licensed practical nurse without being so licensed; 1st violation</v>
      </c>
      <c r="D2030" s="49" t="str">
        <f t="shared" si="3"/>
        <v>65-1114(a)(4)</v>
      </c>
      <c r="E2030" s="11" t="s">
        <v>133</v>
      </c>
      <c r="F2030" s="11">
        <v>3.0</v>
      </c>
      <c r="G2030" s="11">
        <v>3.0</v>
      </c>
      <c r="H2030" s="11">
        <v>3.0</v>
      </c>
      <c r="I2030" s="11">
        <v>3.0</v>
      </c>
    </row>
    <row r="2031">
      <c r="A2031" s="10" t="s">
        <v>8428</v>
      </c>
      <c r="B2031" s="49" t="str">
        <f t="shared" si="1"/>
        <v>Nurse Practice Act</v>
      </c>
      <c r="C2031" s="49" t="str">
        <f t="shared" si="2"/>
        <v>Nurse Practice Act; Use any title, abbreviation, letters, figures, sign, card or device to indicate that any person is a licensed practical nurse without being so licensed; 2nd or subs. violation</v>
      </c>
      <c r="D2031" s="49" t="str">
        <f t="shared" si="3"/>
        <v>65-1114(a)(4)</v>
      </c>
      <c r="E2031" s="11" t="s">
        <v>133</v>
      </c>
      <c r="F2031" s="11">
        <v>3.0</v>
      </c>
      <c r="G2031" s="11">
        <v>3.0</v>
      </c>
      <c r="H2031" s="11">
        <v>3.0</v>
      </c>
      <c r="I2031" s="11">
        <v>3.0</v>
      </c>
    </row>
    <row r="2032">
      <c r="A2032" s="10" t="s">
        <v>8429</v>
      </c>
      <c r="B2032" s="49" t="str">
        <f t="shared" si="1"/>
        <v>Nurse Practice Act</v>
      </c>
      <c r="C2032" s="49" t="str">
        <f t="shared" si="2"/>
        <v>Nurse Practice Act; Use any title, abbreviation, letters, figures, sign, card or device to indicate that any person is a registered professional nurse without such license; 1st violation</v>
      </c>
      <c r="D2032" s="49" t="str">
        <f t="shared" si="3"/>
        <v>65-1114(a)(2)</v>
      </c>
      <c r="E2032" s="11" t="s">
        <v>133</v>
      </c>
      <c r="F2032" s="11">
        <v>3.0</v>
      </c>
      <c r="G2032" s="11">
        <v>3.0</v>
      </c>
      <c r="H2032" s="11">
        <v>3.0</v>
      </c>
      <c r="I2032" s="11">
        <v>3.0</v>
      </c>
    </row>
    <row r="2033">
      <c r="A2033" s="10" t="s">
        <v>8430</v>
      </c>
      <c r="B2033" s="49" t="str">
        <f t="shared" si="1"/>
        <v>Nurse Practice Act</v>
      </c>
      <c r="C2033" s="49" t="str">
        <f t="shared" si="2"/>
        <v>Nurse Practice Act; Use any title, abbreviation, letters, figures, sign, card or device to indicate that any person is a registered professional nurse without such license; 2nd or subs. violation</v>
      </c>
      <c r="D2033" s="49" t="str">
        <f t="shared" si="3"/>
        <v>65-1114(a)(2)</v>
      </c>
      <c r="E2033" s="11" t="s">
        <v>133</v>
      </c>
      <c r="F2033" s="11">
        <v>3.0</v>
      </c>
      <c r="G2033" s="11">
        <v>3.0</v>
      </c>
      <c r="H2033" s="11">
        <v>3.0</v>
      </c>
      <c r="I2033" s="11">
        <v>3.0</v>
      </c>
    </row>
    <row r="2034">
      <c r="A2034" s="10" t="s">
        <v>8431</v>
      </c>
      <c r="B2034" s="49" t="str">
        <f t="shared" si="1"/>
        <v>Nurse Practice Act</v>
      </c>
      <c r="C2034" s="49" t="str">
        <f t="shared" si="2"/>
        <v>Nurse Practice Act; Use any title, abbreviation, letters, figures, sign, card or device to indicate that any person is an advanced registered nurse practitioner without being so certified; 1st violation</v>
      </c>
      <c r="D2034" s="49" t="str">
        <f t="shared" si="3"/>
        <v>65-1114(b)(2)</v>
      </c>
      <c r="E2034" s="11" t="s">
        <v>133</v>
      </c>
      <c r="F2034" s="11">
        <v>3.0</v>
      </c>
      <c r="G2034" s="11">
        <v>3.0</v>
      </c>
      <c r="H2034" s="11">
        <v>3.0</v>
      </c>
      <c r="I2034" s="11">
        <v>3.0</v>
      </c>
    </row>
    <row r="2035">
      <c r="A2035" s="10" t="s">
        <v>8432</v>
      </c>
      <c r="B2035" s="49" t="str">
        <f t="shared" si="1"/>
        <v>Nurse Practice Act</v>
      </c>
      <c r="C2035" s="49" t="str">
        <f t="shared" si="2"/>
        <v>Nurse Practice Act; Use any title, abbreviation, letters, figures, sign, card or device to indicate that any person is an advanced registered nurse practitioner without being so certified; 2nd or subs. violation</v>
      </c>
      <c r="D2035" s="49" t="str">
        <f t="shared" si="3"/>
        <v>65-1114(b)(2)</v>
      </c>
      <c r="E2035" s="11" t="s">
        <v>133</v>
      </c>
      <c r="F2035" s="11">
        <v>3.0</v>
      </c>
      <c r="G2035" s="11">
        <v>3.0</v>
      </c>
      <c r="H2035" s="11">
        <v>3.0</v>
      </c>
      <c r="I2035" s="11">
        <v>3.0</v>
      </c>
    </row>
    <row r="2036">
      <c r="A2036" s="10" t="s">
        <v>8433</v>
      </c>
      <c r="B2036" s="49" t="str">
        <f t="shared" si="1"/>
        <v>Nurse Practice Act</v>
      </c>
      <c r="C2036" s="49" t="str">
        <f t="shared" si="2"/>
        <v>Nurse Practice Act; Use designation implying that such person is a licensed professional nurse, a licensed practical nurse or an advanced registered nurse practitioner unless so licensed or certified; 1st violation</v>
      </c>
      <c r="D2036" s="49" t="str">
        <f t="shared" si="3"/>
        <v>65-1122(c)</v>
      </c>
      <c r="E2036" s="11" t="s">
        <v>133</v>
      </c>
      <c r="F2036" s="11">
        <v>3.0</v>
      </c>
      <c r="G2036" s="11">
        <v>3.0</v>
      </c>
      <c r="H2036" s="11">
        <v>3.0</v>
      </c>
      <c r="I2036" s="11">
        <v>3.0</v>
      </c>
    </row>
    <row r="2037">
      <c r="A2037" s="10" t="s">
        <v>8434</v>
      </c>
      <c r="B2037" s="49" t="str">
        <f t="shared" si="1"/>
        <v>Nurse Practice Act</v>
      </c>
      <c r="C2037" s="49" t="str">
        <f t="shared" si="2"/>
        <v>Nurse Practice Act; Use designation implying that such person is a licensed professional nurse, a licensed practical nurse or an advanced registered nurse practitioner unless so licensed or certified; 2nd or subs. violation</v>
      </c>
      <c r="D2037" s="49" t="str">
        <f t="shared" si="3"/>
        <v>65-1122(c)</v>
      </c>
      <c r="E2037" s="11" t="s">
        <v>133</v>
      </c>
      <c r="F2037" s="11">
        <v>3.0</v>
      </c>
      <c r="G2037" s="11">
        <v>3.0</v>
      </c>
      <c r="H2037" s="11">
        <v>3.0</v>
      </c>
      <c r="I2037" s="11">
        <v>3.0</v>
      </c>
    </row>
    <row r="2038">
      <c r="A2038" s="10" t="s">
        <v>8435</v>
      </c>
      <c r="B2038" s="49" t="str">
        <f t="shared" si="1"/>
        <v>Nurse Practice Act</v>
      </c>
      <c r="C2038" s="49" t="str">
        <f t="shared" si="2"/>
        <v>Nurse Practice Act; Use the title registered nurse anesthetist, the abbreviation R.N.A., or any other designation tending to imply that such person is authorized by the board to practice as a registered nurse anesthetist when such person is not so authorized; 2nd or subs. violation</v>
      </c>
      <c r="D2038" s="49" t="str">
        <f t="shared" si="3"/>
        <v>65-1162(b)(3)</v>
      </c>
      <c r="E2038" s="11" t="s">
        <v>133</v>
      </c>
      <c r="F2038" s="11">
        <v>3.0</v>
      </c>
      <c r="G2038" s="11">
        <v>3.0</v>
      </c>
      <c r="H2038" s="11">
        <v>3.0</v>
      </c>
      <c r="I2038" s="11">
        <v>3.0</v>
      </c>
    </row>
    <row r="2039">
      <c r="A2039" s="10" t="s">
        <v>8436</v>
      </c>
      <c r="B2039" s="49" t="str">
        <f t="shared" si="1"/>
        <v>Nurse Practice Act</v>
      </c>
      <c r="C2039" s="49" t="str">
        <f t="shared" si="2"/>
        <v>Nurse Practice Act; Use the title registered nurse anesthetist, the abbreviation R.N.A., or any other designation tending to imply that such person is authorized by the board to practice as a registered nurse anesthetist when such person is not so authorized; 1st violation</v>
      </c>
      <c r="D2039" s="49" t="str">
        <f t="shared" si="3"/>
        <v>65-1162(b)(3)</v>
      </c>
      <c r="E2039" s="11" t="s">
        <v>133</v>
      </c>
      <c r="F2039" s="11">
        <v>3.0</v>
      </c>
      <c r="G2039" s="11">
        <v>3.0</v>
      </c>
      <c r="H2039" s="11">
        <v>3.0</v>
      </c>
      <c r="I2039" s="11">
        <v>3.0</v>
      </c>
    </row>
    <row r="2040">
      <c r="A2040" s="10" t="s">
        <v>8437</v>
      </c>
      <c r="B2040" s="49" t="str">
        <f t="shared" si="1"/>
        <v>Nurse Practice Act</v>
      </c>
      <c r="C2040" s="49" t="str">
        <f t="shared" si="2"/>
        <v>Nurse Practice Act; Violate any provisions of the Kansas nurse practice act or rules and regulations adopted pursuant to that act; 1st violation</v>
      </c>
      <c r="D2040" s="49" t="str">
        <f t="shared" si="3"/>
        <v>65-1122(f)</v>
      </c>
      <c r="E2040" s="11" t="s">
        <v>133</v>
      </c>
      <c r="F2040" s="11">
        <v>3.0</v>
      </c>
      <c r="G2040" s="11">
        <v>3.0</v>
      </c>
      <c r="H2040" s="11">
        <v>3.0</v>
      </c>
      <c r="I2040" s="11">
        <v>3.0</v>
      </c>
    </row>
    <row r="2041">
      <c r="A2041" s="10" t="s">
        <v>8438</v>
      </c>
      <c r="B2041" s="49" t="str">
        <f t="shared" si="1"/>
        <v>Nurse Practice Act</v>
      </c>
      <c r="C2041" s="49" t="str">
        <f t="shared" si="2"/>
        <v>Nurse Practice Act; Violate any provisions of the Kansas nurse practice act or rules and regulations adopted pursuant to that act; 2nd or subs. violation</v>
      </c>
      <c r="D2041" s="49" t="str">
        <f t="shared" si="3"/>
        <v>65-1122(f)</v>
      </c>
      <c r="E2041" s="11" t="s">
        <v>133</v>
      </c>
      <c r="F2041" s="11">
        <v>3.0</v>
      </c>
      <c r="G2041" s="11">
        <v>3.0</v>
      </c>
      <c r="H2041" s="11">
        <v>3.0</v>
      </c>
      <c r="I2041" s="11">
        <v>3.0</v>
      </c>
    </row>
    <row r="2042">
      <c r="A2042" s="10" t="s">
        <v>8439</v>
      </c>
      <c r="B2042" s="49" t="str">
        <f t="shared" si="1"/>
        <v>Obstructing Apprehension or Prosecution</v>
      </c>
      <c r="C2042" s="49" t="str">
        <f t="shared" si="2"/>
        <v>Obstructing Apprehension or Prosecution; Aiding person required to register under Kansas Offender Registration Act to avoid registration or punishment for failure to comply</v>
      </c>
      <c r="D2042" s="49" t="str">
        <f t="shared" si="3"/>
        <v>21-5913(a)(2)</v>
      </c>
      <c r="E2042" s="11" t="s">
        <v>133</v>
      </c>
      <c r="F2042" s="11">
        <v>3.0</v>
      </c>
      <c r="G2042" s="11">
        <v>3.0</v>
      </c>
      <c r="H2042" s="11">
        <v>3.0</v>
      </c>
      <c r="I2042" s="11">
        <v>3.0</v>
      </c>
    </row>
    <row r="2043">
      <c r="A2043" s="10" t="s">
        <v>8440</v>
      </c>
      <c r="B2043" s="49" t="str">
        <f t="shared" si="1"/>
        <v>Obstructing Apprehension or Prosecution</v>
      </c>
      <c r="C2043" s="49" t="str">
        <f t="shared" si="2"/>
        <v>Obstructing Apprehension or Prosecution; Knowingly harbor, conceal or aid any person who has committed or has been charged with committing a felony to avoid or escape from arrest, trial, conviction or punishment for such felony</v>
      </c>
      <c r="D2043" s="49" t="str">
        <f t="shared" si="3"/>
        <v>21-5913(a)(1)</v>
      </c>
      <c r="E2043" s="11" t="s">
        <v>133</v>
      </c>
      <c r="F2043" s="11">
        <v>3.0</v>
      </c>
      <c r="G2043" s="11">
        <v>3.0</v>
      </c>
      <c r="H2043" s="11">
        <v>3.0</v>
      </c>
      <c r="I2043" s="11">
        <v>3.0</v>
      </c>
    </row>
    <row r="2044">
      <c r="A2044" s="10" t="s">
        <v>8441</v>
      </c>
      <c r="B2044" s="49" t="str">
        <f t="shared" si="1"/>
        <v>Obstructing Apprehension or Prosecution</v>
      </c>
      <c r="C2044" s="49" t="str">
        <f t="shared" si="2"/>
        <v>Obstructing Apprehension or Prosecution; Knowingly harboring, concealing or aiding a person who has committed or been charged with committing a misdemeanor</v>
      </c>
      <c r="D2044" s="49" t="str">
        <f t="shared" si="3"/>
        <v>21-5913(a)(1)</v>
      </c>
      <c r="E2044" s="11" t="s">
        <v>133</v>
      </c>
      <c r="F2044" s="11">
        <v>3.0</v>
      </c>
      <c r="G2044" s="11">
        <v>3.0</v>
      </c>
      <c r="H2044" s="11">
        <v>3.0</v>
      </c>
      <c r="I2044" s="11">
        <v>3.0</v>
      </c>
    </row>
    <row r="2045">
      <c r="A2045" s="10" t="s">
        <v>8442</v>
      </c>
      <c r="B2045" s="49" t="str">
        <f t="shared" si="1"/>
        <v>Obstruction of a Medicaid Fraud Investigation</v>
      </c>
      <c r="C2045" s="49" t="str">
        <f t="shared" si="2"/>
        <v>Obstruction of a Medicaid Fraud Investigation; Falsifying, concealing or covering up material fact by any trick, misstatement, scheme or device</v>
      </c>
      <c r="D2045" s="49" t="str">
        <f t="shared" si="3"/>
        <v>21-5929(a)(1)</v>
      </c>
      <c r="E2045" s="11" t="s">
        <v>133</v>
      </c>
      <c r="F2045" s="11">
        <v>3.0</v>
      </c>
      <c r="G2045" s="11">
        <v>3.0</v>
      </c>
      <c r="H2045" s="11">
        <v>3.0</v>
      </c>
      <c r="I2045" s="11">
        <v>3.0</v>
      </c>
    </row>
    <row r="2046">
      <c r="A2046" s="10" t="s">
        <v>8443</v>
      </c>
      <c r="B2046" s="49" t="str">
        <f t="shared" si="1"/>
        <v>Obstruction of a Medicaid Fraud Investigation</v>
      </c>
      <c r="C2046" s="49" t="str">
        <f t="shared" si="2"/>
        <v>Obstruction of a Medicaid Fraud Investigation; Knowingly making false writing or document</v>
      </c>
      <c r="D2046" s="49" t="str">
        <f t="shared" si="3"/>
        <v>21-5929(a)(2)</v>
      </c>
      <c r="E2046" s="11" t="s">
        <v>133</v>
      </c>
      <c r="F2046" s="11">
        <v>3.0</v>
      </c>
      <c r="G2046" s="11">
        <v>3.0</v>
      </c>
      <c r="H2046" s="11">
        <v>3.0</v>
      </c>
      <c r="I2046" s="11">
        <v>3.0</v>
      </c>
    </row>
    <row r="2047">
      <c r="A2047" s="10" t="s">
        <v>8444</v>
      </c>
      <c r="B2047" s="49" t="str">
        <f t="shared" si="1"/>
        <v>Odometers</v>
      </c>
      <c r="C2047" s="49" t="str">
        <f t="shared" si="2"/>
        <v>Odometers; Advertise for sale, sell, use or install on any part of a motor vehicle or on any odometer any device which causes the odometer to register other than true mileage</v>
      </c>
      <c r="D2047" s="49" t="str">
        <f t="shared" si="3"/>
        <v>21-5835(a)(3)</v>
      </c>
      <c r="E2047" s="11" t="s">
        <v>133</v>
      </c>
      <c r="F2047" s="11">
        <v>3.0</v>
      </c>
      <c r="G2047" s="11">
        <v>3.0</v>
      </c>
      <c r="H2047" s="11">
        <v>3.0</v>
      </c>
      <c r="I2047" s="11">
        <v>3.0</v>
      </c>
    </row>
    <row r="2048">
      <c r="A2048" s="10" t="s">
        <v>8445</v>
      </c>
      <c r="B2048" s="49" t="str">
        <f t="shared" si="1"/>
        <v>Odometers</v>
      </c>
      <c r="C2048" s="49" t="str">
        <f t="shared" si="2"/>
        <v>Odometers; Knowingly tamper with, adjust, alter, change, set back, disconnect or fail to connect the odometer of any motor vehicle in order to reflect lower than true mileage</v>
      </c>
      <c r="D2048" s="49" t="str">
        <f t="shared" si="3"/>
        <v>21-5835(a)(1)</v>
      </c>
      <c r="E2048" s="11" t="s">
        <v>133</v>
      </c>
      <c r="F2048" s="11">
        <v>3.0</v>
      </c>
      <c r="G2048" s="11">
        <v>3.0</v>
      </c>
      <c r="H2048" s="11">
        <v>3.0</v>
      </c>
      <c r="I2048" s="11">
        <v>3.0</v>
      </c>
    </row>
    <row r="2049">
      <c r="A2049" s="10" t="s">
        <v>8446</v>
      </c>
      <c r="B2049" s="49" t="str">
        <f t="shared" si="1"/>
        <v>Odometers</v>
      </c>
      <c r="C2049" s="49" t="str">
        <f t="shared" si="2"/>
        <v>Odometers; Operate, with intent to defraud, motor vehicle knowing that the odometer is disconnected or nonfunctional</v>
      </c>
      <c r="D2049" s="49" t="str">
        <f t="shared" si="3"/>
        <v>21-5835(a)(2)</v>
      </c>
      <c r="E2049" s="11" t="s">
        <v>133</v>
      </c>
      <c r="F2049" s="11">
        <v>3.0</v>
      </c>
      <c r="G2049" s="11">
        <v>3.0</v>
      </c>
      <c r="H2049" s="11">
        <v>3.0</v>
      </c>
      <c r="I2049" s="11">
        <v>3.0</v>
      </c>
    </row>
    <row r="2050">
      <c r="A2050" s="10" t="s">
        <v>8447</v>
      </c>
      <c r="B2050" s="49" t="str">
        <f t="shared" si="1"/>
        <v>Odometers</v>
      </c>
      <c r="C2050" s="49" t="str">
        <f t="shared" si="2"/>
        <v>Odometers; Repair or replacement; failure to adjust an odometer or affix a notice regarding such adjustment</v>
      </c>
      <c r="D2050" s="49" t="str">
        <f t="shared" si="3"/>
        <v>21-5835(b)(1)</v>
      </c>
      <c r="E2050" s="11" t="s">
        <v>133</v>
      </c>
      <c r="F2050" s="11">
        <v>3.0</v>
      </c>
      <c r="G2050" s="11">
        <v>3.0</v>
      </c>
      <c r="H2050" s="11">
        <v>3.0</v>
      </c>
      <c r="I2050" s="11">
        <v>3.0</v>
      </c>
    </row>
    <row r="2051">
      <c r="A2051" s="10" t="s">
        <v>8448</v>
      </c>
      <c r="B2051" s="49" t="str">
        <f t="shared" si="1"/>
        <v>Odometers</v>
      </c>
      <c r="C2051" s="49" t="str">
        <f t="shared" si="2"/>
        <v>Odometers; Repair or replacement; remove or alter any notice affixed to a vehicle</v>
      </c>
      <c r="D2051" s="49" t="str">
        <f t="shared" si="3"/>
        <v>21-5835(b)(2)</v>
      </c>
      <c r="E2051" s="11" t="s">
        <v>133</v>
      </c>
      <c r="F2051" s="11">
        <v>3.0</v>
      </c>
      <c r="G2051" s="11">
        <v>3.0</v>
      </c>
      <c r="H2051" s="11">
        <v>3.0</v>
      </c>
      <c r="I2051" s="11">
        <v>3.0</v>
      </c>
    </row>
    <row r="2052">
      <c r="A2052" s="10" t="s">
        <v>8449</v>
      </c>
      <c r="B2052" s="49" t="str">
        <f t="shared" si="1"/>
        <v>Odometers</v>
      </c>
      <c r="C2052" s="49" t="str">
        <f t="shared" si="2"/>
        <v>Odometers; Sell or offer to sell, with intent to defraud, a motor vehicle knowing that the odometer was tampered with or otherwise altered in order to reflect a lower than true mileage</v>
      </c>
      <c r="D2052" s="49" t="str">
        <f t="shared" si="3"/>
        <v>21-5835(a)(4)</v>
      </c>
      <c r="E2052" s="11" t="s">
        <v>133</v>
      </c>
      <c r="F2052" s="11">
        <v>3.0</v>
      </c>
      <c r="G2052" s="11">
        <v>3.0</v>
      </c>
      <c r="H2052" s="11">
        <v>3.0</v>
      </c>
      <c r="I2052" s="11">
        <v>3.0</v>
      </c>
    </row>
    <row r="2053">
      <c r="A2053" s="10" t="s">
        <v>8450</v>
      </c>
      <c r="B2053" s="49" t="str">
        <f t="shared" si="1"/>
        <v>Official Misconduct</v>
      </c>
      <c r="C2053" s="49" t="str">
        <f t="shared" si="2"/>
        <v>Official Misconduct; Knowingly destroy, tamper with or conceal evidence of a felony</v>
      </c>
      <c r="D2053" s="49" t="str">
        <f t="shared" si="3"/>
        <v>21-6002(a)(5)</v>
      </c>
      <c r="E2053" s="11" t="s">
        <v>133</v>
      </c>
      <c r="F2053" s="11">
        <v>3.0</v>
      </c>
      <c r="G2053" s="11">
        <v>3.0</v>
      </c>
      <c r="H2053" s="11">
        <v>3.0</v>
      </c>
      <c r="I2053" s="11">
        <v>3.0</v>
      </c>
    </row>
    <row r="2054">
      <c r="A2054" s="10" t="s">
        <v>8451</v>
      </c>
      <c r="B2054" s="49" t="str">
        <f t="shared" si="1"/>
        <v>Official Misconduct</v>
      </c>
      <c r="C2054" s="49" t="str">
        <f t="shared" si="2"/>
        <v>Official Misconduct; Knowingly destroy, tamper with or conceal evidence of a misdemeanor crime</v>
      </c>
      <c r="D2054" s="49" t="str">
        <f t="shared" si="3"/>
        <v>21-6002(a)(5)</v>
      </c>
      <c r="E2054" s="11" t="s">
        <v>133</v>
      </c>
      <c r="F2054" s="11">
        <v>3.0</v>
      </c>
      <c r="G2054" s="11">
        <v>3.0</v>
      </c>
      <c r="H2054" s="11">
        <v>3.0</v>
      </c>
      <c r="I2054" s="11">
        <v>3.0</v>
      </c>
    </row>
    <row r="2055">
      <c r="A2055" s="10" t="s">
        <v>8452</v>
      </c>
      <c r="B2055" s="49" t="str">
        <f t="shared" si="1"/>
        <v>Official Misconduct</v>
      </c>
      <c r="C2055" s="49" t="str">
        <f t="shared" si="2"/>
        <v>Official Misconduct; Knowingly fail to serve civil process as required by law</v>
      </c>
      <c r="D2055" s="49" t="str">
        <f t="shared" si="3"/>
        <v>21-6002(a)(2)</v>
      </c>
      <c r="E2055" s="11" t="s">
        <v>133</v>
      </c>
      <c r="F2055" s="11">
        <v>3.0</v>
      </c>
      <c r="G2055" s="11">
        <v>3.0</v>
      </c>
      <c r="H2055" s="11">
        <v>3.0</v>
      </c>
      <c r="I2055" s="11">
        <v>3.0</v>
      </c>
    </row>
    <row r="2056">
      <c r="A2056" s="10" t="s">
        <v>8453</v>
      </c>
      <c r="B2056" s="49" t="str">
        <f t="shared" si="1"/>
        <v>Official Misconduct</v>
      </c>
      <c r="C2056" s="49" t="str">
        <f t="shared" si="2"/>
        <v>Official Misconduct; Knowingly submit a claim for expenses which is false or duplicate; $25,000 or more</v>
      </c>
      <c r="D2056" s="49" t="str">
        <f t="shared" si="3"/>
        <v>21-6002(a)(6)</v>
      </c>
      <c r="E2056" s="11" t="s">
        <v>133</v>
      </c>
      <c r="F2056" s="11">
        <v>3.0</v>
      </c>
      <c r="G2056" s="11">
        <v>3.0</v>
      </c>
      <c r="H2056" s="11">
        <v>3.0</v>
      </c>
      <c r="I2056" s="11">
        <v>3.0</v>
      </c>
    </row>
    <row r="2057">
      <c r="A2057" s="10" t="s">
        <v>8454</v>
      </c>
      <c r="B2057" s="49" t="str">
        <f t="shared" si="1"/>
        <v>Official Misconduct</v>
      </c>
      <c r="C2057" s="49" t="str">
        <f t="shared" si="2"/>
        <v>Official Misconduct; Knowingly submit a claim for expenses which is false or duplicate; at least $1,000 but &lt; $25,000</v>
      </c>
      <c r="D2057" s="49" t="str">
        <f t="shared" si="3"/>
        <v>21-6002(a)(6)</v>
      </c>
      <c r="E2057" s="11" t="s">
        <v>133</v>
      </c>
      <c r="F2057" s="11">
        <v>3.0</v>
      </c>
      <c r="G2057" s="11">
        <v>3.0</v>
      </c>
      <c r="H2057" s="11">
        <v>3.0</v>
      </c>
      <c r="I2057" s="11">
        <v>3.0</v>
      </c>
    </row>
    <row r="2058">
      <c r="A2058" s="10" t="s">
        <v>8455</v>
      </c>
      <c r="B2058" s="49" t="str">
        <f t="shared" si="1"/>
        <v>Official Misconduct</v>
      </c>
      <c r="C2058" s="49" t="str">
        <f t="shared" si="2"/>
        <v>Official Misconduct; Knowingly submit false claim; claim less than $1,000</v>
      </c>
      <c r="D2058" s="49" t="str">
        <f t="shared" si="3"/>
        <v>21-6002(a)(6)</v>
      </c>
      <c r="E2058" s="11" t="s">
        <v>133</v>
      </c>
      <c r="F2058" s="11">
        <v>3.0</v>
      </c>
      <c r="G2058" s="11">
        <v>3.0</v>
      </c>
      <c r="H2058" s="11">
        <v>3.0</v>
      </c>
      <c r="I2058" s="11">
        <v>3.0</v>
      </c>
    </row>
    <row r="2059">
      <c r="A2059" s="10" t="s">
        <v>8456</v>
      </c>
      <c r="B2059" s="49" t="str">
        <f t="shared" si="1"/>
        <v>Official Misconduct</v>
      </c>
      <c r="C2059" s="49" t="str">
        <f t="shared" si="2"/>
        <v>Official Misconduct; Knowingly use aircraft, vehicle or vessel for private benefit or gain</v>
      </c>
      <c r="D2059" s="49" t="str">
        <f t="shared" si="3"/>
        <v>21-6002(a)(1)</v>
      </c>
      <c r="E2059" s="11" t="s">
        <v>133</v>
      </c>
      <c r="F2059" s="11">
        <v>3.0</v>
      </c>
      <c r="G2059" s="11">
        <v>3.0</v>
      </c>
      <c r="H2059" s="11">
        <v>3.0</v>
      </c>
      <c r="I2059" s="11">
        <v>3.0</v>
      </c>
    </row>
    <row r="2060">
      <c r="A2060" s="10" t="s">
        <v>8457</v>
      </c>
      <c r="B2060" s="49" t="str">
        <f t="shared" si="1"/>
        <v>Official Misconduct</v>
      </c>
      <c r="C2060" s="49" t="str">
        <f t="shared" si="2"/>
        <v>Official Misconduct; Unauthorized acceptance of bid after deadline has passed</v>
      </c>
      <c r="D2060" s="49" t="str">
        <f t="shared" si="3"/>
        <v>21-6002(a)(4)(B)</v>
      </c>
      <c r="E2060" s="11" t="s">
        <v>133</v>
      </c>
      <c r="F2060" s="11">
        <v>3.0</v>
      </c>
      <c r="G2060" s="11">
        <v>3.0</v>
      </c>
      <c r="H2060" s="11">
        <v>3.0</v>
      </c>
      <c r="I2060" s="11">
        <v>3.0</v>
      </c>
    </row>
    <row r="2061">
      <c r="A2061" s="10" t="s">
        <v>8458</v>
      </c>
      <c r="B2061" s="49" t="str">
        <f t="shared" si="1"/>
        <v>Official Misconduct</v>
      </c>
      <c r="C2061" s="49" t="str">
        <f t="shared" si="2"/>
        <v>Official Misconduct; Unauthorized alteration of bid or proposal</v>
      </c>
      <c r="D2061" s="49" t="str">
        <f t="shared" si="3"/>
        <v>21-6002(a)(4)(C)</v>
      </c>
      <c r="E2061" s="11" t="s">
        <v>133</v>
      </c>
      <c r="F2061" s="11">
        <v>3.0</v>
      </c>
      <c r="G2061" s="11">
        <v>3.0</v>
      </c>
      <c r="H2061" s="11">
        <v>3.0</v>
      </c>
      <c r="I2061" s="11">
        <v>3.0</v>
      </c>
    </row>
    <row r="2062">
      <c r="A2062" s="10" t="s">
        <v>8459</v>
      </c>
      <c r="B2062" s="49" t="str">
        <f t="shared" si="1"/>
        <v>Official Misconduct</v>
      </c>
      <c r="C2062" s="49" t="str">
        <f t="shared" si="2"/>
        <v>Official Misconduct; Unauthorized disclosure of bid information</v>
      </c>
      <c r="D2062" s="49" t="str">
        <f t="shared" si="3"/>
        <v>21-6002(a)(4)(A)</v>
      </c>
      <c r="E2062" s="11" t="s">
        <v>133</v>
      </c>
      <c r="F2062" s="11">
        <v>3.0</v>
      </c>
      <c r="G2062" s="11">
        <v>3.0</v>
      </c>
      <c r="H2062" s="11">
        <v>3.0</v>
      </c>
      <c r="I2062" s="11">
        <v>3.0</v>
      </c>
    </row>
    <row r="2063">
      <c r="A2063" s="10" t="s">
        <v>8460</v>
      </c>
      <c r="B2063" s="49" t="str">
        <f t="shared" si="1"/>
        <v>Official Misconduct</v>
      </c>
      <c r="C2063" s="49" t="str">
        <f t="shared" si="2"/>
        <v>Official Misconduct; Use confidential information for private benefit or gain or to intentionally harm another</v>
      </c>
      <c r="D2063" s="49" t="str">
        <f t="shared" si="3"/>
        <v>21-6002(a)(3)</v>
      </c>
      <c r="E2063" s="11" t="s">
        <v>133</v>
      </c>
      <c r="F2063" s="11">
        <v>3.0</v>
      </c>
      <c r="G2063" s="11">
        <v>3.0</v>
      </c>
      <c r="H2063" s="11">
        <v>3.0</v>
      </c>
      <c r="I2063" s="11">
        <v>3.0</v>
      </c>
    </row>
    <row r="2064">
      <c r="A2064" s="10" t="s">
        <v>8461</v>
      </c>
      <c r="B2064" s="49" t="str">
        <f t="shared" si="1"/>
        <v>Oil &amp; Gas</v>
      </c>
      <c r="C2064" s="49" t="str">
        <f t="shared" si="2"/>
        <v>Oil &amp; Gas; Act as or represent oneself to be a technical representative without having such license</v>
      </c>
      <c r="D2064" s="49" t="str">
        <f t="shared" si="3"/>
        <v>55-443(a)(1)</v>
      </c>
      <c r="E2064" s="11" t="s">
        <v>133</v>
      </c>
      <c r="F2064" s="11">
        <v>3.0</v>
      </c>
      <c r="G2064" s="11">
        <v>3.0</v>
      </c>
      <c r="H2064" s="11">
        <v>3.0</v>
      </c>
      <c r="I2064" s="11">
        <v>3.0</v>
      </c>
    </row>
    <row r="2065">
      <c r="A2065" s="10" t="s">
        <v>8462</v>
      </c>
      <c r="B2065" s="49" t="str">
        <f t="shared" si="1"/>
        <v>Oil &amp; Gas</v>
      </c>
      <c r="C2065" s="49" t="str">
        <f t="shared" si="2"/>
        <v>Oil &amp; Gas; Control and management of oil and gas wells; unlawful acts</v>
      </c>
      <c r="D2065" s="49" t="str">
        <f t="shared" si="3"/>
        <v>55-102(a)</v>
      </c>
      <c r="E2065" s="11" t="s">
        <v>133</v>
      </c>
      <c r="F2065" s="11">
        <v>3.0</v>
      </c>
      <c r="G2065" s="11">
        <v>3.0</v>
      </c>
      <c r="H2065" s="11">
        <v>3.0</v>
      </c>
      <c r="I2065" s="11">
        <v>3.0</v>
      </c>
    </row>
    <row r="2066">
      <c r="A2066" s="10" t="s">
        <v>8463</v>
      </c>
      <c r="B2066" s="49" t="str">
        <f t="shared" si="1"/>
        <v>Oil &amp; Gas</v>
      </c>
      <c r="C2066" s="49" t="str">
        <f t="shared" si="2"/>
        <v>Oil &amp; Gas; Disposal of Brines &amp; Mineralized Waters; dispose of certain waste in oil-field disposal wells at excessive pressures</v>
      </c>
      <c r="D2066" s="49" t="str">
        <f t="shared" si="3"/>
        <v>55-1004</v>
      </c>
      <c r="E2066" s="11" t="s">
        <v>133</v>
      </c>
      <c r="F2066" s="11">
        <v>3.0</v>
      </c>
      <c r="G2066" s="11">
        <v>3.0</v>
      </c>
      <c r="H2066" s="11">
        <v>3.0</v>
      </c>
      <c r="I2066" s="11">
        <v>3.0</v>
      </c>
    </row>
    <row r="2067">
      <c r="A2067" s="10" t="s">
        <v>8464</v>
      </c>
      <c r="B2067" s="49" t="str">
        <f t="shared" si="1"/>
        <v>Oil &amp; Gas</v>
      </c>
      <c r="C2067" s="49" t="str">
        <f t="shared" si="2"/>
        <v>Oil &amp; Gas; Disposal of Brines &amp; Mineralized Waters; use wells for the disposal of salt brines or other oil field wastes which do not meet the requirements for minimum depth</v>
      </c>
      <c r="D2067" s="49" t="str">
        <f t="shared" si="3"/>
        <v>55-1005</v>
      </c>
      <c r="E2067" s="11" t="s">
        <v>133</v>
      </c>
      <c r="F2067" s="11">
        <v>3.0</v>
      </c>
      <c r="G2067" s="11">
        <v>3.0</v>
      </c>
      <c r="H2067" s="11">
        <v>3.0</v>
      </c>
      <c r="I2067" s="11">
        <v>3.0</v>
      </c>
    </row>
    <row r="2068">
      <c r="A2068" s="10" t="s">
        <v>8465</v>
      </c>
      <c r="B2068" s="49" t="str">
        <f t="shared" si="1"/>
        <v>Oil &amp; Gas</v>
      </c>
      <c r="C2068" s="49" t="str">
        <f t="shared" si="2"/>
        <v>Oil &amp; Gas; Disposal of Salt Water; contract for the transportation of such salt water with a person, firm, corporation, partnership or other association not licensed under K.S.A. 66-1,114</v>
      </c>
      <c r="D2068" s="49" t="str">
        <f t="shared" si="3"/>
        <v>55-904(a)(3)</v>
      </c>
      <c r="E2068" s="11" t="s">
        <v>133</v>
      </c>
      <c r="F2068" s="11">
        <v>3.0</v>
      </c>
      <c r="G2068" s="11">
        <v>3.0</v>
      </c>
      <c r="H2068" s="11">
        <v>3.0</v>
      </c>
      <c r="I2068" s="11">
        <v>3.0</v>
      </c>
    </row>
    <row r="2069">
      <c r="A2069" s="10" t="s">
        <v>8466</v>
      </c>
      <c r="B2069" s="49" t="str">
        <f t="shared" si="1"/>
        <v>Oil &amp; Gas</v>
      </c>
      <c r="C2069" s="49" t="str">
        <f t="shared" si="2"/>
        <v>Oil &amp; Gas; Disposal of Salt Water; contract for the transportation of such salt water with a person, firm, corporation, partnership or other association not licensed under K.S.A. 66-1,114; 2nd or subs. violation</v>
      </c>
      <c r="D2069" s="49" t="str">
        <f t="shared" si="3"/>
        <v>55-904(a)(3)</v>
      </c>
      <c r="E2069" s="11" t="s">
        <v>133</v>
      </c>
      <c r="F2069" s="11">
        <v>3.0</v>
      </c>
      <c r="G2069" s="11">
        <v>3.0</v>
      </c>
      <c r="H2069" s="11">
        <v>3.0</v>
      </c>
      <c r="I2069" s="11">
        <v>3.0</v>
      </c>
    </row>
    <row r="2070">
      <c r="A2070" s="10" t="s">
        <v>8467</v>
      </c>
      <c r="B2070" s="49" t="str">
        <f t="shared" si="1"/>
        <v>Oil &amp; Gas</v>
      </c>
      <c r="C2070" s="49" t="str">
        <f t="shared" si="2"/>
        <v>Oil &amp; Gas; Disposal of Salt Water; dispose of a substance not exempt under 40 C.F.R. 261.4(b)(5), as revised July 1, 1997, in a class II disposal or injection well</v>
      </c>
      <c r="D2070" s="49" t="str">
        <f t="shared" si="3"/>
        <v>55-904(a)(2)</v>
      </c>
      <c r="E2070" s="11" t="s">
        <v>133</v>
      </c>
      <c r="F2070" s="11">
        <v>3.0</v>
      </c>
      <c r="G2070" s="11">
        <v>3.0</v>
      </c>
      <c r="H2070" s="11">
        <v>3.0</v>
      </c>
      <c r="I2070" s="11">
        <v>3.0</v>
      </c>
    </row>
    <row r="2071">
      <c r="A2071" s="10" t="s">
        <v>8468</v>
      </c>
      <c r="B2071" s="49" t="str">
        <f t="shared" si="1"/>
        <v>Oil &amp; Gas</v>
      </c>
      <c r="C2071" s="49" t="str">
        <f t="shared" si="2"/>
        <v>Oil &amp; Gas; Disposal of Salt Water; dispose of a substance not exempt under 40 C.F.R. 261.4(b)(5), as revised July 1, 1997, in a class II disposal or injection well; 2nd or subs. violation</v>
      </c>
      <c r="D2071" s="49" t="str">
        <f t="shared" si="3"/>
        <v>55-904(a)(2)</v>
      </c>
      <c r="E2071" s="11" t="s">
        <v>133</v>
      </c>
      <c r="F2071" s="11">
        <v>3.0</v>
      </c>
      <c r="G2071" s="11">
        <v>3.0</v>
      </c>
      <c r="H2071" s="11">
        <v>3.0</v>
      </c>
      <c r="I2071" s="11">
        <v>3.0</v>
      </c>
    </row>
    <row r="2072">
      <c r="A2072" s="10" t="s">
        <v>8469</v>
      </c>
      <c r="B2072" s="49" t="str">
        <f t="shared" si="1"/>
        <v>Oil &amp; Gas</v>
      </c>
      <c r="C2072" s="49" t="str">
        <f t="shared" si="2"/>
        <v>Oil &amp; Gas; Disposal of Salt Water; dispose of salt water in unauthorized manner</v>
      </c>
      <c r="D2072" s="49" t="str">
        <f t="shared" si="3"/>
        <v>55-904(a)(1)</v>
      </c>
      <c r="E2072" s="11" t="s">
        <v>133</v>
      </c>
      <c r="F2072" s="11">
        <v>3.0</v>
      </c>
      <c r="G2072" s="11">
        <v>3.0</v>
      </c>
      <c r="H2072" s="11">
        <v>3.0</v>
      </c>
      <c r="I2072" s="11">
        <v>3.0</v>
      </c>
    </row>
    <row r="2073">
      <c r="A2073" s="10" t="s">
        <v>8470</v>
      </c>
      <c r="B2073" s="49" t="str">
        <f t="shared" si="1"/>
        <v>Oil &amp; Gas</v>
      </c>
      <c r="C2073" s="49" t="str">
        <f t="shared" si="2"/>
        <v>Oil &amp; Gas; Disposal of Salt Water; dispose of salt water in unauthorized manner; 2nd or subs. violation</v>
      </c>
      <c r="D2073" s="49" t="str">
        <f t="shared" si="3"/>
        <v>55-904(a)(1)</v>
      </c>
      <c r="E2073" s="11" t="s">
        <v>133</v>
      </c>
      <c r="F2073" s="11">
        <v>3.0</v>
      </c>
      <c r="G2073" s="11">
        <v>3.0</v>
      </c>
      <c r="H2073" s="11">
        <v>3.0</v>
      </c>
      <c r="I2073" s="11">
        <v>3.0</v>
      </c>
    </row>
    <row r="2074">
      <c r="A2074" s="10" t="s">
        <v>8471</v>
      </c>
      <c r="B2074" s="49" t="str">
        <f t="shared" si="1"/>
        <v>Oil &amp; Gas</v>
      </c>
      <c r="C2074" s="49" t="str">
        <f t="shared" si="2"/>
        <v>Oil &amp; Gas; Disposal of Salt Water; own, operate a vehicle being used for transportation of salt water containing an operable "trip-lever" accessible to a person in the passenger compartment of such vehicle</v>
      </c>
      <c r="D2074" s="49" t="str">
        <f t="shared" si="3"/>
        <v>55-904(a)(4)</v>
      </c>
      <c r="E2074" s="11" t="s">
        <v>133</v>
      </c>
      <c r="F2074" s="11">
        <v>3.0</v>
      </c>
      <c r="G2074" s="11">
        <v>3.0</v>
      </c>
      <c r="H2074" s="11">
        <v>3.0</v>
      </c>
      <c r="I2074" s="11">
        <v>3.0</v>
      </c>
    </row>
    <row r="2075">
      <c r="A2075" s="10" t="s">
        <v>8472</v>
      </c>
      <c r="B2075" s="49" t="str">
        <f t="shared" si="1"/>
        <v>Oil &amp; Gas</v>
      </c>
      <c r="C2075" s="49" t="str">
        <f t="shared" si="2"/>
        <v>Oil &amp; Gas; Disposal of Salt Water; own, operate a vehicle being used for transportation of salt water containing an operable "trip-lever" accessible to a person in the passenger compartment of such vehicle; 2nd or subs. violation</v>
      </c>
      <c r="D2075" s="49" t="str">
        <f t="shared" si="3"/>
        <v>55-904(a)(4)</v>
      </c>
      <c r="E2075" s="11" t="s">
        <v>133</v>
      </c>
      <c r="F2075" s="11">
        <v>3.0</v>
      </c>
      <c r="G2075" s="11">
        <v>3.0</v>
      </c>
      <c r="H2075" s="11">
        <v>3.0</v>
      </c>
      <c r="I2075" s="11">
        <v>3.0</v>
      </c>
    </row>
    <row r="2076">
      <c r="A2076" s="10" t="s">
        <v>8473</v>
      </c>
      <c r="B2076" s="49" t="str">
        <f t="shared" si="1"/>
        <v>Oil &amp; Gas</v>
      </c>
      <c r="C2076" s="49" t="str">
        <f t="shared" si="2"/>
        <v>Oil &amp; Gas; Fail to complete the testing or placing-in-service report in its entirety and to report the accurate description of the parts replaced, adjusted, reconditioned or work performed</v>
      </c>
      <c r="D2076" s="49" t="str">
        <f t="shared" si="3"/>
        <v>55-443(a)(4)</v>
      </c>
      <c r="E2076" s="11" t="s">
        <v>133</v>
      </c>
      <c r="F2076" s="11">
        <v>3.0</v>
      </c>
      <c r="G2076" s="11">
        <v>3.0</v>
      </c>
      <c r="H2076" s="11">
        <v>3.0</v>
      </c>
      <c r="I2076" s="11">
        <v>3.0</v>
      </c>
    </row>
    <row r="2077">
      <c r="A2077" s="10" t="s">
        <v>8474</v>
      </c>
      <c r="B2077" s="49" t="str">
        <f t="shared" si="1"/>
        <v>Oil &amp; Gas</v>
      </c>
      <c r="C2077" s="49" t="str">
        <f t="shared" si="2"/>
        <v>Oil &amp; Gas; Fail to follow the applicable version of NIST Handbook as referenced in chapter 83 of the Kansas Statutes Annotated, or any rules and regulations adopted thereunder when installing, repairing, calibrating or testing a device</v>
      </c>
      <c r="D2077" s="49" t="str">
        <f t="shared" si="3"/>
        <v>55-443(a)(3)</v>
      </c>
      <c r="E2077" s="11" t="s">
        <v>133</v>
      </c>
      <c r="F2077" s="11">
        <v>3.0</v>
      </c>
      <c r="G2077" s="11">
        <v>3.0</v>
      </c>
      <c r="H2077" s="11">
        <v>3.0</v>
      </c>
      <c r="I2077" s="11">
        <v>3.0</v>
      </c>
    </row>
    <row r="2078">
      <c r="A2078" s="10" t="s">
        <v>8475</v>
      </c>
      <c r="B2078" s="49" t="str">
        <f t="shared" si="1"/>
        <v>Oil &amp; Gas</v>
      </c>
      <c r="C2078" s="49" t="str">
        <f t="shared" si="2"/>
        <v>Oil &amp; Gas; Fail to have any commercial dispensing device tested as required by the petroleum products inspection law or chapter 83 of the Kansas Statutes Annotated</v>
      </c>
      <c r="D2078" s="49" t="str">
        <f t="shared" si="3"/>
        <v>55-443(a)(8)</v>
      </c>
      <c r="E2078" s="11" t="s">
        <v>133</v>
      </c>
      <c r="F2078" s="11">
        <v>3.0</v>
      </c>
      <c r="G2078" s="11">
        <v>3.0</v>
      </c>
      <c r="H2078" s="11">
        <v>3.0</v>
      </c>
      <c r="I2078" s="11">
        <v>3.0</v>
      </c>
    </row>
    <row r="2079">
      <c r="A2079" s="10" t="s">
        <v>8476</v>
      </c>
      <c r="B2079" s="49" t="str">
        <f t="shared" si="1"/>
        <v>Oil &amp; Gas</v>
      </c>
      <c r="C2079" s="49" t="str">
        <f t="shared" si="2"/>
        <v>Oil &amp; Gas; Fail to pay all fees and penalties as required</v>
      </c>
      <c r="D2079" s="49" t="str">
        <f t="shared" si="3"/>
        <v>55-443(a)(6)</v>
      </c>
      <c r="E2079" s="11" t="s">
        <v>133</v>
      </c>
      <c r="F2079" s="11">
        <v>3.0</v>
      </c>
      <c r="G2079" s="11">
        <v>3.0</v>
      </c>
      <c r="H2079" s="11">
        <v>3.0</v>
      </c>
      <c r="I2079" s="11">
        <v>3.0</v>
      </c>
    </row>
    <row r="2080">
      <c r="A2080" s="10" t="s">
        <v>8477</v>
      </c>
      <c r="B2080" s="49" t="str">
        <f t="shared" si="1"/>
        <v>Oil &amp; Gas</v>
      </c>
      <c r="C2080" s="49" t="str">
        <f t="shared" si="2"/>
        <v>Oil &amp; Gas; Failure to notify commission prior to setting surface casing or plugging</v>
      </c>
      <c r="D2080" s="49" t="str">
        <f t="shared" si="3"/>
        <v>55-159</v>
      </c>
      <c r="E2080" s="11" t="s">
        <v>133</v>
      </c>
      <c r="F2080" s="11">
        <v>3.0</v>
      </c>
      <c r="G2080" s="11">
        <v>3.0</v>
      </c>
      <c r="H2080" s="11">
        <v>3.0</v>
      </c>
      <c r="I2080" s="11">
        <v>3.0</v>
      </c>
    </row>
    <row r="2081">
      <c r="A2081" s="10" t="s">
        <v>8478</v>
      </c>
      <c r="B2081" s="49" t="str">
        <f t="shared" si="1"/>
        <v>Oil &amp; Gas</v>
      </c>
      <c r="C2081" s="49" t="str">
        <f t="shared" si="2"/>
        <v>Oil &amp; Gas; Failure to notify of intent to drill</v>
      </c>
      <c r="D2081" s="49" t="str">
        <f t="shared" si="3"/>
        <v>55-174(a)</v>
      </c>
      <c r="E2081" s="11" t="s">
        <v>133</v>
      </c>
      <c r="F2081" s="11">
        <v>3.0</v>
      </c>
      <c r="G2081" s="11">
        <v>3.0</v>
      </c>
      <c r="H2081" s="11">
        <v>3.0</v>
      </c>
      <c r="I2081" s="11">
        <v>3.0</v>
      </c>
    </row>
    <row r="2082">
      <c r="A2082" s="10" t="s">
        <v>8479</v>
      </c>
      <c r="B2082" s="49" t="str">
        <f t="shared" si="1"/>
        <v>Oil &amp; Gas</v>
      </c>
      <c r="C2082" s="49" t="str">
        <f t="shared" si="2"/>
        <v>Oil &amp; Gas; Failure to remove structures and abutments from lands after abandoning wells</v>
      </c>
      <c r="D2082" s="49" t="str">
        <f t="shared" si="3"/>
        <v>55-177</v>
      </c>
      <c r="E2082" s="11" t="s">
        <v>133</v>
      </c>
      <c r="F2082" s="11">
        <v>3.0</v>
      </c>
      <c r="G2082" s="11">
        <v>3.0</v>
      </c>
      <c r="H2082" s="11">
        <v>3.0</v>
      </c>
      <c r="I2082" s="11">
        <v>3.0</v>
      </c>
    </row>
    <row r="2083">
      <c r="A2083" s="10" t="s">
        <v>8480</v>
      </c>
      <c r="B2083" s="49" t="str">
        <f t="shared" si="1"/>
        <v>Oil &amp; Gas</v>
      </c>
      <c r="C2083" s="49" t="str">
        <f t="shared" si="2"/>
        <v>Oil &amp; Gas; Failure to submit cement bond logs or other surveys for surface casing</v>
      </c>
      <c r="D2083" s="49" t="str">
        <f t="shared" si="3"/>
        <v>55-158</v>
      </c>
      <c r="E2083" s="11" t="s">
        <v>133</v>
      </c>
      <c r="F2083" s="11">
        <v>3.0</v>
      </c>
      <c r="G2083" s="11">
        <v>3.0</v>
      </c>
      <c r="H2083" s="11">
        <v>3.0</v>
      </c>
      <c r="I2083" s="11">
        <v>3.0</v>
      </c>
    </row>
    <row r="2084">
      <c r="A2084" s="10" t="s">
        <v>8481</v>
      </c>
      <c r="B2084" s="49" t="str">
        <f t="shared" si="1"/>
        <v>Oil &amp; Gas</v>
      </c>
      <c r="C2084" s="49" t="str">
        <f t="shared" si="2"/>
        <v>Oil &amp; Gas; File a false or fraudulent application or report to the secretary</v>
      </c>
      <c r="D2084" s="49" t="str">
        <f t="shared" si="3"/>
        <v>55-443(a)(5)</v>
      </c>
      <c r="E2084" s="11" t="s">
        <v>133</v>
      </c>
      <c r="F2084" s="11">
        <v>3.0</v>
      </c>
      <c r="G2084" s="11">
        <v>3.0</v>
      </c>
      <c r="H2084" s="11">
        <v>3.0</v>
      </c>
      <c r="I2084" s="11">
        <v>3.0</v>
      </c>
    </row>
    <row r="2085">
      <c r="A2085" s="10" t="s">
        <v>8482</v>
      </c>
      <c r="B2085" s="49" t="str">
        <f t="shared" si="1"/>
        <v>Oil &amp; Gas</v>
      </c>
      <c r="C2085" s="49" t="str">
        <f t="shared" si="2"/>
        <v>Oil &amp; Gas; Misrepresent that diesel fuel is or contains biodiesel fuel blend or otherwise represent that diesel fuel is made from renewable resources</v>
      </c>
      <c r="D2085" s="49" t="str">
        <f t="shared" si="3"/>
        <v>55-443(a)(11)</v>
      </c>
      <c r="E2085" s="11" t="s">
        <v>133</v>
      </c>
      <c r="F2085" s="11">
        <v>3.0</v>
      </c>
      <c r="G2085" s="11">
        <v>3.0</v>
      </c>
      <c r="H2085" s="11">
        <v>3.0</v>
      </c>
      <c r="I2085" s="11">
        <v>3.0</v>
      </c>
    </row>
    <row r="2086">
      <c r="A2086" s="10" t="s">
        <v>8483</v>
      </c>
      <c r="B2086" s="49" t="str">
        <f t="shared" si="1"/>
        <v>Oil &amp; Gas</v>
      </c>
      <c r="C2086" s="49" t="str">
        <f t="shared" si="2"/>
        <v>Oil &amp; Gas; Obstruct the secretary or any of the secretary's authorized agents in performance of the secretary's official duties under the petroleum products inspection law</v>
      </c>
      <c r="D2086" s="49" t="str">
        <f t="shared" si="3"/>
        <v>55-443(a)(2)</v>
      </c>
      <c r="E2086" s="11" t="s">
        <v>133</v>
      </c>
      <c r="F2086" s="11">
        <v>3.0</v>
      </c>
      <c r="G2086" s="11">
        <v>3.0</v>
      </c>
      <c r="H2086" s="11">
        <v>3.0</v>
      </c>
      <c r="I2086" s="11">
        <v>3.0</v>
      </c>
    </row>
    <row r="2087">
      <c r="A2087" s="10" t="s">
        <v>8484</v>
      </c>
      <c r="B2087" s="49" t="str">
        <f t="shared" si="1"/>
        <v>Oil &amp; Gas</v>
      </c>
      <c r="C2087" s="49" t="str">
        <f t="shared" si="2"/>
        <v>Oil &amp; Gas; Refuse to keep and make available for examination by the Kansas department of agriculture all books, papers, and other information as required</v>
      </c>
      <c r="D2087" s="49" t="str">
        <f t="shared" si="3"/>
        <v>55-443(a)(7)</v>
      </c>
      <c r="E2087" s="11" t="s">
        <v>133</v>
      </c>
      <c r="F2087" s="11">
        <v>3.0</v>
      </c>
      <c r="G2087" s="11">
        <v>3.0</v>
      </c>
      <c r="H2087" s="11">
        <v>3.0</v>
      </c>
      <c r="I2087" s="11">
        <v>3.0</v>
      </c>
    </row>
    <row r="2088">
      <c r="A2088" s="10" t="s">
        <v>8485</v>
      </c>
      <c r="B2088" s="49" t="str">
        <f t="shared" si="1"/>
        <v>Oil &amp; Gas</v>
      </c>
      <c r="C2088" s="49" t="str">
        <f t="shared" si="2"/>
        <v>Oil &amp; Gas; Regulatory provisions; fail to cement in the surface casing as required to protect water</v>
      </c>
      <c r="D2088" s="49" t="str">
        <f t="shared" si="3"/>
        <v>55-157</v>
      </c>
      <c r="E2088" s="11" t="s">
        <v>133</v>
      </c>
      <c r="F2088" s="11">
        <v>3.0</v>
      </c>
      <c r="G2088" s="11">
        <v>3.0</v>
      </c>
      <c r="H2088" s="11">
        <v>3.0</v>
      </c>
      <c r="I2088" s="11">
        <v>3.0</v>
      </c>
    </row>
    <row r="2089">
      <c r="A2089" s="10" t="s">
        <v>8486</v>
      </c>
      <c r="B2089" s="49" t="str">
        <f t="shared" si="1"/>
        <v>Oil &amp; Gas</v>
      </c>
      <c r="C2089" s="49" t="str">
        <f t="shared" si="2"/>
        <v>Oil &amp; Gas; Regulatory provisions; fail to plug well as required to protect water, prior to abandoning well</v>
      </c>
      <c r="D2089" s="49" t="str">
        <f t="shared" si="3"/>
        <v>55-156</v>
      </c>
      <c r="E2089" s="11" t="s">
        <v>133</v>
      </c>
      <c r="F2089" s="11">
        <v>3.0</v>
      </c>
      <c r="G2089" s="11">
        <v>3.0</v>
      </c>
      <c r="H2089" s="11">
        <v>3.0</v>
      </c>
      <c r="I2089" s="11">
        <v>3.0</v>
      </c>
    </row>
    <row r="2090">
      <c r="A2090" s="10" t="s">
        <v>8487</v>
      </c>
      <c r="B2090" s="49" t="str">
        <f t="shared" si="1"/>
        <v>Oil &amp; Gas</v>
      </c>
      <c r="C2090" s="49" t="str">
        <f t="shared" si="2"/>
        <v>Oil &amp; Gas; Regulatory provisions; removal of seal on well without proper approval</v>
      </c>
      <c r="D2090" s="49" t="str">
        <f t="shared" si="3"/>
        <v>55-162(e)</v>
      </c>
      <c r="E2090" s="11" t="s">
        <v>133</v>
      </c>
      <c r="F2090" s="11">
        <v>3.0</v>
      </c>
      <c r="G2090" s="11">
        <v>3.0</v>
      </c>
      <c r="H2090" s="11">
        <v>3.0</v>
      </c>
      <c r="I2090" s="11">
        <v>3.0</v>
      </c>
    </row>
    <row r="2091">
      <c r="A2091" s="10" t="s">
        <v>8488</v>
      </c>
      <c r="B2091" s="49" t="str">
        <f t="shared" si="1"/>
        <v>Oil &amp; Gas</v>
      </c>
      <c r="C2091" s="49" t="str">
        <f t="shared" si="2"/>
        <v>Oil &amp; Gas; Sell, offer or expose for sale any petroleum product which does not comply with the provisions of the petroleum products inspection law</v>
      </c>
      <c r="D2091" s="49" t="str">
        <f t="shared" si="3"/>
        <v>55-443(a)(9)</v>
      </c>
      <c r="E2091" s="11" t="s">
        <v>133</v>
      </c>
      <c r="F2091" s="11">
        <v>3.0</v>
      </c>
      <c r="G2091" s="11">
        <v>3.0</v>
      </c>
      <c r="H2091" s="11">
        <v>3.0</v>
      </c>
      <c r="I2091" s="11">
        <v>3.0</v>
      </c>
    </row>
    <row r="2092">
      <c r="A2092" s="10" t="s">
        <v>8489</v>
      </c>
      <c r="B2092" s="49" t="str">
        <f t="shared" si="1"/>
        <v>Oil &amp; Gas</v>
      </c>
      <c r="C2092" s="49" t="str">
        <f t="shared" si="2"/>
        <v>Oil &amp; Gas; Sell, use, remove, otherwise dispose of or fail to remove from the premises specified, any dispensing device, package or commodity contrary to the terms of any order issued by the secretary</v>
      </c>
      <c r="D2092" s="49" t="str">
        <f t="shared" si="3"/>
        <v>55-443(a)(10)</v>
      </c>
      <c r="E2092" s="11" t="s">
        <v>133</v>
      </c>
      <c r="F2092" s="11">
        <v>3.0</v>
      </c>
      <c r="G2092" s="11">
        <v>3.0</v>
      </c>
      <c r="H2092" s="11">
        <v>3.0</v>
      </c>
      <c r="I2092" s="11">
        <v>3.0</v>
      </c>
    </row>
    <row r="2093">
      <c r="A2093" s="10" t="s">
        <v>8490</v>
      </c>
      <c r="B2093" s="49" t="str">
        <f t="shared" si="1"/>
        <v>Oil &amp; Gas</v>
      </c>
      <c r="C2093" s="49" t="str">
        <f t="shared" si="2"/>
        <v>Oil &amp; Gas; Transportation of gas; standards for</v>
      </c>
      <c r="D2093" s="49" t="str">
        <f t="shared" si="3"/>
        <v>55-112(a)</v>
      </c>
      <c r="E2093" s="11" t="s">
        <v>133</v>
      </c>
      <c r="F2093" s="11">
        <v>3.0</v>
      </c>
      <c r="G2093" s="11">
        <v>3.0</v>
      </c>
      <c r="H2093" s="11">
        <v>3.0</v>
      </c>
      <c r="I2093" s="11">
        <v>3.0</v>
      </c>
    </row>
    <row r="2094">
      <c r="A2094" s="10" t="s">
        <v>8491</v>
      </c>
      <c r="B2094" s="49" t="str">
        <f t="shared" si="1"/>
        <v>Oil &amp; Gas</v>
      </c>
      <c r="C2094" s="49" t="str">
        <f t="shared" si="2"/>
        <v>Oil &amp; Gas; Violate any order issued by the secretary pursuant to chapter 83 of the Kansas Statutes Annotated</v>
      </c>
      <c r="D2094" s="49" t="str">
        <f t="shared" si="3"/>
        <v>55-443(a)(12)</v>
      </c>
      <c r="E2094" s="11" t="s">
        <v>133</v>
      </c>
      <c r="F2094" s="11">
        <v>3.0</v>
      </c>
      <c r="G2094" s="11">
        <v>3.0</v>
      </c>
      <c r="H2094" s="11">
        <v>3.0</v>
      </c>
      <c r="I2094" s="11">
        <v>3.0</v>
      </c>
    </row>
    <row r="2095">
      <c r="A2095" s="10" t="s">
        <v>8492</v>
      </c>
      <c r="B2095" s="49" t="str">
        <f t="shared" si="1"/>
        <v>Optometry Law</v>
      </c>
      <c r="C2095" s="49" t="str">
        <f t="shared" si="2"/>
        <v>Optometry Law; Dispense ophthalmic lens or lenses without prescription order; 1st offense</v>
      </c>
      <c r="D2095" s="49" t="str">
        <f t="shared" si="3"/>
        <v>65-1504b</v>
      </c>
      <c r="E2095" s="11" t="s">
        <v>133</v>
      </c>
      <c r="F2095" s="11">
        <v>3.0</v>
      </c>
      <c r="G2095" s="11">
        <v>3.0</v>
      </c>
      <c r="H2095" s="11">
        <v>3.0</v>
      </c>
      <c r="I2095" s="11">
        <v>3.0</v>
      </c>
    </row>
    <row r="2096">
      <c r="A2096" s="10" t="s">
        <v>8493</v>
      </c>
      <c r="B2096" s="49" t="str">
        <f t="shared" si="1"/>
        <v>Optometry Law</v>
      </c>
      <c r="C2096" s="49" t="str">
        <f t="shared" si="2"/>
        <v>Optometry Law; Dispense ophthalmic lens or lenses without prescription order; 2nd or subs. offense</v>
      </c>
      <c r="D2096" s="49" t="str">
        <f t="shared" si="3"/>
        <v>65-1504b</v>
      </c>
      <c r="E2096" s="11" t="s">
        <v>133</v>
      </c>
      <c r="F2096" s="11">
        <v>3.0</v>
      </c>
      <c r="G2096" s="11">
        <v>3.0</v>
      </c>
      <c r="H2096" s="11">
        <v>3.0</v>
      </c>
      <c r="I2096" s="11">
        <v>3.0</v>
      </c>
    </row>
    <row r="2097">
      <c r="A2097" s="10" t="s">
        <v>8494</v>
      </c>
      <c r="B2097" s="49" t="str">
        <f t="shared" si="1"/>
        <v>Optometry Law</v>
      </c>
      <c r="C2097" s="49" t="str">
        <f t="shared" si="2"/>
        <v>Optometry Law; Unauthorized disclosure of confidential fingerprints and criminal history record check information</v>
      </c>
      <c r="D2097" s="49" t="str">
        <f t="shared" si="3"/>
        <v>65-1505(f)(3)</v>
      </c>
      <c r="E2097" s="11" t="s">
        <v>133</v>
      </c>
      <c r="F2097" s="11">
        <v>3.0</v>
      </c>
      <c r="G2097" s="11">
        <v>3.0</v>
      </c>
      <c r="H2097" s="11">
        <v>3.0</v>
      </c>
      <c r="I2097" s="11">
        <v>3.0</v>
      </c>
    </row>
    <row r="2098">
      <c r="A2098" s="10" t="s">
        <v>8495</v>
      </c>
      <c r="B2098" s="49" t="str">
        <f t="shared" si="1"/>
        <v>Parimutuel Racing</v>
      </c>
      <c r="C2098" s="49" t="str">
        <f t="shared" si="2"/>
        <v>Parimutuel Racing; Accept, transmit or deliver, from a person outside a racetrack facility, anything of value to be wagered in any parimutuel system of wagering within a racetrack facility; 1st offense</v>
      </c>
      <c r="D2098" s="49" t="str">
        <f t="shared" si="3"/>
        <v>74-8810(i)(2)</v>
      </c>
      <c r="E2098" s="11" t="s">
        <v>133</v>
      </c>
      <c r="F2098" s="11">
        <v>3.0</v>
      </c>
      <c r="G2098" s="11">
        <v>3.0</v>
      </c>
      <c r="H2098" s="11">
        <v>3.0</v>
      </c>
      <c r="I2098" s="11">
        <v>3.0</v>
      </c>
    </row>
    <row r="2099">
      <c r="A2099" s="10" t="s">
        <v>8496</v>
      </c>
      <c r="B2099" s="49" t="str">
        <f t="shared" si="1"/>
        <v>Parimutuel Racing</v>
      </c>
      <c r="C2099" s="49" t="str">
        <f t="shared" si="2"/>
        <v>Parimutuel Racing; Accept, transmit or deliver, from any person outside a racetrack facility, anything of value to be wagered in any parimutuel system of wagering within a racetrack facility; 2nd or subs. offense</v>
      </c>
      <c r="D2099" s="49" t="str">
        <f t="shared" si="3"/>
        <v>74-8810(j)(2)</v>
      </c>
      <c r="E2099" s="11" t="s">
        <v>133</v>
      </c>
      <c r="F2099" s="11">
        <v>3.0</v>
      </c>
      <c r="G2099" s="11">
        <v>3.0</v>
      </c>
      <c r="H2099" s="11">
        <v>3.0</v>
      </c>
      <c r="I2099" s="11">
        <v>3.0</v>
      </c>
    </row>
    <row r="2100">
      <c r="A2100" s="10" t="s">
        <v>8497</v>
      </c>
      <c r="B2100" s="49" t="str">
        <f t="shared" si="1"/>
        <v>Parimutuel Racing</v>
      </c>
      <c r="C2100" s="49" t="str">
        <f t="shared" si="2"/>
        <v>Parimutuel Racing; Administer or conspire to administer, any drug or medication to a horse or greyhound in violation of rules and regulations of the commission; 2nd or subs. offense</v>
      </c>
      <c r="D2100" s="49" t="str">
        <f t="shared" si="3"/>
        <v>74-8810(j)(7)</v>
      </c>
      <c r="E2100" s="11" t="s">
        <v>133</v>
      </c>
      <c r="F2100" s="11">
        <v>3.0</v>
      </c>
      <c r="G2100" s="11">
        <v>3.0</v>
      </c>
      <c r="H2100" s="11">
        <v>3.0</v>
      </c>
      <c r="I2100" s="11">
        <v>3.0</v>
      </c>
    </row>
    <row r="2101">
      <c r="A2101" s="10" t="s">
        <v>8498</v>
      </c>
      <c r="B2101" s="49" t="str">
        <f t="shared" si="1"/>
        <v>Parimutuel Racing</v>
      </c>
      <c r="C2101" s="49" t="str">
        <f t="shared" si="2"/>
        <v>Parimutuel Racing; Administering any drug or medication to a horse or greyhound within a racetrack facility in violation of rules and regulations; 1st offense</v>
      </c>
      <c r="D2101" s="49" t="str">
        <f t="shared" si="3"/>
        <v>74-8810(i)(3)</v>
      </c>
      <c r="E2101" s="11" t="s">
        <v>133</v>
      </c>
      <c r="F2101" s="11">
        <v>3.0</v>
      </c>
      <c r="G2101" s="11">
        <v>3.0</v>
      </c>
      <c r="H2101" s="11">
        <v>3.0</v>
      </c>
      <c r="I2101" s="11">
        <v>3.0</v>
      </c>
    </row>
    <row r="2102">
      <c r="A2102" s="10" t="s">
        <v>8499</v>
      </c>
      <c r="B2102" s="49" t="str">
        <f t="shared" si="1"/>
        <v>Parimutuel Racing</v>
      </c>
      <c r="C2102" s="49" t="str">
        <f t="shared" si="2"/>
        <v>Parimutuel Racing; Alter, or attempt to alter, the natural outcome of any race conducted by, or any simulcast race displayed by, an organization licensee or transmit or receive an altered race or delayed broadcast race if parimutuel wagering is conducted or solicited after off time of the race</v>
      </c>
      <c r="D2102" s="49" t="str">
        <f t="shared" si="3"/>
        <v>74-8810(j)(11)</v>
      </c>
      <c r="E2102" s="11" t="s">
        <v>133</v>
      </c>
      <c r="F2102" s="11">
        <v>3.0</v>
      </c>
      <c r="G2102" s="11">
        <v>3.0</v>
      </c>
      <c r="H2102" s="11">
        <v>3.0</v>
      </c>
      <c r="I2102" s="11">
        <v>3.0</v>
      </c>
    </row>
    <row r="2103">
      <c r="A2103" s="10" t="s">
        <v>8500</v>
      </c>
      <c r="B2103" s="49" t="str">
        <f t="shared" si="1"/>
        <v>Parimutuel Racing</v>
      </c>
      <c r="C2103" s="49" t="str">
        <f t="shared" si="2"/>
        <v>Parimutuel Racing; Conduct or assist in the conduct of a horse or greyhound race, or the display of a simulcast race, where the parimutuel system of wagering is used or is intended to be used without a license</v>
      </c>
      <c r="D2103" s="49" t="str">
        <f t="shared" si="3"/>
        <v>74-8810(j)(3)</v>
      </c>
      <c r="E2103" s="11" t="s">
        <v>133</v>
      </c>
      <c r="F2103" s="11">
        <v>3.0</v>
      </c>
      <c r="G2103" s="11">
        <v>3.0</v>
      </c>
      <c r="H2103" s="11">
        <v>3.0</v>
      </c>
      <c r="I2103" s="11">
        <v>3.0</v>
      </c>
    </row>
    <row r="2104">
      <c r="A2104" s="10" t="s">
        <v>8501</v>
      </c>
      <c r="B2104" s="49" t="str">
        <f t="shared" si="1"/>
        <v>Parimutuel Racing</v>
      </c>
      <c r="C2104" s="49" t="str">
        <f t="shared" si="2"/>
        <v>Parimutuel Racing; Enter any horse or greyhound in any race conducted by an organization licensee knowing that the class or grade entered is not the true class or grade or knowing that the name under which entered is not the registered name</v>
      </c>
      <c r="D2104" s="49" t="str">
        <f t="shared" si="3"/>
        <v>74-8810(j)(4)</v>
      </c>
      <c r="E2104" s="11" t="s">
        <v>133</v>
      </c>
      <c r="F2104" s="11">
        <v>3.0</v>
      </c>
      <c r="G2104" s="11">
        <v>3.0</v>
      </c>
      <c r="H2104" s="11">
        <v>3.0</v>
      </c>
      <c r="I2104" s="11">
        <v>3.0</v>
      </c>
    </row>
    <row r="2105">
      <c r="A2105" s="10" t="s">
        <v>8502</v>
      </c>
      <c r="B2105" s="49" t="str">
        <f t="shared" si="1"/>
        <v>Parimutuel Racing</v>
      </c>
      <c r="C2105" s="49" t="str">
        <f t="shared" si="2"/>
        <v>Parimutuel Racing; Enter any horse or greyhound in any race knowing such horse or greyhound to be ineligible to compete in such race pursuant to K.S.A. 74-8812</v>
      </c>
      <c r="D2105" s="49" t="str">
        <f t="shared" si="3"/>
        <v>74-8810(i)(6)</v>
      </c>
      <c r="E2105" s="11" t="s">
        <v>133</v>
      </c>
      <c r="F2105" s="11">
        <v>3.0</v>
      </c>
      <c r="G2105" s="11">
        <v>3.0</v>
      </c>
      <c r="H2105" s="11">
        <v>3.0</v>
      </c>
      <c r="I2105" s="11">
        <v>3.0</v>
      </c>
    </row>
    <row r="2106">
      <c r="A2106" s="10" t="s">
        <v>8503</v>
      </c>
      <c r="B2106" s="49" t="str">
        <f t="shared" si="1"/>
        <v>Parimutuel Racing</v>
      </c>
      <c r="C2106" s="49" t="str">
        <f t="shared" si="2"/>
        <v>Parimutuel Racing; Fail to report knowledge of any violation of this act by another person for the purpose of stimulating or depressing any horse or greyhound, or affecting its speed</v>
      </c>
      <c r="D2106" s="49" t="str">
        <f t="shared" si="3"/>
        <v>74-8810(j)(14)</v>
      </c>
      <c r="E2106" s="11" t="s">
        <v>133</v>
      </c>
      <c r="F2106" s="11">
        <v>3.0</v>
      </c>
      <c r="G2106" s="11">
        <v>3.0</v>
      </c>
      <c r="H2106" s="11">
        <v>3.0</v>
      </c>
      <c r="I2106" s="11">
        <v>3.0</v>
      </c>
    </row>
    <row r="2107">
      <c r="A2107" s="10" t="s">
        <v>8504</v>
      </c>
      <c r="B2107" s="49" t="str">
        <f t="shared" si="1"/>
        <v>Parimutuel Racing</v>
      </c>
      <c r="C2107" s="49" t="str">
        <f t="shared" si="2"/>
        <v>Parimutuel Racing; Falsify, conceal or cover up, by any trick, scheme or device, a material fact related to breeding, buying, selling or racing or prior racing record, pedigree, identity or ownership of a registered horse or greyhound</v>
      </c>
      <c r="D2107" s="49" t="str">
        <f t="shared" si="3"/>
        <v>74-8810(j)(15)(A)</v>
      </c>
      <c r="E2107" s="11" t="s">
        <v>133</v>
      </c>
      <c r="F2107" s="11">
        <v>3.0</v>
      </c>
      <c r="G2107" s="11">
        <v>3.0</v>
      </c>
      <c r="H2107" s="11">
        <v>3.0</v>
      </c>
      <c r="I2107" s="11">
        <v>3.0</v>
      </c>
    </row>
    <row r="2108">
      <c r="A2108" s="10" t="s">
        <v>8505</v>
      </c>
      <c r="B2108" s="49" t="str">
        <f t="shared" si="1"/>
        <v>Parimutuel Racing</v>
      </c>
      <c r="C2108" s="49" t="str">
        <f t="shared" si="2"/>
        <v>Parimutuel Racing; Holding paid position with any facility manager licensee, facility owner licensee or organization licensee or holding an interest in any racetrack facility if related to a member of the Legislature</v>
      </c>
      <c r="D2108" s="49" t="str">
        <f t="shared" si="3"/>
        <v>74-8810(b)(2)</v>
      </c>
      <c r="E2108" s="11" t="s">
        <v>133</v>
      </c>
      <c r="F2108" s="11">
        <v>3.0</v>
      </c>
      <c r="G2108" s="11">
        <v>3.0</v>
      </c>
      <c r="H2108" s="11">
        <v>3.0</v>
      </c>
      <c r="I2108" s="11">
        <v>3.0</v>
      </c>
    </row>
    <row r="2109">
      <c r="A2109" s="10" t="s">
        <v>8506</v>
      </c>
      <c r="B2109" s="49" t="str">
        <f t="shared" si="1"/>
        <v>Parimutuel Racing</v>
      </c>
      <c r="C2109" s="49" t="str">
        <f t="shared" si="2"/>
        <v>Parimutuel Racing; Holding paid position with any facility manger licensee, facility owner licensee or organization licensee or holding an interest in any racetrack facility if a member of the Legislature or within 5 yrs following the end of such term</v>
      </c>
      <c r="D2109" s="49" t="str">
        <f t="shared" si="3"/>
        <v>74-8810(b)(1)</v>
      </c>
      <c r="E2109" s="11" t="s">
        <v>133</v>
      </c>
      <c r="F2109" s="11">
        <v>3.0</v>
      </c>
      <c r="G2109" s="11">
        <v>3.0</v>
      </c>
      <c r="H2109" s="11">
        <v>3.0</v>
      </c>
      <c r="I2109" s="11">
        <v>3.0</v>
      </c>
    </row>
    <row r="2110">
      <c r="A2110" s="10" t="s">
        <v>8507</v>
      </c>
      <c r="B2110" s="49" t="str">
        <f t="shared" si="1"/>
        <v>Parimutuel Racing</v>
      </c>
      <c r="C2110" s="49" t="str">
        <f t="shared" si="2"/>
        <v>Parimutuel Racing; Illegal purchase of a parimutuel ticket by person 18 or over but less than 21; 1st offense</v>
      </c>
      <c r="D2110" s="49" t="str">
        <f t="shared" si="3"/>
        <v>74-8810(k)(1)</v>
      </c>
      <c r="E2110" s="11" t="s">
        <v>133</v>
      </c>
      <c r="F2110" s="11">
        <v>3.0</v>
      </c>
      <c r="G2110" s="11">
        <v>3.0</v>
      </c>
      <c r="H2110" s="11">
        <v>3.0</v>
      </c>
      <c r="I2110" s="11">
        <v>3.0</v>
      </c>
    </row>
    <row r="2111">
      <c r="A2111" s="10" t="s">
        <v>8508</v>
      </c>
      <c r="B2111" s="49" t="str">
        <f t="shared" si="1"/>
        <v>Parimutuel Racing</v>
      </c>
      <c r="C2111" s="49" t="str">
        <f t="shared" si="2"/>
        <v>Parimutuel Racing; Illegal purchase of a parimutuel ticket by person 18 or over but less than 21; 2nd or subs. offense</v>
      </c>
      <c r="D2111" s="49" t="str">
        <f t="shared" si="3"/>
        <v>74-8810(k)(1)</v>
      </c>
      <c r="E2111" s="11" t="s">
        <v>133</v>
      </c>
      <c r="F2111" s="11">
        <v>3.0</v>
      </c>
      <c r="G2111" s="11">
        <v>3.0</v>
      </c>
      <c r="H2111" s="11">
        <v>3.0</v>
      </c>
      <c r="I2111" s="11">
        <v>3.0</v>
      </c>
    </row>
    <row r="2112">
      <c r="A2112" s="10" t="s">
        <v>8509</v>
      </c>
      <c r="B2112" s="49" t="str">
        <f t="shared" si="1"/>
        <v>Parimutuel Racing</v>
      </c>
      <c r="C2112" s="49" t="str">
        <f t="shared" si="2"/>
        <v>Parimutuel Racing; Influence or attempt to influence any member, employee or appointee of the commission, by payment, in the performance of any official duty of that member, employee or appointee</v>
      </c>
      <c r="D2112" s="49" t="str">
        <f t="shared" si="3"/>
        <v>74-8810(j)(13)</v>
      </c>
      <c r="E2112" s="11" t="s">
        <v>133</v>
      </c>
      <c r="F2112" s="11">
        <v>3.0</v>
      </c>
      <c r="G2112" s="11">
        <v>3.0</v>
      </c>
      <c r="H2112" s="11">
        <v>3.0</v>
      </c>
      <c r="I2112" s="11">
        <v>3.0</v>
      </c>
    </row>
    <row r="2113">
      <c r="A2113" s="10" t="s">
        <v>8510</v>
      </c>
      <c r="B2113" s="49" t="str">
        <f t="shared" si="1"/>
        <v>Parimutuel Racing</v>
      </c>
      <c r="C2113" s="49" t="str">
        <f t="shared" si="2"/>
        <v>Parimutuel Racing; Influence or attempt to influence, by the payment or promise of payment of money or other valuable consideration, any person to alter the natural outcome of any race conducted by, or any simulcast race displayed by, an organization licensee</v>
      </c>
      <c r="D2113" s="49" t="str">
        <f t="shared" si="3"/>
        <v>74-8810(j)(12)</v>
      </c>
      <c r="E2113" s="11" t="s">
        <v>133</v>
      </c>
      <c r="F2113" s="11">
        <v>3.0</v>
      </c>
      <c r="G2113" s="11">
        <v>3.0</v>
      </c>
      <c r="H2113" s="11">
        <v>3.0</v>
      </c>
      <c r="I2113" s="11">
        <v>3.0</v>
      </c>
    </row>
    <row r="2114">
      <c r="A2114" s="10" t="s">
        <v>8511</v>
      </c>
      <c r="B2114" s="49" t="str">
        <f t="shared" si="1"/>
        <v>Parimutuel Racing</v>
      </c>
      <c r="C2114" s="49" t="str">
        <f t="shared" si="2"/>
        <v>Parimutuel Racing; Knowingly make or use any false writing related to breeding, buying, selling or racing or prior racing record, pedigree, identity or ownership of a registered horse or greyhound</v>
      </c>
      <c r="D2114" s="49" t="str">
        <f t="shared" si="3"/>
        <v>74-8810(j)(15)(C)</v>
      </c>
      <c r="E2114" s="11" t="s">
        <v>133</v>
      </c>
      <c r="F2114" s="11">
        <v>3.0</v>
      </c>
      <c r="G2114" s="11">
        <v>3.0</v>
      </c>
      <c r="H2114" s="11">
        <v>3.0</v>
      </c>
      <c r="I2114" s="11">
        <v>3.0</v>
      </c>
    </row>
    <row r="2115">
      <c r="A2115" s="10" t="s">
        <v>8512</v>
      </c>
      <c r="B2115" s="49" t="str">
        <f t="shared" si="1"/>
        <v>Parimutuel Racing</v>
      </c>
      <c r="C2115" s="49" t="str">
        <f t="shared" si="2"/>
        <v>Parimutuel Racing; Make any false, fictitious or fraudulent statement or representation related to breeding, buying, selling or racing or prior racing record, pedigree, identity or ownership of a registered horse or greyhound</v>
      </c>
      <c r="D2115" s="49" t="str">
        <f t="shared" si="3"/>
        <v>74-8810(j)(15)(B)</v>
      </c>
      <c r="E2115" s="11" t="s">
        <v>133</v>
      </c>
      <c r="F2115" s="11">
        <v>3.0</v>
      </c>
      <c r="G2115" s="11">
        <v>3.0</v>
      </c>
      <c r="H2115" s="11">
        <v>3.0</v>
      </c>
      <c r="I2115" s="11">
        <v>3.0</v>
      </c>
    </row>
    <row r="2116">
      <c r="A2116" s="10" t="s">
        <v>8513</v>
      </c>
      <c r="B2116" s="49" t="str">
        <f t="shared" si="1"/>
        <v>Parimutuel Racing</v>
      </c>
      <c r="C2116" s="49" t="str">
        <f t="shared" si="2"/>
        <v>Parimutuel Racing; Pass or attempt to pass, cash or attempt to cash any altered or forged parimutuel ticket knowing it to have been altered or forged</v>
      </c>
      <c r="D2116" s="49" t="str">
        <f t="shared" si="3"/>
        <v>74-8810(j)(16)</v>
      </c>
      <c r="E2116" s="11" t="s">
        <v>133</v>
      </c>
      <c r="F2116" s="11">
        <v>3.0</v>
      </c>
      <c r="G2116" s="11">
        <v>3.0</v>
      </c>
      <c r="H2116" s="11">
        <v>3.0</v>
      </c>
      <c r="I2116" s="11">
        <v>3.0</v>
      </c>
    </row>
    <row r="2117">
      <c r="A2117" s="10" t="s">
        <v>8514</v>
      </c>
      <c r="B2117" s="49" t="str">
        <f t="shared" si="1"/>
        <v>Parimutuel Racing</v>
      </c>
      <c r="C2117" s="49" t="str">
        <f t="shared" si="2"/>
        <v>Parimutuel Racing; Possess any unusual device or lure designed or intended to affect the speed of a horse or greyhound</v>
      </c>
      <c r="D2117" s="49" t="str">
        <f t="shared" si="3"/>
        <v>74-8810(j)(6)</v>
      </c>
      <c r="E2117" s="11" t="s">
        <v>133</v>
      </c>
      <c r="F2117" s="11">
        <v>3.0</v>
      </c>
      <c r="G2117" s="11">
        <v>3.0</v>
      </c>
      <c r="H2117" s="11">
        <v>3.0</v>
      </c>
      <c r="I2117" s="11">
        <v>3.0</v>
      </c>
    </row>
    <row r="2118">
      <c r="A2118" s="10" t="s">
        <v>8515</v>
      </c>
      <c r="B2118" s="49" t="str">
        <f t="shared" si="1"/>
        <v>Parimutuel Racing</v>
      </c>
      <c r="C2118" s="49" t="str">
        <f t="shared" si="2"/>
        <v>Parimutuel Racing; Possess or conspire to possess, any drug or medication for administration to a horse or greyhound in violation of rules and regulations of the commission; 2nd or subs. offense</v>
      </c>
      <c r="D2118" s="49" t="str">
        <f t="shared" si="3"/>
        <v>74-8810(j)(8)</v>
      </c>
      <c r="E2118" s="11" t="s">
        <v>133</v>
      </c>
      <c r="F2118" s="11">
        <v>3.0</v>
      </c>
      <c r="G2118" s="11">
        <v>3.0</v>
      </c>
      <c r="H2118" s="11">
        <v>3.0</v>
      </c>
      <c r="I2118" s="11">
        <v>3.0</v>
      </c>
    </row>
    <row r="2119">
      <c r="A2119" s="10" t="s">
        <v>8516</v>
      </c>
      <c r="B2119" s="49" t="str">
        <f t="shared" si="1"/>
        <v>Parimutuel Racing</v>
      </c>
      <c r="C2119" s="49" t="str">
        <f t="shared" si="2"/>
        <v>Parimutuel Racing; Possess or conspire to possess, equipment for administering drugs or medications to horses or greyhounds in violation of rules and regulations of the commission; 2nd or subs. offense</v>
      </c>
      <c r="D2119" s="49" t="str">
        <f t="shared" si="3"/>
        <v>74-8810(j)(9)</v>
      </c>
      <c r="E2119" s="11" t="s">
        <v>133</v>
      </c>
      <c r="F2119" s="11">
        <v>3.0</v>
      </c>
      <c r="G2119" s="11">
        <v>3.0</v>
      </c>
      <c r="H2119" s="11">
        <v>3.0</v>
      </c>
      <c r="I2119" s="11">
        <v>3.0</v>
      </c>
    </row>
    <row r="2120">
      <c r="A2120" s="10" t="s">
        <v>8517</v>
      </c>
      <c r="B2120" s="49" t="str">
        <f t="shared" si="1"/>
        <v>Parimutuel Racing</v>
      </c>
      <c r="C2120" s="49" t="str">
        <f t="shared" si="2"/>
        <v>Parimutuel Racing; Possession within a racetrack facility of any drug or medication for administration to a horse or greyhound in violation of rules and regulations; 1st offense</v>
      </c>
      <c r="D2120" s="49" t="str">
        <f t="shared" si="3"/>
        <v>74-8810(i)(4)</v>
      </c>
      <c r="E2120" s="11" t="s">
        <v>133</v>
      </c>
      <c r="F2120" s="11">
        <v>3.0</v>
      </c>
      <c r="G2120" s="11">
        <v>3.0</v>
      </c>
      <c r="H2120" s="11">
        <v>3.0</v>
      </c>
      <c r="I2120" s="11">
        <v>3.0</v>
      </c>
    </row>
    <row r="2121">
      <c r="A2121" s="10" t="s">
        <v>8518</v>
      </c>
      <c r="B2121" s="49" t="str">
        <f t="shared" si="1"/>
        <v>Parimutuel Racing</v>
      </c>
      <c r="C2121" s="49" t="str">
        <f t="shared" si="2"/>
        <v>Parimutuel Racing; Possession within a racetrack facility of equipment for administering drugs or medications to horses or greyhounds in violation of rules &amp; regulations; 1st offense</v>
      </c>
      <c r="D2121" s="49" t="str">
        <f t="shared" si="3"/>
        <v>74-8810(i)(5)</v>
      </c>
      <c r="E2121" s="11" t="s">
        <v>133</v>
      </c>
      <c r="F2121" s="11">
        <v>3.0</v>
      </c>
      <c r="G2121" s="11">
        <v>3.0</v>
      </c>
      <c r="H2121" s="11">
        <v>3.0</v>
      </c>
      <c r="I2121" s="11">
        <v>3.0</v>
      </c>
    </row>
    <row r="2122">
      <c r="A2122" s="10" t="s">
        <v>8519</v>
      </c>
      <c r="B2122" s="49" t="str">
        <f t="shared" si="1"/>
        <v>Parimutuel Racing</v>
      </c>
      <c r="C2122" s="49" t="str">
        <f t="shared" si="2"/>
        <v>Parimutuel Racing; Prepare or cause to be prepared an application for registration of a horse pursuant to K.S.A. 74-8830 knowing that such contains false information</v>
      </c>
      <c r="D2122" s="49" t="str">
        <f t="shared" si="3"/>
        <v>74-8810(i)(7)</v>
      </c>
      <c r="E2122" s="11" t="s">
        <v>133</v>
      </c>
      <c r="F2122" s="11">
        <v>3.0</v>
      </c>
      <c r="G2122" s="11">
        <v>3.0</v>
      </c>
      <c r="H2122" s="11">
        <v>3.0</v>
      </c>
      <c r="I2122" s="11">
        <v>3.0</v>
      </c>
    </row>
    <row r="2123">
      <c r="A2123" s="10" t="s">
        <v>8520</v>
      </c>
      <c r="B2123" s="49" t="str">
        <f t="shared" si="1"/>
        <v>Parimutuel Racing</v>
      </c>
      <c r="C2123" s="49" t="str">
        <f t="shared" si="2"/>
        <v>Parimutuel Racing; Prohibited acts of executive director or a member of the commission; having financial interest in any racetrack facility or any host facility for a simulcast race</v>
      </c>
      <c r="D2123" s="49" t="str">
        <f t="shared" si="3"/>
        <v>74-8810(a)(1)</v>
      </c>
      <c r="E2123" s="11" t="s">
        <v>133</v>
      </c>
      <c r="F2123" s="11">
        <v>3.0</v>
      </c>
      <c r="G2123" s="11">
        <v>3.0</v>
      </c>
      <c r="H2123" s="11">
        <v>3.0</v>
      </c>
      <c r="I2123" s="11">
        <v>3.0</v>
      </c>
    </row>
    <row r="2124">
      <c r="A2124" s="10" t="s">
        <v>8521</v>
      </c>
      <c r="B2124" s="49" t="str">
        <f t="shared" si="1"/>
        <v>Parimutuel Racing</v>
      </c>
      <c r="C2124" s="49" t="str">
        <f t="shared" si="2"/>
        <v>Parimutuel Racing; Prohibited acts of facility owner licensee or facility manager licensee, other than a horsemen's association, or any officer, director, employee, stockholder or shareholder thereof or any person having an ownership interest therein</v>
      </c>
      <c r="D2124" s="49" t="str">
        <f t="shared" si="3"/>
        <v>74-8810(f)</v>
      </c>
      <c r="E2124" s="11" t="s">
        <v>133</v>
      </c>
      <c r="F2124" s="11">
        <v>3.0</v>
      </c>
      <c r="G2124" s="11">
        <v>3.0</v>
      </c>
      <c r="H2124" s="11">
        <v>3.0</v>
      </c>
      <c r="I2124" s="11">
        <v>3.0</v>
      </c>
    </row>
    <row r="2125">
      <c r="A2125" s="10" t="s">
        <v>8522</v>
      </c>
      <c r="B2125" s="49" t="str">
        <f t="shared" si="1"/>
        <v>Parimutuel Racing</v>
      </c>
      <c r="C2125" s="49" t="str">
        <f t="shared" si="2"/>
        <v>Parimutuel Racing; Prohibited acts of licensee of the commission, or an officer, director, member or employee of a licensee</v>
      </c>
      <c r="D2125" s="49" t="str">
        <f t="shared" si="3"/>
        <v>74-8810(g)</v>
      </c>
      <c r="E2125" s="11" t="s">
        <v>133</v>
      </c>
      <c r="F2125" s="11">
        <v>3.0</v>
      </c>
      <c r="G2125" s="11">
        <v>3.0</v>
      </c>
      <c r="H2125" s="11">
        <v>3.0</v>
      </c>
      <c r="I2125" s="11">
        <v>3.0</v>
      </c>
    </row>
    <row r="2126">
      <c r="A2126" s="10" t="s">
        <v>8523</v>
      </c>
      <c r="B2126" s="49" t="str">
        <f t="shared" si="1"/>
        <v>Parimutuel Racing</v>
      </c>
      <c r="C2126" s="49" t="str">
        <f t="shared" si="2"/>
        <v>Parimutuel Racing; Prohibited acts of member, employee or appointee of the commission, including stewards and racing judges; participate as an owner, owner-trainer or trainer of a horse or greyhound, or as a jockey of a horse entered in a race meeting in this state</v>
      </c>
      <c r="D2126" s="49" t="str">
        <f t="shared" si="3"/>
        <v>74-8810(c)(2)</v>
      </c>
      <c r="E2126" s="11" t="s">
        <v>133</v>
      </c>
      <c r="F2126" s="11">
        <v>3.0</v>
      </c>
      <c r="G2126" s="11">
        <v>3.0</v>
      </c>
      <c r="H2126" s="11">
        <v>3.0</v>
      </c>
      <c r="I2126" s="11">
        <v>3.0</v>
      </c>
    </row>
    <row r="2127">
      <c r="A2127" s="10" t="s">
        <v>8524</v>
      </c>
      <c r="B2127" s="49" t="str">
        <f t="shared" si="1"/>
        <v>Parimutuel Racing</v>
      </c>
      <c r="C2127" s="49" t="str">
        <f t="shared" si="2"/>
        <v>Parimutuel Racing; Prohibited acts of member, employee or appointee of the commission, including stewards and racing judges; participate in the operation of or have financial interest in certain business</v>
      </c>
      <c r="D2127" s="49" t="str">
        <f t="shared" si="3"/>
        <v>74-8810(c)(1)</v>
      </c>
      <c r="E2127" s="11" t="s">
        <v>133</v>
      </c>
      <c r="F2127" s="11">
        <v>3.0</v>
      </c>
      <c r="G2127" s="11">
        <v>3.0</v>
      </c>
      <c r="H2127" s="11">
        <v>3.0</v>
      </c>
      <c r="I2127" s="11">
        <v>3.0</v>
      </c>
    </row>
    <row r="2128">
      <c r="A2128" s="10" t="s">
        <v>8525</v>
      </c>
      <c r="B2128" s="49" t="str">
        <f t="shared" si="1"/>
        <v>Parimutuel Racing</v>
      </c>
      <c r="C2128" s="49" t="str">
        <f t="shared" si="2"/>
        <v>Parimutuel Racing; Prohibited acts of member, employee or appointee of the commission, including stewards and racing judges; place a wager on an entry in a horse or greyhound race conducted by an organization licensee</v>
      </c>
      <c r="D2128" s="49" t="str">
        <f t="shared" si="3"/>
        <v>74-8810(c)(3)</v>
      </c>
      <c r="E2128" s="11" t="s">
        <v>133</v>
      </c>
      <c r="F2128" s="11">
        <v>3.0</v>
      </c>
      <c r="G2128" s="11">
        <v>3.0</v>
      </c>
      <c r="H2128" s="11">
        <v>3.0</v>
      </c>
      <c r="I2128" s="11">
        <v>3.0</v>
      </c>
    </row>
    <row r="2129">
      <c r="A2129" s="10" t="s">
        <v>8526</v>
      </c>
      <c r="B2129" s="49" t="str">
        <f t="shared" si="1"/>
        <v>Parimutuel Racing</v>
      </c>
      <c r="C2129" s="49" t="str">
        <f t="shared" si="2"/>
        <v>Parimutuel Racing; Prohibited acts of member, employee or appointee of the commission, including stewards and racing judges; unauthorized acceptance of any compensation, gift, loan, entertainment, favor or service from any licensee</v>
      </c>
      <c r="D2129" s="49" t="str">
        <f t="shared" si="3"/>
        <v>74-8810(c)(4)</v>
      </c>
      <c r="E2129" s="11" t="s">
        <v>133</v>
      </c>
      <c r="F2129" s="11">
        <v>3.0</v>
      </c>
      <c r="G2129" s="11">
        <v>3.0</v>
      </c>
      <c r="H2129" s="11">
        <v>3.0</v>
      </c>
      <c r="I2129" s="11">
        <v>3.0</v>
      </c>
    </row>
    <row r="2130">
      <c r="A2130" s="10" t="s">
        <v>8527</v>
      </c>
      <c r="B2130" s="49" t="str">
        <f t="shared" si="1"/>
        <v>Parimutuel Racing</v>
      </c>
      <c r="C2130" s="49" t="str">
        <f t="shared" si="2"/>
        <v>Parimutuel Racing; Prohibited acts of member, employee or appointee of the commission, or certain relatives thereof; enter into business dealing, venture or contract with an owner or lessee of a racetrack facility</v>
      </c>
      <c r="D2130" s="49" t="str">
        <f t="shared" si="3"/>
        <v>74-8810(d)(1)(B)</v>
      </c>
      <c r="E2130" s="11" t="s">
        <v>133</v>
      </c>
      <c r="F2130" s="11">
        <v>3.0</v>
      </c>
      <c r="G2130" s="11">
        <v>3.0</v>
      </c>
      <c r="H2130" s="11">
        <v>3.0</v>
      </c>
      <c r="I2130" s="11">
        <v>3.0</v>
      </c>
    </row>
    <row r="2131">
      <c r="A2131" s="10" t="s">
        <v>8528</v>
      </c>
      <c r="B2131" s="49" t="str">
        <f t="shared" si="1"/>
        <v>Parimutuel Racing</v>
      </c>
      <c r="C2131" s="49" t="str">
        <f t="shared" si="2"/>
        <v>Parimutuel Racing; Prohibited acts of member, employee or appointee of the commission, or certain relatives thereof; holding license issued by the commission</v>
      </c>
      <c r="D2131" s="49" t="str">
        <f t="shared" si="3"/>
        <v>74-8810(d)(1)(A)</v>
      </c>
      <c r="E2131" s="11" t="s">
        <v>133</v>
      </c>
      <c r="F2131" s="11">
        <v>3.0</v>
      </c>
      <c r="G2131" s="11">
        <v>3.0</v>
      </c>
      <c r="H2131" s="11">
        <v>3.0</v>
      </c>
      <c r="I2131" s="11">
        <v>3.0</v>
      </c>
    </row>
    <row r="2132">
      <c r="A2132" s="10" t="s">
        <v>8529</v>
      </c>
      <c r="B2132" s="49" t="str">
        <f t="shared" si="1"/>
        <v>Parimutuel Racing</v>
      </c>
      <c r="C2132" s="49" t="str">
        <f t="shared" si="2"/>
        <v>Parimutuel Racing; Prohibited acts of officer, director or member of an organization licensee, other than a fair association or horsemen's nonprofit organization; entering into certain business dealings, ventures or contracts</v>
      </c>
      <c r="D2132" s="49" t="str">
        <f t="shared" si="3"/>
        <v>74-8810(e)(2)</v>
      </c>
      <c r="E2132" s="11" t="s">
        <v>133</v>
      </c>
      <c r="F2132" s="11">
        <v>3.0</v>
      </c>
      <c r="G2132" s="11">
        <v>3.0</v>
      </c>
      <c r="H2132" s="11">
        <v>3.0</v>
      </c>
      <c r="I2132" s="11">
        <v>3.0</v>
      </c>
    </row>
    <row r="2133">
      <c r="A2133" s="10" t="s">
        <v>8530</v>
      </c>
      <c r="B2133" s="49" t="str">
        <f t="shared" si="1"/>
        <v>Parimutuel Racing</v>
      </c>
      <c r="C2133" s="49" t="str">
        <f t="shared" si="2"/>
        <v>Parimutuel Racing; Prohibited acts of officer, director or member of an organization licensee, other than a fair association or horsemen's nonprofit organization; financial interest</v>
      </c>
      <c r="D2133" s="49" t="str">
        <f t="shared" si="3"/>
        <v>74-8810(a)(2)</v>
      </c>
      <c r="E2133" s="11" t="s">
        <v>133</v>
      </c>
      <c r="F2133" s="11">
        <v>3.0</v>
      </c>
      <c r="G2133" s="11">
        <v>3.0</v>
      </c>
      <c r="H2133" s="11">
        <v>3.0</v>
      </c>
      <c r="I2133" s="11">
        <v>3.0</v>
      </c>
    </row>
    <row r="2134">
      <c r="A2134" s="10" t="s">
        <v>8531</v>
      </c>
      <c r="B2134" s="49" t="str">
        <f t="shared" si="1"/>
        <v>Parimutuel Racing</v>
      </c>
      <c r="C2134" s="49" t="str">
        <f t="shared" si="2"/>
        <v>Parimutuel Racing; Prohibited acts of officer, director or member of an organization licensee, other than a fair association or horsemen's nonprofit organization; unauthorized receipt of certain compensation, reimbursement or payment of expenses</v>
      </c>
      <c r="D2134" s="49" t="str">
        <f t="shared" si="3"/>
        <v>74-8810(e)(1)</v>
      </c>
      <c r="E2134" s="11" t="s">
        <v>133</v>
      </c>
      <c r="F2134" s="11">
        <v>3.0</v>
      </c>
      <c r="G2134" s="11">
        <v>3.0</v>
      </c>
      <c r="H2134" s="11">
        <v>3.0</v>
      </c>
      <c r="I2134" s="11">
        <v>3.0</v>
      </c>
    </row>
    <row r="2135">
      <c r="A2135" s="10" t="s">
        <v>8532</v>
      </c>
      <c r="B2135" s="49" t="str">
        <f t="shared" si="1"/>
        <v>Parimutuel Racing</v>
      </c>
      <c r="C2135" s="49" t="str">
        <f t="shared" si="2"/>
        <v>Parimutuel Racing; Sell a parimutuel ticket or an interest in such a ticket to a person knowing such person to be under 21 yrs of age; 1st offense</v>
      </c>
      <c r="D2135" s="49" t="str">
        <f t="shared" si="3"/>
        <v>74-8810(i)(1)</v>
      </c>
      <c r="E2135" s="11" t="s">
        <v>133</v>
      </c>
      <c r="F2135" s="11">
        <v>3.0</v>
      </c>
      <c r="G2135" s="11">
        <v>3.0</v>
      </c>
      <c r="H2135" s="11">
        <v>3.0</v>
      </c>
      <c r="I2135" s="11">
        <v>3.0</v>
      </c>
    </row>
    <row r="2136">
      <c r="A2136" s="10" t="s">
        <v>8533</v>
      </c>
      <c r="B2136" s="49" t="str">
        <f t="shared" si="1"/>
        <v>Parimutuel Racing</v>
      </c>
      <c r="C2136" s="49" t="str">
        <f t="shared" si="2"/>
        <v>Parimutuel Racing; Selling a parimutuel ticket or an interest in such a ticket to a person known to be under 21; 2nd or subs. offense</v>
      </c>
      <c r="D2136" s="49" t="str">
        <f t="shared" si="3"/>
        <v>74-8810(j)(1)</v>
      </c>
      <c r="E2136" s="11" t="s">
        <v>133</v>
      </c>
      <c r="F2136" s="11">
        <v>3.0</v>
      </c>
      <c r="G2136" s="11">
        <v>3.0</v>
      </c>
      <c r="H2136" s="11">
        <v>3.0</v>
      </c>
      <c r="I2136" s="11">
        <v>3.0</v>
      </c>
    </row>
    <row r="2137">
      <c r="A2137" s="10" t="s">
        <v>8534</v>
      </c>
      <c r="B2137" s="49" t="str">
        <f t="shared" si="1"/>
        <v>Parimutuel Racing</v>
      </c>
      <c r="C2137" s="49" t="str">
        <f t="shared" si="2"/>
        <v>Parimutuel Racing; Sponge the nostrils or windpipe of a horse for the purpose of stimulating or depressing such horse or affecting its speed at any time during a race meeting</v>
      </c>
      <c r="D2137" s="49" t="str">
        <f t="shared" si="3"/>
        <v>74-8810(j)(10)</v>
      </c>
      <c r="E2137" s="11" t="s">
        <v>133</v>
      </c>
      <c r="F2137" s="11">
        <v>3.0</v>
      </c>
      <c r="G2137" s="11">
        <v>3.0</v>
      </c>
      <c r="H2137" s="11">
        <v>3.0</v>
      </c>
      <c r="I2137" s="11">
        <v>3.0</v>
      </c>
    </row>
    <row r="2138">
      <c r="A2138" s="10" t="s">
        <v>8535</v>
      </c>
      <c r="B2138" s="49" t="str">
        <f t="shared" si="1"/>
        <v>Parimutuel Racing</v>
      </c>
      <c r="C2138" s="49" t="str">
        <f t="shared" si="2"/>
        <v>Parimutuel Racing; Unauthorized disclosure of confidential information</v>
      </c>
      <c r="D2138" s="49" t="str">
        <f t="shared" si="3"/>
        <v>74-8804(o)</v>
      </c>
      <c r="E2138" s="11" t="s">
        <v>133</v>
      </c>
      <c r="F2138" s="11">
        <v>3.0</v>
      </c>
      <c r="G2138" s="11">
        <v>3.0</v>
      </c>
      <c r="H2138" s="11">
        <v>3.0</v>
      </c>
      <c r="I2138" s="11">
        <v>3.0</v>
      </c>
    </row>
    <row r="2139">
      <c r="A2139" s="10" t="s">
        <v>8536</v>
      </c>
      <c r="B2139" s="49" t="str">
        <f t="shared" si="1"/>
        <v>Parimutuel Racing</v>
      </c>
      <c r="C2139" s="49" t="str">
        <f t="shared" si="2"/>
        <v>Parimutuel Racing; Use any animal or fowl in the training or racing of racing greyhounds</v>
      </c>
      <c r="D2139" s="49" t="str">
        <f t="shared" si="3"/>
        <v>74-8810(h)</v>
      </c>
      <c r="E2139" s="11" t="s">
        <v>133</v>
      </c>
      <c r="F2139" s="11">
        <v>3.0</v>
      </c>
      <c r="G2139" s="11">
        <v>3.0</v>
      </c>
      <c r="H2139" s="11">
        <v>3.0</v>
      </c>
      <c r="I2139" s="11">
        <v>3.0</v>
      </c>
    </row>
    <row r="2140">
      <c r="A2140" s="10" t="s">
        <v>8537</v>
      </c>
      <c r="B2140" s="49" t="str">
        <f t="shared" si="1"/>
        <v>Parimutuel Racing</v>
      </c>
      <c r="C2140" s="49" t="str">
        <f t="shared" si="2"/>
        <v>Parimutuel Racing; Use or conspire to use any unusual device or lure for the purpose of affecting the speed of any horse or greyhound during a race</v>
      </c>
      <c r="D2140" s="49" t="str">
        <f t="shared" si="3"/>
        <v>74-8810(j)(5)</v>
      </c>
      <c r="E2140" s="11" t="s">
        <v>133</v>
      </c>
      <c r="F2140" s="11">
        <v>3.0</v>
      </c>
      <c r="G2140" s="11">
        <v>3.0</v>
      </c>
      <c r="H2140" s="11">
        <v>3.0</v>
      </c>
      <c r="I2140" s="11">
        <v>3.0</v>
      </c>
    </row>
    <row r="2141">
      <c r="A2141" s="10" t="s">
        <v>8538</v>
      </c>
      <c r="B2141" s="49" t="str">
        <f t="shared" si="1"/>
        <v>Parks/museums/lakes/recreational grounds</v>
      </c>
      <c r="C2141" s="49" t="str">
        <f t="shared" si="2"/>
        <v>Parks/museums/lakes/recreational grounds; Penalty for violation of any posted or published penal rule or regulations relating to the conduct of persons in the area where improvements are established</v>
      </c>
      <c r="D2141" s="49" t="str">
        <f t="shared" si="3"/>
        <v>19-2894</v>
      </c>
      <c r="E2141" s="11" t="s">
        <v>133</v>
      </c>
      <c r="F2141" s="11">
        <v>3.0</v>
      </c>
      <c r="G2141" s="11">
        <v>3.0</v>
      </c>
      <c r="H2141" s="11">
        <v>3.0</v>
      </c>
      <c r="I2141" s="11">
        <v>3.0</v>
      </c>
    </row>
    <row r="2142">
      <c r="A2142" s="10" t="s">
        <v>8539</v>
      </c>
      <c r="B2142" s="49" t="str">
        <f t="shared" si="1"/>
        <v>Parks/museums/lakes/recreational grounds</v>
      </c>
      <c r="C2142" s="49" t="str">
        <f t="shared" si="2"/>
        <v>Parks/museums/lakes/recreational grounds; Penalty for violation of any posted or published penal rule or regulations relating to the conduct of persons in the parks and playgrounds or park or playgrounds</v>
      </c>
      <c r="D2142" s="49" t="str">
        <f t="shared" si="3"/>
        <v>19-2873</v>
      </c>
      <c r="E2142" s="11" t="s">
        <v>133</v>
      </c>
      <c r="F2142" s="11">
        <v>3.0</v>
      </c>
      <c r="G2142" s="11">
        <v>3.0</v>
      </c>
      <c r="H2142" s="11">
        <v>3.0</v>
      </c>
      <c r="I2142" s="11">
        <v>3.0</v>
      </c>
    </row>
    <row r="2143">
      <c r="A2143" s="10" t="s">
        <v>8540</v>
      </c>
      <c r="B2143" s="49" t="str">
        <f t="shared" si="1"/>
        <v>Parks/museums/lakes/recreational grounds</v>
      </c>
      <c r="C2143" s="49" t="str">
        <f t="shared" si="2"/>
        <v>Parks/museums/lakes/recreational grounds; Penalty for violation of rules and regulations pertaining to the use and enjoyment of any park, lake or other recreational area and for the protection and preservation of such properties</v>
      </c>
      <c r="D2143" s="49" t="str">
        <f t="shared" si="3"/>
        <v>19-2803a</v>
      </c>
      <c r="E2143" s="11" t="s">
        <v>133</v>
      </c>
      <c r="F2143" s="11">
        <v>3.0</v>
      </c>
      <c r="G2143" s="11">
        <v>3.0</v>
      </c>
      <c r="H2143" s="11">
        <v>3.0</v>
      </c>
      <c r="I2143" s="11">
        <v>3.0</v>
      </c>
    </row>
    <row r="2144">
      <c r="A2144" s="10" t="s">
        <v>8541</v>
      </c>
      <c r="B2144" s="49" t="str">
        <f t="shared" si="1"/>
        <v>Pawn Brokers and Precious Metal Dealers</v>
      </c>
      <c r="C2144" s="49" t="str">
        <f t="shared" si="2"/>
        <v>Pawn Brokers and Precious Metal Dealers; Penalty for violation of act</v>
      </c>
      <c r="D2144" s="49" t="str">
        <f t="shared" si="3"/>
        <v>16-721</v>
      </c>
      <c r="E2144" s="11" t="s">
        <v>133</v>
      </c>
      <c r="F2144" s="11">
        <v>3.0</v>
      </c>
      <c r="G2144" s="11">
        <v>3.0</v>
      </c>
      <c r="H2144" s="11">
        <v>3.0</v>
      </c>
      <c r="I2144" s="11">
        <v>3.0</v>
      </c>
    </row>
    <row r="2145">
      <c r="A2145" s="10" t="s">
        <v>8542</v>
      </c>
      <c r="B2145" s="49" t="str">
        <f t="shared" si="1"/>
        <v>Performance of an Unauthorized Official Act</v>
      </c>
      <c r="C2145" s="49" t="str">
        <f t="shared" si="2"/>
        <v>Performance of an Unauthorized Official Act; Knowingly and without lawful authority certifying an acknowledgment of the execution of any document which by law may be recorded</v>
      </c>
      <c r="D2145" s="49" t="str">
        <f t="shared" si="3"/>
        <v>21-5919(a)(2)</v>
      </c>
      <c r="E2145" s="11" t="s">
        <v>133</v>
      </c>
      <c r="F2145" s="11">
        <v>3.0</v>
      </c>
      <c r="G2145" s="11">
        <v>3.0</v>
      </c>
      <c r="H2145" s="11">
        <v>3.0</v>
      </c>
      <c r="I2145" s="11">
        <v>3.0</v>
      </c>
    </row>
    <row r="2146">
      <c r="A2146" s="10" t="s">
        <v>8543</v>
      </c>
      <c r="B2146" s="49" t="str">
        <f t="shared" si="1"/>
        <v>Performance of an Unauthorized Official Act</v>
      </c>
      <c r="C2146" s="49" t="str">
        <f t="shared" si="2"/>
        <v>Performance of an Unauthorized Official Act; Knowingly and without lawful authority conducting a marriage ceremony</v>
      </c>
      <c r="D2146" s="49" t="str">
        <f t="shared" si="3"/>
        <v>21-5919(a)(1)</v>
      </c>
      <c r="E2146" s="11" t="s">
        <v>133</v>
      </c>
      <c r="F2146" s="11">
        <v>3.0</v>
      </c>
      <c r="G2146" s="11">
        <v>3.0</v>
      </c>
      <c r="H2146" s="11">
        <v>3.0</v>
      </c>
      <c r="I2146" s="11">
        <v>3.0</v>
      </c>
    </row>
    <row r="2147">
      <c r="A2147" s="10" t="s">
        <v>8544</v>
      </c>
      <c r="B2147" s="49" t="str">
        <f t="shared" si="1"/>
        <v>Perjury</v>
      </c>
      <c r="C2147" s="49" t="str">
        <f t="shared" si="2"/>
        <v>Perjury; Intentionally and falsely subscribe as true and correct under penalty of perjury any material matter in any declaration, verification, certificate or statement as permitted by K.S.A. 53-601; during felony trial</v>
      </c>
      <c r="D2147" s="49" t="str">
        <f t="shared" si="3"/>
        <v>21-5903(a)(2)</v>
      </c>
      <c r="E2147" s="11" t="s">
        <v>133</v>
      </c>
      <c r="F2147" s="11">
        <v>3.0</v>
      </c>
      <c r="G2147" s="11">
        <v>3.0</v>
      </c>
      <c r="H2147" s="11">
        <v>3.0</v>
      </c>
      <c r="I2147" s="11">
        <v>3.0</v>
      </c>
    </row>
    <row r="2148">
      <c r="A2148" s="10" t="s">
        <v>8545</v>
      </c>
      <c r="B2148" s="49" t="str">
        <f t="shared" si="1"/>
        <v>Perjury</v>
      </c>
      <c r="C2148" s="49" t="str">
        <f t="shared" si="2"/>
        <v>Perjury; Intentionally and falsely subscribe as true and correct under penalty of perjury any material matter in any declaration, verification, certificate or statement as permitted by K.S.A. 53-601; In a cause, matter or proceeding other than a felony trial</v>
      </c>
      <c r="D2148" s="49" t="str">
        <f t="shared" si="3"/>
        <v>21-5903(a)(2)</v>
      </c>
      <c r="E2148" s="11" t="s">
        <v>133</v>
      </c>
      <c r="F2148" s="11">
        <v>3.0</v>
      </c>
      <c r="G2148" s="11">
        <v>3.0</v>
      </c>
      <c r="H2148" s="11">
        <v>3.0</v>
      </c>
      <c r="I2148" s="11">
        <v>3.0</v>
      </c>
    </row>
    <row r="2149">
      <c r="A2149" s="10" t="s">
        <v>8546</v>
      </c>
      <c r="B2149" s="49" t="str">
        <f t="shared" si="1"/>
        <v>Perjury</v>
      </c>
      <c r="C2149" s="49" t="str">
        <f t="shared" si="2"/>
        <v>Perjury; Intentionally and falsely swear, testify, affirm, declare or subscribe to any material fact upon oath or affirmation; during felony trial</v>
      </c>
      <c r="D2149" s="49" t="str">
        <f t="shared" si="3"/>
        <v>21-5903(a)(1)</v>
      </c>
      <c r="E2149" s="11" t="s">
        <v>133</v>
      </c>
      <c r="F2149" s="11">
        <v>3.0</v>
      </c>
      <c r="G2149" s="11">
        <v>3.0</v>
      </c>
      <c r="H2149" s="11">
        <v>3.0</v>
      </c>
      <c r="I2149" s="11">
        <v>3.0</v>
      </c>
    </row>
    <row r="2150">
      <c r="A2150" s="10" t="s">
        <v>8547</v>
      </c>
      <c r="B2150" s="49" t="str">
        <f t="shared" si="1"/>
        <v>Perjury</v>
      </c>
      <c r="C2150" s="49" t="str">
        <f t="shared" si="2"/>
        <v>Perjury; Intentionally and falsely swear, testify, affirm, declare or subscribe to any material fact upon oath or affirmation; in a cause, matter or proceeding other than a felony trial</v>
      </c>
      <c r="D2150" s="49" t="str">
        <f t="shared" si="3"/>
        <v>21-5903(a)(1)</v>
      </c>
      <c r="E2150" s="11" t="s">
        <v>133</v>
      </c>
      <c r="F2150" s="11">
        <v>3.0</v>
      </c>
      <c r="G2150" s="11">
        <v>3.0</v>
      </c>
      <c r="H2150" s="11">
        <v>3.0</v>
      </c>
      <c r="I2150" s="11">
        <v>3.0</v>
      </c>
    </row>
    <row r="2151">
      <c r="A2151" s="10" t="s">
        <v>8548</v>
      </c>
      <c r="B2151" s="49" t="str">
        <f t="shared" si="1"/>
        <v>Permitting False Claim</v>
      </c>
      <c r="C2151" s="49" t="str">
        <f t="shared" si="2"/>
        <v>Permitting False Claim; $25,000 or more</v>
      </c>
      <c r="D2151" s="49" t="str">
        <f t="shared" si="3"/>
        <v>21-6004(b)</v>
      </c>
      <c r="E2151" s="11" t="s">
        <v>133</v>
      </c>
      <c r="F2151" s="11">
        <v>3.0</v>
      </c>
      <c r="G2151" s="11">
        <v>3.0</v>
      </c>
      <c r="H2151" s="11">
        <v>3.0</v>
      </c>
      <c r="I2151" s="11">
        <v>3.0</v>
      </c>
    </row>
    <row r="2152">
      <c r="A2152" s="10" t="s">
        <v>8549</v>
      </c>
      <c r="B2152" s="49" t="str">
        <f t="shared" si="1"/>
        <v>Permitting False Claim</v>
      </c>
      <c r="C2152" s="49" t="str">
        <f t="shared" si="2"/>
        <v>Permitting False Claim; At least $1,000 but less than $25,000</v>
      </c>
      <c r="D2152" s="49" t="str">
        <f t="shared" si="3"/>
        <v>21-6004(b)</v>
      </c>
      <c r="E2152" s="11" t="s">
        <v>133</v>
      </c>
      <c r="F2152" s="11">
        <v>3.0</v>
      </c>
      <c r="G2152" s="11">
        <v>3.0</v>
      </c>
      <c r="H2152" s="11">
        <v>3.0</v>
      </c>
      <c r="I2152" s="11">
        <v>3.0</v>
      </c>
    </row>
    <row r="2153">
      <c r="A2153" s="10" t="s">
        <v>8550</v>
      </c>
      <c r="B2153" s="49" t="str">
        <f t="shared" si="1"/>
        <v>Permitting False Claim</v>
      </c>
      <c r="C2153" s="49" t="str">
        <f t="shared" si="2"/>
        <v>Permitting False Claim; Claim less than $1,000</v>
      </c>
      <c r="D2153" s="49" t="str">
        <f t="shared" si="3"/>
        <v>21-6004(b)</v>
      </c>
      <c r="E2153" s="11" t="s">
        <v>133</v>
      </c>
      <c r="F2153" s="11">
        <v>3.0</v>
      </c>
      <c r="G2153" s="11">
        <v>3.0</v>
      </c>
      <c r="H2153" s="11">
        <v>3.0</v>
      </c>
      <c r="I2153" s="11">
        <v>3.0</v>
      </c>
    </row>
    <row r="2154">
      <c r="A2154" s="10" t="s">
        <v>8551</v>
      </c>
      <c r="B2154" s="49" t="str">
        <f t="shared" si="1"/>
        <v>Personal &amp; Family Protection Act</v>
      </c>
      <c r="C2154" s="49" t="str">
        <f t="shared" si="2"/>
        <v>Personal &amp; Family Protection Act; Unauthorized disclosure of records pertaining to concealed handgun licensing</v>
      </c>
      <c r="D2154" s="49" t="str">
        <f t="shared" si="3"/>
        <v>75-7c06(b)</v>
      </c>
      <c r="E2154" s="11" t="s">
        <v>133</v>
      </c>
      <c r="F2154" s="11">
        <v>3.0</v>
      </c>
      <c r="G2154" s="11">
        <v>3.0</v>
      </c>
      <c r="H2154" s="11">
        <v>3.0</v>
      </c>
      <c r="I2154" s="11">
        <v>3.0</v>
      </c>
    </row>
    <row r="2155">
      <c r="A2155" s="10" t="s">
        <v>8552</v>
      </c>
      <c r="B2155" s="49" t="str">
        <f t="shared" si="1"/>
        <v>Personal &amp; Real Property</v>
      </c>
      <c r="C2155" s="49" t="str">
        <f t="shared" si="2"/>
        <v>Personal &amp; Real Property; Failure to have a land surveyor establish reference points as required</v>
      </c>
      <c r="D2155" s="49" t="str">
        <f t="shared" si="3"/>
        <v>58-2011(b)</v>
      </c>
      <c r="E2155" s="11" t="s">
        <v>133</v>
      </c>
      <c r="F2155" s="11">
        <v>3.0</v>
      </c>
      <c r="G2155" s="11">
        <v>3.0</v>
      </c>
      <c r="H2155" s="11">
        <v>3.0</v>
      </c>
      <c r="I2155" s="11">
        <v>3.0</v>
      </c>
    </row>
    <row r="2156">
      <c r="A2156" s="10" t="s">
        <v>8553</v>
      </c>
      <c r="B2156" s="49" t="str">
        <f t="shared" si="1"/>
        <v>Personal &amp; Real Property</v>
      </c>
      <c r="C2156" s="49" t="str">
        <f t="shared" si="2"/>
        <v>Personal &amp; Real Property; Liens on Personal Property; Sell, dispose or secret grain with intent to defraud</v>
      </c>
      <c r="D2156" s="49" t="str">
        <f t="shared" si="3"/>
        <v>58-206</v>
      </c>
      <c r="E2156" s="11" t="s">
        <v>133</v>
      </c>
      <c r="F2156" s="11">
        <v>3.0</v>
      </c>
      <c r="G2156" s="11">
        <v>3.0</v>
      </c>
      <c r="H2156" s="11">
        <v>3.0</v>
      </c>
      <c r="I2156" s="11">
        <v>3.0</v>
      </c>
    </row>
    <row r="2157">
      <c r="A2157" s="10" t="s">
        <v>8554</v>
      </c>
      <c r="B2157" s="49" t="str">
        <f t="shared" si="1"/>
        <v>Pesticide Law</v>
      </c>
      <c r="C2157" s="49" t="str">
        <f t="shared" si="2"/>
        <v>Pesticide Law; Application of pesticides within this state by any governmental agency which has not been issued a government agency registration</v>
      </c>
      <c r="D2157" s="49" t="str">
        <f t="shared" si="3"/>
        <v>2-2440(e)</v>
      </c>
      <c r="E2157" s="11" t="s">
        <v>133</v>
      </c>
      <c r="F2157" s="11">
        <v>3.0</v>
      </c>
      <c r="G2157" s="11">
        <v>3.0</v>
      </c>
      <c r="H2157" s="11">
        <v>3.0</v>
      </c>
      <c r="I2157" s="11">
        <v>3.0</v>
      </c>
    </row>
    <row r="2158">
      <c r="A2158" s="10" t="s">
        <v>8555</v>
      </c>
      <c r="B2158" s="49" t="str">
        <f t="shared" si="1"/>
        <v>Pesticide Law</v>
      </c>
      <c r="C2158" s="49" t="str">
        <f t="shared" si="2"/>
        <v>Pesticide Law; Certified Private Applicator; application of pesticides within this state by any governmental agency which has not been issued a government agency registration</v>
      </c>
      <c r="D2158" s="49" t="str">
        <f t="shared" si="3"/>
        <v>2-2440(e)</v>
      </c>
      <c r="E2158" s="11" t="s">
        <v>133</v>
      </c>
      <c r="F2158" s="11">
        <v>3.0</v>
      </c>
      <c r="G2158" s="11">
        <v>3.0</v>
      </c>
      <c r="H2158" s="11">
        <v>3.0</v>
      </c>
      <c r="I2158" s="11">
        <v>3.0</v>
      </c>
    </row>
    <row r="2159">
      <c r="A2159" s="10" t="s">
        <v>8556</v>
      </c>
      <c r="B2159" s="49" t="str">
        <f t="shared" si="1"/>
        <v>Pesticide Law</v>
      </c>
      <c r="C2159" s="49" t="str">
        <f t="shared" si="2"/>
        <v>Pesticide Law; Certified Private Applicator; discard/store any pesticide or pesticide container in an unsafe manner</v>
      </c>
      <c r="D2159" s="49" t="str">
        <f t="shared" si="3"/>
        <v>2-2453(b)</v>
      </c>
      <c r="E2159" s="11" t="s">
        <v>133</v>
      </c>
      <c r="F2159" s="11">
        <v>3.0</v>
      </c>
      <c r="G2159" s="11">
        <v>3.0</v>
      </c>
      <c r="H2159" s="11">
        <v>3.0</v>
      </c>
      <c r="I2159" s="11">
        <v>3.0</v>
      </c>
    </row>
    <row r="2160">
      <c r="A2160" s="10" t="s">
        <v>8557</v>
      </c>
      <c r="B2160" s="49" t="str">
        <f t="shared" si="1"/>
        <v>Pesticide Law</v>
      </c>
      <c r="C2160" s="49" t="str">
        <f t="shared" si="2"/>
        <v>Pesticide Law; Certified Private Applicator; penalty for failure to comply with provisions of this act, rules or regulations</v>
      </c>
      <c r="D2160" s="49" t="str">
        <f t="shared" si="3"/>
        <v>2-2453(c)</v>
      </c>
      <c r="E2160" s="11" t="s">
        <v>133</v>
      </c>
      <c r="F2160" s="11">
        <v>3.0</v>
      </c>
      <c r="G2160" s="11">
        <v>3.0</v>
      </c>
      <c r="H2160" s="11">
        <v>3.0</v>
      </c>
      <c r="I2160" s="11">
        <v>3.0</v>
      </c>
    </row>
    <row r="2161">
      <c r="A2161" s="10" t="s">
        <v>8558</v>
      </c>
      <c r="B2161" s="49" t="str">
        <f t="shared" si="1"/>
        <v>Pesticide Law</v>
      </c>
      <c r="C2161" s="49" t="str">
        <f t="shared" si="2"/>
        <v>Pesticide Law; Certified Private Applicator; pesticide business licensee applying pesticides without being certified as a commercial applicator or a registered pest control technician, or in presence of one so certified or registered</v>
      </c>
      <c r="D2161" s="49" t="str">
        <f t="shared" si="3"/>
        <v>2-2440b(a)</v>
      </c>
      <c r="E2161" s="11" t="s">
        <v>133</v>
      </c>
      <c r="F2161" s="11">
        <v>3.0</v>
      </c>
      <c r="G2161" s="11">
        <v>3.0</v>
      </c>
      <c r="H2161" s="11">
        <v>3.0</v>
      </c>
      <c r="I2161" s="11">
        <v>3.0</v>
      </c>
    </row>
    <row r="2162">
      <c r="A2162" s="10" t="s">
        <v>8559</v>
      </c>
      <c r="B2162" s="49" t="str">
        <f t="shared" si="1"/>
        <v>Pesticide Law</v>
      </c>
      <c r="C2162" s="49" t="str">
        <f t="shared" si="2"/>
        <v>Pesticide Law; Certified Private Applicator; unlicensed Advertising, offering for sale, selling or performing any service for the control of a pest on another's property or applying a pesticide to another's property</v>
      </c>
      <c r="D2162" s="49" t="str">
        <f t="shared" si="3"/>
        <v>2-2440(a)(1)</v>
      </c>
      <c r="E2162" s="11" t="s">
        <v>133</v>
      </c>
      <c r="F2162" s="11">
        <v>3.0</v>
      </c>
      <c r="G2162" s="11">
        <v>3.0</v>
      </c>
      <c r="H2162" s="11">
        <v>3.0</v>
      </c>
      <c r="I2162" s="11">
        <v>3.0</v>
      </c>
    </row>
    <row r="2163">
      <c r="A2163" s="10" t="s">
        <v>8560</v>
      </c>
      <c r="B2163" s="49" t="str">
        <f t="shared" si="1"/>
        <v>Pesticide Law</v>
      </c>
      <c r="C2163" s="49" t="str">
        <f t="shared" si="2"/>
        <v>Pesticide Law; Certified Private Applicator; Unlicensed performance of any service for the control of a pest or application of any pesticide on or at the premises of another person under any commission, division of receipts or subcontracting arrangement with a licensed pesticide business</v>
      </c>
      <c r="D2163" s="49" t="str">
        <f t="shared" si="3"/>
        <v>2-2440(a)(2)</v>
      </c>
      <c r="E2163" s="11" t="s">
        <v>133</v>
      </c>
      <c r="F2163" s="11">
        <v>3.0</v>
      </c>
      <c r="G2163" s="11">
        <v>3.0</v>
      </c>
      <c r="H2163" s="11">
        <v>3.0</v>
      </c>
      <c r="I2163" s="11">
        <v>3.0</v>
      </c>
    </row>
    <row r="2164">
      <c r="A2164" s="10" t="s">
        <v>8561</v>
      </c>
      <c r="B2164" s="49" t="str">
        <f t="shared" si="1"/>
        <v>Pesticide Law</v>
      </c>
      <c r="C2164" s="49" t="str">
        <f t="shared" si="2"/>
        <v>Pesticide Law; Certified Private Applicator; use of pesticides in a manner inconsistent with the label or labeling</v>
      </c>
      <c r="D2164" s="49" t="str">
        <f t="shared" si="3"/>
        <v>2-2453(a)</v>
      </c>
      <c r="E2164" s="11" t="s">
        <v>133</v>
      </c>
      <c r="F2164" s="11">
        <v>3.0</v>
      </c>
      <c r="G2164" s="11">
        <v>3.0</v>
      </c>
      <c r="H2164" s="11">
        <v>3.0</v>
      </c>
      <c r="I2164" s="11">
        <v>3.0</v>
      </c>
    </row>
    <row r="2165">
      <c r="A2165" s="10" t="s">
        <v>8562</v>
      </c>
      <c r="B2165" s="49" t="str">
        <f t="shared" si="1"/>
        <v>Pesticide Law</v>
      </c>
      <c r="C2165" s="49" t="str">
        <f t="shared" si="2"/>
        <v>Pesticide Law; Certified/Registered/Licensed Persons; aid, abet or conspire with any person to evade any of the provisions of this act; allow a license, registration, permit or certificate to be used by an unlicensed or uncertified person</v>
      </c>
      <c r="D2165" s="49" t="str">
        <f t="shared" si="3"/>
        <v>2-2454(i)</v>
      </c>
      <c r="E2165" s="11" t="s">
        <v>133</v>
      </c>
      <c r="F2165" s="11">
        <v>3.0</v>
      </c>
      <c r="G2165" s="11">
        <v>3.0</v>
      </c>
      <c r="H2165" s="11">
        <v>3.0</v>
      </c>
      <c r="I2165" s="11">
        <v>3.0</v>
      </c>
    </row>
    <row r="2166">
      <c r="A2166" s="10" t="s">
        <v>8563</v>
      </c>
      <c r="B2166" s="49" t="str">
        <f t="shared" si="1"/>
        <v>Pesticide Law</v>
      </c>
      <c r="C2166" s="49" t="str">
        <f t="shared" si="2"/>
        <v>Pesticide Law; Certified/Registered/Licensed Persons; Certified Private Applicator; aid, abet or conspire with any person to evade any of the provisions of this act; allow a license, registration, permit or certificate to be used by an unlicensed or uncertified person</v>
      </c>
      <c r="D2166" s="49" t="str">
        <f t="shared" si="3"/>
        <v>2-2454(i)</v>
      </c>
      <c r="E2166" s="11" t="s">
        <v>133</v>
      </c>
      <c r="F2166" s="11">
        <v>3.0</v>
      </c>
      <c r="G2166" s="11">
        <v>3.0</v>
      </c>
      <c r="H2166" s="11">
        <v>3.0</v>
      </c>
      <c r="I2166" s="11">
        <v>3.0</v>
      </c>
    </row>
    <row r="2167">
      <c r="A2167" s="10" t="s">
        <v>8564</v>
      </c>
      <c r="B2167" s="49" t="str">
        <f t="shared" si="1"/>
        <v>Pesticide Law</v>
      </c>
      <c r="C2167" s="49" t="str">
        <f t="shared" si="2"/>
        <v>Pesticide Law; Certified/Registered/Licensed Persons; Certified Private Applicator; distribute, sell or offer for sale any pesticide product with altered, defaced or detached labeling</v>
      </c>
      <c r="D2167" s="49" t="str">
        <f t="shared" si="3"/>
        <v>2-2454(t)</v>
      </c>
      <c r="E2167" s="11" t="s">
        <v>133</v>
      </c>
      <c r="F2167" s="11">
        <v>3.0</v>
      </c>
      <c r="G2167" s="11">
        <v>3.0</v>
      </c>
      <c r="H2167" s="11">
        <v>3.0</v>
      </c>
      <c r="I2167" s="11">
        <v>3.0</v>
      </c>
    </row>
    <row r="2168">
      <c r="A2168" s="10" t="s">
        <v>8565</v>
      </c>
      <c r="B2168" s="49" t="str">
        <f t="shared" si="1"/>
        <v>Pesticide Law</v>
      </c>
      <c r="C2168" s="49" t="str">
        <f t="shared" si="2"/>
        <v>Pesticide Law; Certified/Registered/Licensed Persons; Certified Private Applicator; distribute, sell or offer for sale any pesticide product with pesticide or pesticide residue on the container or packaging</v>
      </c>
      <c r="D2168" s="49" t="str">
        <f t="shared" si="3"/>
        <v>2-2454(u)</v>
      </c>
      <c r="E2168" s="11" t="s">
        <v>133</v>
      </c>
      <c r="F2168" s="11">
        <v>3.0</v>
      </c>
      <c r="G2168" s="11">
        <v>3.0</v>
      </c>
      <c r="H2168" s="11">
        <v>3.0</v>
      </c>
      <c r="I2168" s="11">
        <v>3.0</v>
      </c>
    </row>
    <row r="2169">
      <c r="A2169" s="10" t="s">
        <v>8566</v>
      </c>
      <c r="B2169" s="49" t="str">
        <f t="shared" si="1"/>
        <v>Pesticide Law</v>
      </c>
      <c r="C2169" s="49" t="str">
        <f t="shared" si="2"/>
        <v>Pesticide Law; Certified/Registered/Licensed Persons; Certified Private Applicator; distribute, sell or offer for sale any pesticide unless it is in the pesticide registrant's or the pesticide manufacturer's unbroken immediate container and there is affixed to such container the registrant's label which is complete and legible and which can be read through any package wrappers</v>
      </c>
      <c r="D2169" s="49" t="str">
        <f t="shared" si="3"/>
        <v>2-2454(s)</v>
      </c>
      <c r="E2169" s="11" t="s">
        <v>133</v>
      </c>
      <c r="F2169" s="11">
        <v>3.0</v>
      </c>
      <c r="G2169" s="11">
        <v>3.0</v>
      </c>
      <c r="H2169" s="11">
        <v>3.0</v>
      </c>
      <c r="I2169" s="11">
        <v>3.0</v>
      </c>
    </row>
    <row r="2170">
      <c r="A2170" s="10" t="s">
        <v>8567</v>
      </c>
      <c r="B2170" s="49" t="str">
        <f t="shared" si="1"/>
        <v>Pesticide Law</v>
      </c>
      <c r="C2170" s="49" t="str">
        <f t="shared" si="2"/>
        <v>Pesticide Law; Certified/Registered/Licensed Persons; Certified Private Applicator; distribute, sell, make available for use, or use any restricted use pesticide other than by certified applicator or under supervision of certified applicator</v>
      </c>
      <c r="D2170" s="49" t="str">
        <f t="shared" si="3"/>
        <v>2-2454(r)</v>
      </c>
      <c r="E2170" s="11" t="s">
        <v>133</v>
      </c>
      <c r="F2170" s="11">
        <v>3.0</v>
      </c>
      <c r="G2170" s="11">
        <v>3.0</v>
      </c>
      <c r="H2170" s="11">
        <v>3.0</v>
      </c>
      <c r="I2170" s="11">
        <v>3.0</v>
      </c>
    </row>
    <row r="2171">
      <c r="A2171" s="10" t="s">
        <v>8568</v>
      </c>
      <c r="B2171" s="49" t="str">
        <f t="shared" si="1"/>
        <v>Pesticide Law</v>
      </c>
      <c r="C2171" s="49" t="str">
        <f t="shared" si="2"/>
        <v>Pesticide Law; Certified/Registered/Licensed Persons; Certified Private Applicator; engage in or advertise to provide pest control services without proper licenses, certification or registration</v>
      </c>
      <c r="D2171" s="49" t="str">
        <f t="shared" si="3"/>
        <v>2-2454(n)</v>
      </c>
      <c r="E2171" s="11" t="s">
        <v>133</v>
      </c>
      <c r="F2171" s="11">
        <v>3.0</v>
      </c>
      <c r="G2171" s="11">
        <v>3.0</v>
      </c>
      <c r="H2171" s="11">
        <v>3.0</v>
      </c>
      <c r="I2171" s="11">
        <v>3.0</v>
      </c>
    </row>
    <row r="2172">
      <c r="A2172" s="10" t="s">
        <v>8569</v>
      </c>
      <c r="B2172" s="49" t="str">
        <f t="shared" si="1"/>
        <v>Pesticide Law</v>
      </c>
      <c r="C2172" s="49" t="str">
        <f t="shared" si="2"/>
        <v>Pesticide Law; Certified/Registered/Licensed Persons; Certified Private Applicator; failure to maintain/provide a copy of pesticide product labels/material safety data sheets when requested</v>
      </c>
      <c r="D2172" s="49" t="str">
        <f t="shared" si="3"/>
        <v>2-2454(p)</v>
      </c>
      <c r="E2172" s="11" t="s">
        <v>133</v>
      </c>
      <c r="F2172" s="11">
        <v>3.0</v>
      </c>
      <c r="G2172" s="11">
        <v>3.0</v>
      </c>
      <c r="H2172" s="11">
        <v>3.0</v>
      </c>
      <c r="I2172" s="11">
        <v>3.0</v>
      </c>
    </row>
    <row r="2173">
      <c r="A2173" s="10" t="s">
        <v>8570</v>
      </c>
      <c r="B2173" s="49" t="str">
        <f t="shared" si="1"/>
        <v>Pesticide Law</v>
      </c>
      <c r="C2173" s="49" t="str">
        <f t="shared" si="2"/>
        <v>Pesticide Law; Certified/Registered/Licensed Persons; Certified Private Applicator; false or fraudulent claims through any media, misrepresenting the effect of material or methods to be utilized</v>
      </c>
      <c r="D2173" s="49" t="str">
        <f t="shared" si="3"/>
        <v>2-2454(a)</v>
      </c>
      <c r="E2173" s="11" t="s">
        <v>133</v>
      </c>
      <c r="F2173" s="11">
        <v>3.0</v>
      </c>
      <c r="G2173" s="11">
        <v>3.0</v>
      </c>
      <c r="H2173" s="11">
        <v>3.0</v>
      </c>
      <c r="I2173" s="11">
        <v>3.0</v>
      </c>
    </row>
    <row r="2174">
      <c r="A2174" s="10" t="s">
        <v>8571</v>
      </c>
      <c r="B2174" s="49" t="str">
        <f t="shared" si="1"/>
        <v>Pesticide Law</v>
      </c>
      <c r="C2174" s="49" t="str">
        <f t="shared" si="2"/>
        <v>Pesticide Law; Certified/Registered/Licensed Persons; Certified Private Applicator; impersonate any state, county or city inspector or official, as acting in their official capacity</v>
      </c>
      <c r="D2174" s="49" t="str">
        <f t="shared" si="3"/>
        <v>2-2454(j)</v>
      </c>
      <c r="E2174" s="11" t="s">
        <v>133</v>
      </c>
      <c r="F2174" s="11">
        <v>3.0</v>
      </c>
      <c r="G2174" s="11">
        <v>3.0</v>
      </c>
      <c r="H2174" s="11">
        <v>3.0</v>
      </c>
      <c r="I2174" s="11">
        <v>3.0</v>
      </c>
    </row>
    <row r="2175">
      <c r="A2175" s="10" t="s">
        <v>8572</v>
      </c>
      <c r="B2175" s="49" t="str">
        <f t="shared" si="1"/>
        <v>Pesticide Law</v>
      </c>
      <c r="C2175" s="49" t="str">
        <f t="shared" si="2"/>
        <v>Pesticide Law; Certified/Registered/Licensed Persons; Certified Private Applicator; knowingly operate faulty, unsafe or, if registration is required, unregistered equipment, or operate any equipment in a negligent manner</v>
      </c>
      <c r="D2175" s="49" t="str">
        <f t="shared" si="3"/>
        <v>2-2454(d)</v>
      </c>
      <c r="E2175" s="11" t="s">
        <v>133</v>
      </c>
      <c r="F2175" s="11">
        <v>3.0</v>
      </c>
      <c r="G2175" s="11">
        <v>3.0</v>
      </c>
      <c r="H2175" s="11">
        <v>3.0</v>
      </c>
      <c r="I2175" s="11">
        <v>3.0</v>
      </c>
    </row>
    <row r="2176">
      <c r="A2176" s="10" t="s">
        <v>8573</v>
      </c>
      <c r="B2176" s="49" t="str">
        <f t="shared" si="1"/>
        <v>Pesticide Law</v>
      </c>
      <c r="C2176" s="49" t="str">
        <f t="shared" si="2"/>
        <v>Pesticide Law; Certified/Registered/Licensed Persons; Certified Private Applicator; knowingly use ineffective or improper methods or materials</v>
      </c>
      <c r="D2176" s="49" t="str">
        <f t="shared" si="3"/>
        <v>2-2454(c)</v>
      </c>
      <c r="E2176" s="11" t="s">
        <v>133</v>
      </c>
      <c r="F2176" s="11">
        <v>3.0</v>
      </c>
      <c r="G2176" s="11">
        <v>3.0</v>
      </c>
      <c r="H2176" s="11">
        <v>3.0</v>
      </c>
      <c r="I2176" s="11">
        <v>3.0</v>
      </c>
    </row>
    <row r="2177">
      <c r="A2177" s="10" t="s">
        <v>8574</v>
      </c>
      <c r="B2177" s="49" t="str">
        <f t="shared" si="1"/>
        <v>Pesticide Law</v>
      </c>
      <c r="C2177" s="49" t="str">
        <f t="shared" si="2"/>
        <v>Pesticide Law; Certified/Registered/Licensed Persons; Certified Private Applicator; make a pesticide recommendation or use not in accordance with the directions for use on the label</v>
      </c>
      <c r="D2177" s="49" t="str">
        <f t="shared" si="3"/>
        <v>2-2454(b)</v>
      </c>
      <c r="E2177" s="11" t="s">
        <v>133</v>
      </c>
      <c r="F2177" s="11">
        <v>3.0</v>
      </c>
      <c r="G2177" s="11">
        <v>3.0</v>
      </c>
      <c r="H2177" s="11">
        <v>3.0</v>
      </c>
      <c r="I2177" s="11">
        <v>3.0</v>
      </c>
    </row>
    <row r="2178">
      <c r="A2178" s="10" t="s">
        <v>8575</v>
      </c>
      <c r="B2178" s="49" t="str">
        <f t="shared" si="1"/>
        <v>Pesticide Law</v>
      </c>
      <c r="C2178" s="49" t="str">
        <f t="shared" si="2"/>
        <v>Pesticide Law; Certified/Registered/Licensed Persons; Certified Private Applicator; make any misrepresentation or defraud any member of the public</v>
      </c>
      <c r="D2178" s="49" t="str">
        <f t="shared" si="3"/>
        <v>2-2454(k)</v>
      </c>
      <c r="E2178" s="11" t="s">
        <v>133</v>
      </c>
      <c r="F2178" s="11">
        <v>3.0</v>
      </c>
      <c r="G2178" s="11">
        <v>3.0</v>
      </c>
      <c r="H2178" s="11">
        <v>3.0</v>
      </c>
      <c r="I2178" s="11">
        <v>3.0</v>
      </c>
    </row>
    <row r="2179">
      <c r="A2179" s="10" t="s">
        <v>8576</v>
      </c>
      <c r="B2179" s="49" t="str">
        <f t="shared" si="1"/>
        <v>Pesticide Law</v>
      </c>
      <c r="C2179" s="49" t="str">
        <f t="shared" si="2"/>
        <v>Pesticide Law; Certified/Registered/Licensed Persons; Certified Private Applicator; make false or fraudulent records, invoices or reports</v>
      </c>
      <c r="D2179" s="49" t="str">
        <f t="shared" si="3"/>
        <v>2-2454(f)</v>
      </c>
      <c r="E2179" s="11" t="s">
        <v>133</v>
      </c>
      <c r="F2179" s="11">
        <v>3.0</v>
      </c>
      <c r="G2179" s="11">
        <v>3.0</v>
      </c>
      <c r="H2179" s="11">
        <v>3.0</v>
      </c>
      <c r="I2179" s="11">
        <v>3.0</v>
      </c>
    </row>
    <row r="2180">
      <c r="A2180" s="10" t="s">
        <v>8577</v>
      </c>
      <c r="B2180" s="49" t="str">
        <f t="shared" si="1"/>
        <v>Pesticide Law</v>
      </c>
      <c r="C2180" s="49" t="str">
        <f t="shared" si="2"/>
        <v>Pesticide Law; Certified/Registered/Licensed Persons; Certified Private Applicator; permitting unlawful use of a pesticide business license or contract forms by an unlicensed person</v>
      </c>
      <c r="D2180" s="49" t="str">
        <f t="shared" si="3"/>
        <v>2-2454(l)</v>
      </c>
      <c r="E2180" s="11" t="s">
        <v>133</v>
      </c>
      <c r="F2180" s="11">
        <v>3.0</v>
      </c>
      <c r="G2180" s="11">
        <v>3.0</v>
      </c>
      <c r="H2180" s="11">
        <v>3.0</v>
      </c>
      <c r="I2180" s="11">
        <v>3.0</v>
      </c>
    </row>
    <row r="2181">
      <c r="A2181" s="10" t="s">
        <v>8578</v>
      </c>
      <c r="B2181" s="49" t="str">
        <f t="shared" si="1"/>
        <v>Pesticide Law</v>
      </c>
      <c r="C2181" s="49" t="str">
        <f t="shared" si="2"/>
        <v>Pesticide Law; Certified/Registered/Licensed Persons; Certified Private Applicator; refuse or neglect to comply with limitations/ restrictions on or in a duly issued license, registration, permit or certificate</v>
      </c>
      <c r="D2181" s="49" t="str">
        <f t="shared" si="3"/>
        <v>2-2454(h)</v>
      </c>
      <c r="E2181" s="11" t="s">
        <v>133</v>
      </c>
      <c r="F2181" s="11">
        <v>3.0</v>
      </c>
      <c r="G2181" s="11">
        <v>3.0</v>
      </c>
      <c r="H2181" s="11">
        <v>3.0</v>
      </c>
      <c r="I2181" s="11">
        <v>3.0</v>
      </c>
    </row>
    <row r="2182">
      <c r="A2182" s="10" t="s">
        <v>8579</v>
      </c>
      <c r="B2182" s="49" t="str">
        <f t="shared" si="1"/>
        <v>Pesticide Law</v>
      </c>
      <c r="C2182" s="49" t="str">
        <f t="shared" si="2"/>
        <v>Pesticide Law; Certified/Registered/Licensed Persons; Certified Private Applicator; refuse or neglect to keep and maintain records as required; refuse or neglect to make records available as required</v>
      </c>
      <c r="D2182" s="49" t="str">
        <f t="shared" si="3"/>
        <v>2-2454(e)</v>
      </c>
      <c r="E2182" s="11" t="s">
        <v>133</v>
      </c>
      <c r="F2182" s="11">
        <v>3.0</v>
      </c>
      <c r="G2182" s="11">
        <v>3.0</v>
      </c>
      <c r="H2182" s="11">
        <v>3.0</v>
      </c>
      <c r="I2182" s="11">
        <v>3.0</v>
      </c>
    </row>
    <row r="2183">
      <c r="A2183" s="10" t="s">
        <v>8580</v>
      </c>
      <c r="B2183" s="49" t="str">
        <f t="shared" si="1"/>
        <v>Pesticide Law</v>
      </c>
      <c r="C2183" s="49" t="str">
        <f t="shared" si="2"/>
        <v>Pesticide Law; Certified/Registered/Licensed Persons; Certified Private Applicator; use any method or material without regard to public health, safety or welfare</v>
      </c>
      <c r="D2183" s="49" t="str">
        <f t="shared" si="3"/>
        <v>2-2454(m)</v>
      </c>
      <c r="E2183" s="11" t="s">
        <v>133</v>
      </c>
      <c r="F2183" s="11">
        <v>3.0</v>
      </c>
      <c r="G2183" s="11">
        <v>3.0</v>
      </c>
      <c r="H2183" s="11">
        <v>3.0</v>
      </c>
      <c r="I2183" s="11">
        <v>3.0</v>
      </c>
    </row>
    <row r="2184">
      <c r="A2184" s="10" t="s">
        <v>8581</v>
      </c>
      <c r="B2184" s="49" t="str">
        <f t="shared" si="1"/>
        <v>Pesticide Law</v>
      </c>
      <c r="C2184" s="49" t="str">
        <f t="shared" si="2"/>
        <v>Pesticide Law; Certified/Registered/Licensed Persons; Certified Private Applicator; use any pesticide in a manner inconsistent with limitations imposed by the secretary pursuant to K.S.A. 2-2471</v>
      </c>
      <c r="D2184" s="49" t="str">
        <f t="shared" si="3"/>
        <v>2-2454(q)</v>
      </c>
      <c r="E2184" s="11" t="s">
        <v>133</v>
      </c>
      <c r="F2184" s="11">
        <v>3.0</v>
      </c>
      <c r="G2184" s="11">
        <v>3.0</v>
      </c>
      <c r="H2184" s="11">
        <v>3.0</v>
      </c>
      <c r="I2184" s="11">
        <v>3.0</v>
      </c>
    </row>
    <row r="2185">
      <c r="A2185" s="10" t="s">
        <v>8582</v>
      </c>
      <c r="B2185" s="49" t="str">
        <f t="shared" si="1"/>
        <v>Pesticide Law</v>
      </c>
      <c r="C2185" s="49" t="str">
        <f t="shared" si="2"/>
        <v>Pesticide Law; Certified/Registered/Licensed Persons; Certified Private Applicator; use fraud or misrepresentation in making an application for or renewal of a license, registration, permit or certificate</v>
      </c>
      <c r="D2185" s="49" t="str">
        <f t="shared" si="3"/>
        <v>2-2454(g)</v>
      </c>
      <c r="E2185" s="11" t="s">
        <v>133</v>
      </c>
      <c r="F2185" s="11">
        <v>3.0</v>
      </c>
      <c r="G2185" s="11">
        <v>3.0</v>
      </c>
      <c r="H2185" s="11">
        <v>3.0</v>
      </c>
      <c r="I2185" s="11">
        <v>3.0</v>
      </c>
    </row>
    <row r="2186">
      <c r="A2186" s="10" t="s">
        <v>8583</v>
      </c>
      <c r="B2186" s="49" t="str">
        <f t="shared" si="1"/>
        <v>Pesticide Law</v>
      </c>
      <c r="C2186" s="49" t="str">
        <f t="shared" si="2"/>
        <v>Pesticide Law; Certified/Registered/Licensed Persons; Certified Private Applicator; use, store, dispose of any pesticide material, pesticide rinsate or container without regard to public health or environmental damage</v>
      </c>
      <c r="D2186" s="49" t="str">
        <f t="shared" si="3"/>
        <v>2-2454(o)</v>
      </c>
      <c r="E2186" s="11" t="s">
        <v>133</v>
      </c>
      <c r="F2186" s="11">
        <v>3.0</v>
      </c>
      <c r="G2186" s="11">
        <v>3.0</v>
      </c>
      <c r="H2186" s="11">
        <v>3.0</v>
      </c>
      <c r="I2186" s="11">
        <v>3.0</v>
      </c>
    </row>
    <row r="2187">
      <c r="A2187" s="10" t="s">
        <v>8584</v>
      </c>
      <c r="B2187" s="49" t="str">
        <f t="shared" si="1"/>
        <v>Pesticide Law</v>
      </c>
      <c r="C2187" s="49" t="str">
        <f t="shared" si="2"/>
        <v>Pesticide Law; Certified/Registered/Licensed Persons; distribute, sell or offer for sale any pesticide product with altered, defaced or detached labeling</v>
      </c>
      <c r="D2187" s="49" t="str">
        <f t="shared" si="3"/>
        <v>2-2454(t)</v>
      </c>
      <c r="E2187" s="11" t="s">
        <v>133</v>
      </c>
      <c r="F2187" s="11">
        <v>3.0</v>
      </c>
      <c r="G2187" s="11">
        <v>3.0</v>
      </c>
      <c r="H2187" s="11">
        <v>3.0</v>
      </c>
      <c r="I2187" s="11">
        <v>3.0</v>
      </c>
    </row>
    <row r="2188">
      <c r="A2188" s="10" t="s">
        <v>8585</v>
      </c>
      <c r="B2188" s="49" t="str">
        <f t="shared" si="1"/>
        <v>Pesticide Law</v>
      </c>
      <c r="C2188" s="49" t="str">
        <f t="shared" si="2"/>
        <v>Pesticide Law; Certified/Registered/Licensed Persons; distribute, sell or offer for sale any pesticide product with pesticide or pesticide residue on the container or packaging</v>
      </c>
      <c r="D2188" s="49" t="str">
        <f t="shared" si="3"/>
        <v>2-2454(u)</v>
      </c>
      <c r="E2188" s="11" t="s">
        <v>133</v>
      </c>
      <c r="F2188" s="11">
        <v>3.0</v>
      </c>
      <c r="G2188" s="11">
        <v>3.0</v>
      </c>
      <c r="H2188" s="11">
        <v>3.0</v>
      </c>
      <c r="I2188" s="11">
        <v>3.0</v>
      </c>
    </row>
    <row r="2189">
      <c r="A2189" s="10" t="s">
        <v>8586</v>
      </c>
      <c r="B2189" s="49" t="str">
        <f t="shared" si="1"/>
        <v>Pesticide Law</v>
      </c>
      <c r="C2189" s="49" t="str">
        <f t="shared" si="2"/>
        <v>Pesticide Law; Certified/Registered/Licensed Persons; distribute, sell or offer for sale any pesticide unless it is in the pesticide registrant's or the pesticide manufacturer's unbroken immediate container and there is affixed to such container the registrant's label which is complete and legible and which can be read through any package wrappers</v>
      </c>
      <c r="D2189" s="49" t="str">
        <f t="shared" si="3"/>
        <v>2-2454(s)</v>
      </c>
      <c r="E2189" s="11" t="s">
        <v>133</v>
      </c>
      <c r="F2189" s="11">
        <v>3.0</v>
      </c>
      <c r="G2189" s="11">
        <v>3.0</v>
      </c>
      <c r="H2189" s="11">
        <v>3.0</v>
      </c>
      <c r="I2189" s="11">
        <v>3.0</v>
      </c>
    </row>
    <row r="2190">
      <c r="A2190" s="10" t="s">
        <v>8587</v>
      </c>
      <c r="B2190" s="49" t="str">
        <f t="shared" si="1"/>
        <v>Pesticide Law</v>
      </c>
      <c r="C2190" s="49" t="str">
        <f t="shared" si="2"/>
        <v>Pesticide Law; Certified/Registered/Licensed Persons; distribute, sell, make available for use, or use any restricted use pesticide other than by certified applicator or under supervision of certified applicator</v>
      </c>
      <c r="D2190" s="49" t="str">
        <f t="shared" si="3"/>
        <v>2-2454(r)</v>
      </c>
      <c r="E2190" s="11" t="s">
        <v>133</v>
      </c>
      <c r="F2190" s="11">
        <v>3.0</v>
      </c>
      <c r="G2190" s="11">
        <v>3.0</v>
      </c>
      <c r="H2190" s="11">
        <v>3.0</v>
      </c>
      <c r="I2190" s="11">
        <v>3.0</v>
      </c>
    </row>
    <row r="2191">
      <c r="A2191" s="10" t="s">
        <v>8588</v>
      </c>
      <c r="B2191" s="49" t="str">
        <f t="shared" si="1"/>
        <v>Pesticide Law</v>
      </c>
      <c r="C2191" s="49" t="str">
        <f t="shared" si="2"/>
        <v>Pesticide Law; Certified/Registered/Licensed Persons; engage in or advertise to provide pest control services without proper licenses, certification or registration</v>
      </c>
      <c r="D2191" s="49" t="str">
        <f t="shared" si="3"/>
        <v>2-2454(n)</v>
      </c>
      <c r="E2191" s="11" t="s">
        <v>133</v>
      </c>
      <c r="F2191" s="11">
        <v>3.0</v>
      </c>
      <c r="G2191" s="11">
        <v>3.0</v>
      </c>
      <c r="H2191" s="11">
        <v>3.0</v>
      </c>
      <c r="I2191" s="11">
        <v>3.0</v>
      </c>
    </row>
    <row r="2192">
      <c r="A2192" s="10" t="s">
        <v>8589</v>
      </c>
      <c r="B2192" s="49" t="str">
        <f t="shared" si="1"/>
        <v>Pesticide Law</v>
      </c>
      <c r="C2192" s="49" t="str">
        <f t="shared" si="2"/>
        <v>Pesticide Law; Certified/Registered/Licensed Persons; failure to maintain/provide a copy of pesticide product labels/material safety data sheets when requested</v>
      </c>
      <c r="D2192" s="49" t="str">
        <f t="shared" si="3"/>
        <v>2-2454(p)</v>
      </c>
      <c r="E2192" s="11" t="s">
        <v>133</v>
      </c>
      <c r="F2192" s="11">
        <v>3.0</v>
      </c>
      <c r="G2192" s="11">
        <v>3.0</v>
      </c>
      <c r="H2192" s="11">
        <v>3.0</v>
      </c>
      <c r="I2192" s="11">
        <v>3.0</v>
      </c>
    </row>
    <row r="2193">
      <c r="A2193" s="10" t="s">
        <v>8590</v>
      </c>
      <c r="B2193" s="49" t="str">
        <f t="shared" si="1"/>
        <v>Pesticide Law</v>
      </c>
      <c r="C2193" s="49" t="str">
        <f t="shared" si="2"/>
        <v>Pesticide Law; Certified/Registered/Licensed Persons; false or fraudulent claims through any media, misrepresenting the effect of material or methods to be utilized</v>
      </c>
      <c r="D2193" s="49" t="str">
        <f t="shared" si="3"/>
        <v>2-2454(a)</v>
      </c>
      <c r="E2193" s="11" t="s">
        <v>133</v>
      </c>
      <c r="F2193" s="11">
        <v>3.0</v>
      </c>
      <c r="G2193" s="11">
        <v>3.0</v>
      </c>
      <c r="H2193" s="11">
        <v>3.0</v>
      </c>
      <c r="I2193" s="11">
        <v>3.0</v>
      </c>
    </row>
    <row r="2194">
      <c r="A2194" s="10" t="s">
        <v>8591</v>
      </c>
      <c r="B2194" s="49" t="str">
        <f t="shared" si="1"/>
        <v>Pesticide Law</v>
      </c>
      <c r="C2194" s="49" t="str">
        <f t="shared" si="2"/>
        <v>Pesticide Law; Certified/Registered/Licensed Persons; impersonate any state, county or city inspector or official, as acting in their official capacity</v>
      </c>
      <c r="D2194" s="49" t="str">
        <f t="shared" si="3"/>
        <v>2-2454(j)</v>
      </c>
      <c r="E2194" s="11" t="s">
        <v>133</v>
      </c>
      <c r="F2194" s="11">
        <v>3.0</v>
      </c>
      <c r="G2194" s="11">
        <v>3.0</v>
      </c>
      <c r="H2194" s="11">
        <v>3.0</v>
      </c>
      <c r="I2194" s="11">
        <v>3.0</v>
      </c>
    </row>
    <row r="2195">
      <c r="A2195" s="10" t="s">
        <v>8592</v>
      </c>
      <c r="B2195" s="49" t="str">
        <f t="shared" si="1"/>
        <v>Pesticide Law</v>
      </c>
      <c r="C2195" s="49" t="str">
        <f t="shared" si="2"/>
        <v>Pesticide Law; Certified/Registered/Licensed Persons; knowingly operate faulty, unsafe or, if registration is required, unregistered equipment, or operate any equipment in a negligent manner</v>
      </c>
      <c r="D2195" s="49" t="str">
        <f t="shared" si="3"/>
        <v>2-2454(d)</v>
      </c>
      <c r="E2195" s="11" t="s">
        <v>133</v>
      </c>
      <c r="F2195" s="11">
        <v>3.0</v>
      </c>
      <c r="G2195" s="11">
        <v>3.0</v>
      </c>
      <c r="H2195" s="11">
        <v>3.0</v>
      </c>
      <c r="I2195" s="11">
        <v>3.0</v>
      </c>
    </row>
    <row r="2196">
      <c r="A2196" s="10" t="s">
        <v>8593</v>
      </c>
      <c r="B2196" s="49" t="str">
        <f t="shared" si="1"/>
        <v>Pesticide Law</v>
      </c>
      <c r="C2196" s="49" t="str">
        <f t="shared" si="2"/>
        <v>Pesticide Law; Certified/Registered/Licensed Persons; knowingly use ineffective or improper methods or materials</v>
      </c>
      <c r="D2196" s="49" t="str">
        <f t="shared" si="3"/>
        <v>2-2454(c)</v>
      </c>
      <c r="E2196" s="11" t="s">
        <v>133</v>
      </c>
      <c r="F2196" s="11">
        <v>3.0</v>
      </c>
      <c r="G2196" s="11">
        <v>3.0</v>
      </c>
      <c r="H2196" s="11">
        <v>3.0</v>
      </c>
      <c r="I2196" s="11">
        <v>3.0</v>
      </c>
    </row>
    <row r="2197">
      <c r="A2197" s="10" t="s">
        <v>8594</v>
      </c>
      <c r="B2197" s="49" t="str">
        <f t="shared" si="1"/>
        <v>Pesticide Law</v>
      </c>
      <c r="C2197" s="49" t="str">
        <f t="shared" si="2"/>
        <v>Pesticide Law; Certified/Registered/Licensed Persons; make a pesticide recommendation or use not in accordance with directions for use on the label</v>
      </c>
      <c r="D2197" s="49" t="str">
        <f t="shared" si="3"/>
        <v>2-2454(b)</v>
      </c>
      <c r="E2197" s="11" t="s">
        <v>133</v>
      </c>
      <c r="F2197" s="11">
        <v>3.0</v>
      </c>
      <c r="G2197" s="11">
        <v>3.0</v>
      </c>
      <c r="H2197" s="11">
        <v>3.0</v>
      </c>
      <c r="I2197" s="11">
        <v>3.0</v>
      </c>
    </row>
    <row r="2198">
      <c r="A2198" s="10" t="s">
        <v>8595</v>
      </c>
      <c r="B2198" s="49" t="str">
        <f t="shared" si="1"/>
        <v>Pesticide Law</v>
      </c>
      <c r="C2198" s="49" t="str">
        <f t="shared" si="2"/>
        <v>Pesticide Law; Certified/Registered/Licensed Persons; make any misrepresentation or defraud any member of the public</v>
      </c>
      <c r="D2198" s="49" t="str">
        <f t="shared" si="3"/>
        <v>2-2454(k)</v>
      </c>
      <c r="E2198" s="11" t="s">
        <v>133</v>
      </c>
      <c r="F2198" s="11">
        <v>3.0</v>
      </c>
      <c r="G2198" s="11">
        <v>3.0</v>
      </c>
      <c r="H2198" s="11">
        <v>3.0</v>
      </c>
      <c r="I2198" s="11">
        <v>3.0</v>
      </c>
    </row>
    <row r="2199">
      <c r="A2199" s="10" t="s">
        <v>8596</v>
      </c>
      <c r="B2199" s="49" t="str">
        <f t="shared" si="1"/>
        <v>Pesticide Law</v>
      </c>
      <c r="C2199" s="49" t="str">
        <f t="shared" si="2"/>
        <v>Pesticide Law; Certified/Registered/Licensed Persons; make false or fraudulent records, invoices or reports</v>
      </c>
      <c r="D2199" s="49" t="str">
        <f t="shared" si="3"/>
        <v>2-2454(f)</v>
      </c>
      <c r="E2199" s="11" t="s">
        <v>133</v>
      </c>
      <c r="F2199" s="11">
        <v>3.0</v>
      </c>
      <c r="G2199" s="11">
        <v>3.0</v>
      </c>
      <c r="H2199" s="11">
        <v>3.0</v>
      </c>
      <c r="I2199" s="11">
        <v>3.0</v>
      </c>
    </row>
    <row r="2200">
      <c r="A2200" s="10" t="s">
        <v>8597</v>
      </c>
      <c r="B2200" s="49" t="str">
        <f t="shared" si="1"/>
        <v>Pesticide Law</v>
      </c>
      <c r="C2200" s="49" t="str">
        <f t="shared" si="2"/>
        <v>Pesticide Law; Certified/Registered/Licensed Persons; permitting unlawful use of a pesticide business license or contract forms by an unlicensed person</v>
      </c>
      <c r="D2200" s="49" t="str">
        <f t="shared" si="3"/>
        <v>2-2454(l)</v>
      </c>
      <c r="E2200" s="11" t="s">
        <v>133</v>
      </c>
      <c r="F2200" s="11">
        <v>3.0</v>
      </c>
      <c r="G2200" s="11">
        <v>3.0</v>
      </c>
      <c r="H2200" s="11">
        <v>3.0</v>
      </c>
      <c r="I2200" s="11">
        <v>3.0</v>
      </c>
    </row>
    <row r="2201">
      <c r="A2201" s="10" t="s">
        <v>8598</v>
      </c>
      <c r="B2201" s="49" t="str">
        <f t="shared" si="1"/>
        <v>Pesticide Law</v>
      </c>
      <c r="C2201" s="49" t="str">
        <f t="shared" si="2"/>
        <v>Pesticide Law; Certified/Registered/Licensed Persons; refuse or neglect to comply with any limitations or restrictions on or in a duly issued license, registration, permit or certificate</v>
      </c>
      <c r="D2201" s="49" t="str">
        <f t="shared" si="3"/>
        <v>2-2454(h)</v>
      </c>
      <c r="E2201" s="11" t="s">
        <v>133</v>
      </c>
      <c r="F2201" s="11">
        <v>3.0</v>
      </c>
      <c r="G2201" s="11">
        <v>3.0</v>
      </c>
      <c r="H2201" s="11">
        <v>3.0</v>
      </c>
      <c r="I2201" s="11">
        <v>3.0</v>
      </c>
    </row>
    <row r="2202">
      <c r="A2202" s="10" t="s">
        <v>8599</v>
      </c>
      <c r="B2202" s="49" t="str">
        <f t="shared" si="1"/>
        <v>Pesticide Law</v>
      </c>
      <c r="C2202" s="49" t="str">
        <f t="shared" si="2"/>
        <v>Pesticide Law; Certified/Registered/Licensed Persons; refuse or neglect to keep and maintain records as required; refuse or neglect to make records available as required</v>
      </c>
      <c r="D2202" s="49" t="str">
        <f t="shared" si="3"/>
        <v>2-2454(e)</v>
      </c>
      <c r="E2202" s="11" t="s">
        <v>133</v>
      </c>
      <c r="F2202" s="11">
        <v>3.0</v>
      </c>
      <c r="G2202" s="11">
        <v>3.0</v>
      </c>
      <c r="H2202" s="11">
        <v>3.0</v>
      </c>
      <c r="I2202" s="11">
        <v>3.0</v>
      </c>
    </row>
    <row r="2203">
      <c r="A2203" s="10" t="s">
        <v>8600</v>
      </c>
      <c r="B2203" s="49" t="str">
        <f t="shared" si="1"/>
        <v>Pesticide Law</v>
      </c>
      <c r="C2203" s="49" t="str">
        <f t="shared" si="2"/>
        <v>Pesticide Law; Certified/Registered/Licensed Persons; use any method or material without regard to public health, safety or welfare</v>
      </c>
      <c r="D2203" s="49" t="str">
        <f t="shared" si="3"/>
        <v>2-2454(m)</v>
      </c>
      <c r="E2203" s="11" t="s">
        <v>133</v>
      </c>
      <c r="F2203" s="11">
        <v>3.0</v>
      </c>
      <c r="G2203" s="11">
        <v>3.0</v>
      </c>
      <c r="H2203" s="11">
        <v>3.0</v>
      </c>
      <c r="I2203" s="11">
        <v>3.0</v>
      </c>
    </row>
    <row r="2204">
      <c r="A2204" s="10" t="s">
        <v>8601</v>
      </c>
      <c r="B2204" s="49" t="str">
        <f t="shared" si="1"/>
        <v>Pesticide Law</v>
      </c>
      <c r="C2204" s="49" t="str">
        <f t="shared" si="2"/>
        <v>Pesticide Law; Certified/Registered/Licensed Persons; use any pesticide in a manner inconsistent with limitations imposed by the secretary pursuant to K.S.A. 2-2471</v>
      </c>
      <c r="D2204" s="49" t="str">
        <f t="shared" si="3"/>
        <v>2-2454(q)</v>
      </c>
      <c r="E2204" s="11" t="s">
        <v>133</v>
      </c>
      <c r="F2204" s="11">
        <v>3.0</v>
      </c>
      <c r="G2204" s="11">
        <v>3.0</v>
      </c>
      <c r="H2204" s="11">
        <v>3.0</v>
      </c>
      <c r="I2204" s="11">
        <v>3.0</v>
      </c>
    </row>
    <row r="2205">
      <c r="A2205" s="10" t="s">
        <v>8602</v>
      </c>
      <c r="B2205" s="49" t="str">
        <f t="shared" si="1"/>
        <v>Pesticide Law</v>
      </c>
      <c r="C2205" s="49" t="str">
        <f t="shared" si="2"/>
        <v>Pesticide Law; Certified/Registered/Licensed Persons; use fraud or misrepresentation in making an application for or renewal of a license, registration, permit or certificate</v>
      </c>
      <c r="D2205" s="49" t="str">
        <f t="shared" si="3"/>
        <v>2-2454(g)</v>
      </c>
      <c r="E2205" s="11" t="s">
        <v>133</v>
      </c>
      <c r="F2205" s="11">
        <v>3.0</v>
      </c>
      <c r="G2205" s="11">
        <v>3.0</v>
      </c>
      <c r="H2205" s="11">
        <v>3.0</v>
      </c>
      <c r="I2205" s="11">
        <v>3.0</v>
      </c>
    </row>
    <row r="2206">
      <c r="A2206" s="10" t="s">
        <v>8603</v>
      </c>
      <c r="B2206" s="49" t="str">
        <f t="shared" si="1"/>
        <v>Pesticide Law</v>
      </c>
      <c r="C2206" s="49" t="str">
        <f t="shared" si="2"/>
        <v>Pesticide Law; Certified/Registered/Licensed Persons; use, store, dispose of any pesticide material, pesticide rinsate or container without regard to public health or environmental damage</v>
      </c>
      <c r="D2206" s="49" t="str">
        <f t="shared" si="3"/>
        <v>2-2454(o)</v>
      </c>
      <c r="E2206" s="11" t="s">
        <v>133</v>
      </c>
      <c r="F2206" s="11">
        <v>3.0</v>
      </c>
      <c r="G2206" s="11">
        <v>3.0</v>
      </c>
      <c r="H2206" s="11">
        <v>3.0</v>
      </c>
      <c r="I2206" s="11">
        <v>3.0</v>
      </c>
    </row>
    <row r="2207">
      <c r="A2207" s="10" t="s">
        <v>8604</v>
      </c>
      <c r="B2207" s="49" t="str">
        <f t="shared" si="1"/>
        <v>Pesticide Law</v>
      </c>
      <c r="C2207" s="49" t="str">
        <f t="shared" si="2"/>
        <v>Pesticide Law; Discard/store any pesticide or pesticide container in an unsafe manner</v>
      </c>
      <c r="D2207" s="49" t="str">
        <f t="shared" si="3"/>
        <v>2-2453(b)</v>
      </c>
      <c r="E2207" s="11" t="s">
        <v>133</v>
      </c>
      <c r="F2207" s="11">
        <v>3.0</v>
      </c>
      <c r="G2207" s="11">
        <v>3.0</v>
      </c>
      <c r="H2207" s="11">
        <v>3.0</v>
      </c>
      <c r="I2207" s="11">
        <v>3.0</v>
      </c>
    </row>
    <row r="2208">
      <c r="A2208" s="10" t="s">
        <v>8605</v>
      </c>
      <c r="B2208" s="49" t="str">
        <f t="shared" si="1"/>
        <v>Pesticide Law</v>
      </c>
      <c r="C2208" s="49" t="str">
        <f t="shared" si="2"/>
        <v>Pesticide Law; Penalty for failure to comply with provisions of this act, rules or regulations</v>
      </c>
      <c r="D2208" s="49" t="str">
        <f t="shared" si="3"/>
        <v>2-2453(c)</v>
      </c>
      <c r="E2208" s="11" t="s">
        <v>133</v>
      </c>
      <c r="F2208" s="11">
        <v>3.0</v>
      </c>
      <c r="G2208" s="11">
        <v>3.0</v>
      </c>
      <c r="H2208" s="11">
        <v>3.0</v>
      </c>
      <c r="I2208" s="11">
        <v>3.0</v>
      </c>
    </row>
    <row r="2209">
      <c r="A2209" s="10" t="s">
        <v>8606</v>
      </c>
      <c r="B2209" s="49" t="str">
        <f t="shared" si="1"/>
        <v>Pesticide Law</v>
      </c>
      <c r="C2209" s="49" t="str">
        <f t="shared" si="2"/>
        <v>Pesticide Law; Pesticide business licensee applying pesticides without being certified as a commercial applicator or a registered pest control technician, or in presence of one so certified or registered</v>
      </c>
      <c r="D2209" s="49" t="str">
        <f t="shared" si="3"/>
        <v>2-2440b(a)</v>
      </c>
      <c r="E2209" s="11" t="s">
        <v>133</v>
      </c>
      <c r="F2209" s="11">
        <v>3.0</v>
      </c>
      <c r="G2209" s="11">
        <v>3.0</v>
      </c>
      <c r="H2209" s="11">
        <v>3.0</v>
      </c>
      <c r="I2209" s="11">
        <v>3.0</v>
      </c>
    </row>
    <row r="2210">
      <c r="A2210" s="10" t="s">
        <v>8607</v>
      </c>
      <c r="B2210" s="49" t="str">
        <f t="shared" si="1"/>
        <v>Pesticide Law</v>
      </c>
      <c r="C2210" s="49" t="str">
        <f t="shared" si="2"/>
        <v>Pesticide Law; Surety bond; Certified Private Applicator; unlawful use of "bond" or "bonded" in advertising</v>
      </c>
      <c r="D2210" s="49" t="str">
        <f t="shared" si="3"/>
        <v>2-2448(a)(1)</v>
      </c>
      <c r="E2210" s="11" t="s">
        <v>133</v>
      </c>
      <c r="F2210" s="11">
        <v>3.0</v>
      </c>
      <c r="G2210" s="11">
        <v>3.0</v>
      </c>
      <c r="H2210" s="11">
        <v>3.0</v>
      </c>
      <c r="I2210" s="11">
        <v>3.0</v>
      </c>
    </row>
    <row r="2211">
      <c r="A2211" s="10" t="s">
        <v>8608</v>
      </c>
      <c r="B2211" s="49" t="str">
        <f t="shared" si="1"/>
        <v>Pesticide Law</v>
      </c>
      <c r="C2211" s="49" t="str">
        <f t="shared" si="2"/>
        <v>Pesticide Law; Surety bond; unlawful use of "bond" or "bonded" in advertising</v>
      </c>
      <c r="D2211" s="49" t="str">
        <f t="shared" si="3"/>
        <v>2-2448(a)(1)</v>
      </c>
      <c r="E2211" s="11" t="s">
        <v>133</v>
      </c>
      <c r="F2211" s="11">
        <v>3.0</v>
      </c>
      <c r="G2211" s="11">
        <v>3.0</v>
      </c>
      <c r="H2211" s="11">
        <v>3.0</v>
      </c>
      <c r="I2211" s="11">
        <v>3.0</v>
      </c>
    </row>
    <row r="2212">
      <c r="A2212" s="10" t="s">
        <v>8609</v>
      </c>
      <c r="B2212" s="49" t="str">
        <f t="shared" si="1"/>
        <v>Pesticide Law</v>
      </c>
      <c r="C2212" s="49" t="str">
        <f t="shared" si="2"/>
        <v>Pesticide Law; Unlicensed advertising, offering for sale, selling or performing any service for the control of a pest on another's property or applying a pesticide to another's property</v>
      </c>
      <c r="D2212" s="49" t="str">
        <f t="shared" si="3"/>
        <v>2-2440(a)(1)</v>
      </c>
      <c r="E2212" s="11" t="s">
        <v>133</v>
      </c>
      <c r="F2212" s="11">
        <v>3.0</v>
      </c>
      <c r="G2212" s="11">
        <v>3.0</v>
      </c>
      <c r="H2212" s="11">
        <v>3.0</v>
      </c>
      <c r="I2212" s="11">
        <v>3.0</v>
      </c>
    </row>
    <row r="2213">
      <c r="A2213" s="10" t="s">
        <v>8610</v>
      </c>
      <c r="B2213" s="49" t="str">
        <f t="shared" si="1"/>
        <v>Pesticide Law</v>
      </c>
      <c r="C2213" s="49" t="str">
        <f t="shared" si="2"/>
        <v>Pesticide Law; Unlicensed performance of any service for the control of a pest or application of any pesticide on or at the premises of another person under any commission, division of receipts or subcontracting arrangement with a licensed pesticide business</v>
      </c>
      <c r="D2213" s="49" t="str">
        <f t="shared" si="3"/>
        <v>2-2440(a)(2)</v>
      </c>
      <c r="E2213" s="11" t="s">
        <v>133</v>
      </c>
      <c r="F2213" s="11">
        <v>3.0</v>
      </c>
      <c r="G2213" s="11">
        <v>3.0</v>
      </c>
      <c r="H2213" s="11">
        <v>3.0</v>
      </c>
      <c r="I2213" s="11">
        <v>3.0</v>
      </c>
    </row>
    <row r="2214">
      <c r="A2214" s="10" t="s">
        <v>8611</v>
      </c>
      <c r="B2214" s="49" t="str">
        <f t="shared" si="1"/>
        <v>Pesticide Law</v>
      </c>
      <c r="C2214" s="49" t="str">
        <f t="shared" si="2"/>
        <v>Pesticide Law; Use of pesticides in a manner inconsistent with the label or labeling</v>
      </c>
      <c r="D2214" s="49" t="str">
        <f t="shared" si="3"/>
        <v>2-2453(a)</v>
      </c>
      <c r="E2214" s="11" t="s">
        <v>133</v>
      </c>
      <c r="F2214" s="11">
        <v>3.0</v>
      </c>
      <c r="G2214" s="11">
        <v>3.0</v>
      </c>
      <c r="H2214" s="11">
        <v>3.0</v>
      </c>
      <c r="I2214" s="11">
        <v>3.0</v>
      </c>
    </row>
    <row r="2215">
      <c r="A2215" s="10" t="s">
        <v>8612</v>
      </c>
      <c r="B2215" s="49" t="str">
        <f t="shared" si="1"/>
        <v>Pet Animal Act, Violation or failure to comply with any provision of the act or any rule and regulation</v>
      </c>
      <c r="C2215" s="49" t="str">
        <f t="shared" si="2"/>
        <v>Pet Animal Act, Violation or failure to comply with any provision of the act or any rule and regulation</v>
      </c>
      <c r="D2215" s="49" t="str">
        <f t="shared" si="3"/>
        <v>47-1715(a)</v>
      </c>
      <c r="E2215" s="11" t="s">
        <v>133</v>
      </c>
      <c r="F2215" s="11">
        <v>3.0</v>
      </c>
      <c r="G2215" s="11">
        <v>3.0</v>
      </c>
      <c r="H2215" s="11">
        <v>3.0</v>
      </c>
      <c r="I2215" s="11">
        <v>3.0</v>
      </c>
    </row>
    <row r="2216">
      <c r="A2216" s="10" t="s">
        <v>8613</v>
      </c>
      <c r="B2216" s="49" t="str">
        <f t="shared" si="1"/>
        <v>Pet Animal Act</v>
      </c>
      <c r="C2216" s="49" t="str">
        <f t="shared" si="2"/>
        <v>Pet Animal Act; Animal breeder license required</v>
      </c>
      <c r="D2216" s="49" t="str">
        <f t="shared" si="3"/>
        <v>47-1733(a)</v>
      </c>
      <c r="E2216" s="11" t="s">
        <v>133</v>
      </c>
      <c r="F2216" s="11">
        <v>3.0</v>
      </c>
      <c r="G2216" s="11">
        <v>3.0</v>
      </c>
      <c r="H2216" s="11">
        <v>3.0</v>
      </c>
      <c r="I2216" s="11">
        <v>3.0</v>
      </c>
    </row>
    <row r="2217">
      <c r="A2217" s="10" t="s">
        <v>8614</v>
      </c>
      <c r="B2217" s="49" t="str">
        <f t="shared" si="1"/>
        <v>Pet Animal Act</v>
      </c>
      <c r="C2217" s="49" t="str">
        <f t="shared" si="2"/>
        <v>Pet Animal Act; Animal distributor license required</v>
      </c>
      <c r="D2217" s="49" t="str">
        <f t="shared" si="3"/>
        <v>47-1702</v>
      </c>
      <c r="E2217" s="11" t="s">
        <v>133</v>
      </c>
      <c r="F2217" s="11">
        <v>3.0</v>
      </c>
      <c r="G2217" s="11">
        <v>3.0</v>
      </c>
      <c r="H2217" s="11">
        <v>3.0</v>
      </c>
      <c r="I2217" s="11">
        <v>3.0</v>
      </c>
    </row>
    <row r="2218">
      <c r="A2218" s="10" t="s">
        <v>8615</v>
      </c>
      <c r="B2218" s="49" t="str">
        <f t="shared" si="1"/>
        <v>Pet Animal Act</v>
      </c>
      <c r="C2218" s="49" t="str">
        <f t="shared" si="2"/>
        <v>Pet Animal Act; Hobby breeder license required</v>
      </c>
      <c r="D2218" s="49" t="str">
        <f t="shared" si="3"/>
        <v>47-1719(a)</v>
      </c>
      <c r="E2218" s="11" t="s">
        <v>133</v>
      </c>
      <c r="F2218" s="11">
        <v>3.0</v>
      </c>
      <c r="G2218" s="11">
        <v>3.0</v>
      </c>
      <c r="H2218" s="11">
        <v>3.0</v>
      </c>
      <c r="I2218" s="11">
        <v>3.0</v>
      </c>
    </row>
    <row r="2219">
      <c r="A2219" s="10" t="s">
        <v>8616</v>
      </c>
      <c r="B2219" s="49" t="str">
        <f t="shared" si="1"/>
        <v>Pet Animal Act</v>
      </c>
      <c r="C2219" s="49" t="str">
        <f t="shared" si="2"/>
        <v>Pet Animal Act; Interfere with a representative of the animal health department</v>
      </c>
      <c r="D2219" s="49" t="str">
        <f t="shared" si="3"/>
        <v>47-1735(a)</v>
      </c>
      <c r="E2219" s="11" t="s">
        <v>133</v>
      </c>
      <c r="F2219" s="11">
        <v>3.0</v>
      </c>
      <c r="G2219" s="11">
        <v>3.0</v>
      </c>
      <c r="H2219" s="11">
        <v>3.0</v>
      </c>
      <c r="I2219" s="11">
        <v>3.0</v>
      </c>
    </row>
    <row r="2220">
      <c r="A2220" s="10" t="s">
        <v>8617</v>
      </c>
      <c r="B2220" s="49" t="str">
        <f t="shared" si="1"/>
        <v>Pet Animal Act</v>
      </c>
      <c r="C2220" s="49" t="str">
        <f t="shared" si="2"/>
        <v>Pet Animal Act; Kennel operator license required</v>
      </c>
      <c r="D2220" s="49" t="str">
        <f t="shared" si="3"/>
        <v>47-1723(a)</v>
      </c>
      <c r="E2220" s="11" t="s">
        <v>133</v>
      </c>
      <c r="F2220" s="11">
        <v>3.0</v>
      </c>
      <c r="G2220" s="11">
        <v>3.0</v>
      </c>
      <c r="H2220" s="11">
        <v>3.0</v>
      </c>
      <c r="I2220" s="11">
        <v>3.0</v>
      </c>
    </row>
    <row r="2221">
      <c r="A2221" s="10" t="s">
        <v>8618</v>
      </c>
      <c r="B2221" s="49" t="str">
        <f t="shared" si="1"/>
        <v>Pet Animal Act</v>
      </c>
      <c r="C2221" s="49" t="str">
        <f t="shared" si="2"/>
        <v>Pet Animal Act; Knowingly falsify results or findings of any inspection or investigation; intentionally fail or refuse to make an inspection/ conduct an investigation pursuant to this section</v>
      </c>
      <c r="D2221" s="49" t="str">
        <f t="shared" si="3"/>
        <v>47-1709(g)</v>
      </c>
      <c r="E2221" s="11" t="s">
        <v>133</v>
      </c>
      <c r="F2221" s="11">
        <v>3.0</v>
      </c>
      <c r="G2221" s="11">
        <v>3.0</v>
      </c>
      <c r="H2221" s="11">
        <v>3.0</v>
      </c>
      <c r="I2221" s="11">
        <v>3.0</v>
      </c>
    </row>
    <row r="2222">
      <c r="A2222" s="10" t="s">
        <v>8619</v>
      </c>
      <c r="B2222" s="49" t="str">
        <f t="shared" si="1"/>
        <v>Pet Animal Act</v>
      </c>
      <c r="C2222" s="49" t="str">
        <f t="shared" si="2"/>
        <v>Pet Animal Act; Knowingly purchase a dog or a cat for the purpose of resale from a person required to be licensed or permitted if that person is not so licensed or permitted</v>
      </c>
      <c r="D2222" s="49" t="str">
        <f t="shared" si="3"/>
        <v>47-1724(a)</v>
      </c>
      <c r="E2222" s="11" t="s">
        <v>133</v>
      </c>
      <c r="F2222" s="11">
        <v>3.0</v>
      </c>
      <c r="G2222" s="11">
        <v>3.0</v>
      </c>
      <c r="H2222" s="11">
        <v>3.0</v>
      </c>
      <c r="I2222" s="11">
        <v>3.0</v>
      </c>
    </row>
    <row r="2223">
      <c r="A2223" s="10" t="s">
        <v>8620</v>
      </c>
      <c r="B2223" s="49" t="str">
        <f t="shared" si="1"/>
        <v>Pet Animal Act</v>
      </c>
      <c r="C2223" s="49" t="str">
        <f t="shared" si="2"/>
        <v>Pet Animal Act; Licensees; knowingly sell to out-of-state distributors, animal distributors or pet shops who are not permitted or licensed in accordance with the Kansas Pet Animal Act</v>
      </c>
      <c r="D2223" s="49" t="str">
        <f t="shared" si="3"/>
        <v>47-1724(b)</v>
      </c>
      <c r="E2223" s="11" t="s">
        <v>133</v>
      </c>
      <c r="F2223" s="11">
        <v>3.0</v>
      </c>
      <c r="G2223" s="11">
        <v>3.0</v>
      </c>
      <c r="H2223" s="11">
        <v>3.0</v>
      </c>
      <c r="I2223" s="11">
        <v>3.0</v>
      </c>
    </row>
    <row r="2224">
      <c r="A2224" s="10" t="s">
        <v>8621</v>
      </c>
      <c r="B2224" s="49" t="str">
        <f t="shared" si="1"/>
        <v>Pet Animal Act</v>
      </c>
      <c r="C2224" s="49" t="str">
        <f t="shared" si="2"/>
        <v>Pet Animal Act; Out-of-state distributor permit required</v>
      </c>
      <c r="D2224" s="49" t="str">
        <f t="shared" si="3"/>
        <v>47-1734(a)</v>
      </c>
      <c r="E2224" s="11" t="s">
        <v>133</v>
      </c>
      <c r="F2224" s="11">
        <v>3.0</v>
      </c>
      <c r="G2224" s="11">
        <v>3.0</v>
      </c>
      <c r="H2224" s="11">
        <v>3.0</v>
      </c>
      <c r="I2224" s="11">
        <v>3.0</v>
      </c>
    </row>
    <row r="2225">
      <c r="A2225" s="10" t="s">
        <v>8622</v>
      </c>
      <c r="B2225" s="49" t="str">
        <f t="shared" si="1"/>
        <v>Pet Animal Act</v>
      </c>
      <c r="C2225" s="49" t="str">
        <f t="shared" si="2"/>
        <v>Pet Animal Act; Pet shop operator license required</v>
      </c>
      <c r="D2225" s="49" t="str">
        <f t="shared" si="3"/>
        <v>47-1703</v>
      </c>
      <c r="E2225" s="11" t="s">
        <v>133</v>
      </c>
      <c r="F2225" s="11">
        <v>3.0</v>
      </c>
      <c r="G2225" s="11">
        <v>3.0</v>
      </c>
      <c r="H2225" s="11">
        <v>3.0</v>
      </c>
      <c r="I2225" s="11">
        <v>3.0</v>
      </c>
    </row>
    <row r="2226">
      <c r="A2226" s="10" t="s">
        <v>8623</v>
      </c>
      <c r="B2226" s="49" t="str">
        <f t="shared" si="1"/>
        <v>Pet Animal Act</v>
      </c>
      <c r="C2226" s="49" t="str">
        <f t="shared" si="2"/>
        <v>Pet Animal Act; Pound or animal shelter license</v>
      </c>
      <c r="D2226" s="49" t="str">
        <f t="shared" si="3"/>
        <v>47-1704</v>
      </c>
      <c r="E2226" s="11" t="s">
        <v>133</v>
      </c>
      <c r="F2226" s="11">
        <v>3.0</v>
      </c>
      <c r="G2226" s="11">
        <v>3.0</v>
      </c>
      <c r="H2226" s="11">
        <v>3.0</v>
      </c>
      <c r="I2226" s="11">
        <v>3.0</v>
      </c>
    </row>
    <row r="2227">
      <c r="A2227" s="10" t="s">
        <v>8624</v>
      </c>
      <c r="B2227" s="49" t="str">
        <f t="shared" si="1"/>
        <v>Pet Animal Act</v>
      </c>
      <c r="C2227" s="49" t="str">
        <f t="shared" si="2"/>
        <v>Pet Animal Act; Research facility license required</v>
      </c>
      <c r="D2227" s="49" t="str">
        <f t="shared" si="3"/>
        <v>47-1720(a)</v>
      </c>
      <c r="E2227" s="11" t="s">
        <v>133</v>
      </c>
      <c r="F2227" s="11">
        <v>3.0</v>
      </c>
      <c r="G2227" s="11">
        <v>3.0</v>
      </c>
      <c r="H2227" s="11">
        <v>3.0</v>
      </c>
      <c r="I2227" s="11">
        <v>3.0</v>
      </c>
    </row>
    <row r="2228">
      <c r="A2228" s="10" t="s">
        <v>8625</v>
      </c>
      <c r="B2228" s="49" t="str">
        <f t="shared" si="1"/>
        <v>Pet Animal Act</v>
      </c>
      <c r="C2228" s="49" t="str">
        <f t="shared" si="2"/>
        <v>Pet Animal Act; Retail breeder license required</v>
      </c>
      <c r="D2228" s="49" t="str">
        <f t="shared" si="3"/>
        <v>47-1736(a)</v>
      </c>
      <c r="E2228" s="11" t="s">
        <v>133</v>
      </c>
      <c r="F2228" s="11">
        <v>3.0</v>
      </c>
      <c r="G2228" s="11">
        <v>3.0</v>
      </c>
      <c r="H2228" s="11">
        <v>3.0</v>
      </c>
      <c r="I2228" s="11">
        <v>3.0</v>
      </c>
    </row>
    <row r="2229">
      <c r="A2229" s="10" t="s">
        <v>8626</v>
      </c>
      <c r="B2229" s="49" t="str">
        <f t="shared" si="1"/>
        <v>Pharmacy Act</v>
      </c>
      <c r="C2229" s="49" t="str">
        <f t="shared" si="2"/>
        <v>Pharmacy Act; Be a pharmacy student without first obtaining a registration to do so from the board and paying the registration fee</v>
      </c>
      <c r="D2229" s="49" t="str">
        <f t="shared" si="3"/>
        <v>65-1643(i)</v>
      </c>
      <c r="E2229" s="11" t="s">
        <v>133</v>
      </c>
      <c r="F2229" s="11">
        <v>3.0</v>
      </c>
      <c r="G2229" s="11">
        <v>3.0</v>
      </c>
      <c r="H2229" s="11">
        <v>3.0</v>
      </c>
      <c r="I2229" s="11">
        <v>3.0</v>
      </c>
    </row>
    <row r="2230">
      <c r="A2230" s="10" t="s">
        <v>8627</v>
      </c>
      <c r="B2230" s="49" t="str">
        <f t="shared" si="1"/>
        <v>Pharmacy Act</v>
      </c>
      <c r="C2230" s="49" t="str">
        <f t="shared" si="2"/>
        <v>Pharmacy Act; Display of pharmacist license; when unlawful</v>
      </c>
      <c r="D2230" s="49" t="str">
        <f t="shared" si="3"/>
        <v>65-1641</v>
      </c>
      <c r="E2230" s="11" t="s">
        <v>133</v>
      </c>
      <c r="F2230" s="11">
        <v>3.0</v>
      </c>
      <c r="G2230" s="11">
        <v>3.0</v>
      </c>
      <c r="H2230" s="11">
        <v>3.0</v>
      </c>
      <c r="I2230" s="11">
        <v>3.0</v>
      </c>
    </row>
    <row r="2231">
      <c r="A2231" s="10" t="s">
        <v>8628</v>
      </c>
      <c r="B2231" s="49" t="str">
        <f t="shared" si="1"/>
        <v>Pharmacy Act</v>
      </c>
      <c r="C2231" s="49" t="str">
        <f t="shared" si="2"/>
        <v>Pharmacy Act; Distribute at wholesale any drugs without first obtaining a registration from the board</v>
      </c>
      <c r="D2231" s="49" t="str">
        <f t="shared" si="3"/>
        <v>65-1643(c)</v>
      </c>
      <c r="E2231" s="11" t="s">
        <v>133</v>
      </c>
      <c r="F2231" s="11">
        <v>3.0</v>
      </c>
      <c r="G2231" s="11">
        <v>3.0</v>
      </c>
      <c r="H2231" s="11">
        <v>3.0</v>
      </c>
      <c r="I2231" s="11">
        <v>3.0</v>
      </c>
    </row>
    <row r="2232">
      <c r="A2232" s="10" t="s">
        <v>8629</v>
      </c>
      <c r="B2232" s="49" t="str">
        <f t="shared" si="1"/>
        <v>Pharmacy Act</v>
      </c>
      <c r="C2232" s="49" t="str">
        <f t="shared" si="2"/>
        <v>Pharmacy Act; Distribute or dispense samples of any drugs without first having obtained a permit from the board</v>
      </c>
      <c r="D2232" s="49" t="str">
        <f t="shared" si="3"/>
        <v>65-1643(e)</v>
      </c>
      <c r="E2232" s="11" t="s">
        <v>133</v>
      </c>
      <c r="F2232" s="11">
        <v>3.0</v>
      </c>
      <c r="G2232" s="11">
        <v>3.0</v>
      </c>
      <c r="H2232" s="11">
        <v>3.0</v>
      </c>
      <c r="I2232" s="11">
        <v>3.0</v>
      </c>
    </row>
    <row r="2233">
      <c r="A2233" s="10" t="s">
        <v>8630</v>
      </c>
      <c r="B2233" s="49" t="str">
        <f t="shared" si="1"/>
        <v>Pharmacy Act</v>
      </c>
      <c r="C2233" s="49" t="str">
        <f t="shared" si="2"/>
        <v>Pharmacy Act; Intentionally adulterate or mislabel any drugs, medicines, chemicals or poisons, or cause such or expose for sale knowing the same to be adulterated or mislabeled</v>
      </c>
      <c r="D2233" s="49" t="str">
        <f t="shared" si="3"/>
        <v>65-1634</v>
      </c>
      <c r="E2233" s="11" t="s">
        <v>133</v>
      </c>
      <c r="F2233" s="11">
        <v>3.0</v>
      </c>
      <c r="G2233" s="11">
        <v>3.0</v>
      </c>
      <c r="H2233" s="11">
        <v>3.0</v>
      </c>
      <c r="I2233" s="11">
        <v>3.0</v>
      </c>
    </row>
    <row r="2234">
      <c r="A2234" s="10" t="s">
        <v>8631</v>
      </c>
      <c r="B2234" s="49" t="str">
        <f t="shared" si="1"/>
        <v>Pharmacy Act</v>
      </c>
      <c r="C2234" s="49" t="str">
        <f t="shared" si="2"/>
        <v>Pharmacy Act; Licensure required of pharmacists</v>
      </c>
      <c r="D2234" s="49" t="str">
        <f t="shared" si="3"/>
        <v>65-1631(a)</v>
      </c>
      <c r="E2234" s="11" t="s">
        <v>133</v>
      </c>
      <c r="F2234" s="11">
        <v>3.0</v>
      </c>
      <c r="G2234" s="11">
        <v>3.0</v>
      </c>
      <c r="H2234" s="11">
        <v>3.0</v>
      </c>
      <c r="I2234" s="11">
        <v>3.0</v>
      </c>
    </row>
    <row r="2235">
      <c r="A2235" s="10" t="s">
        <v>8632</v>
      </c>
      <c r="B2235" s="49" t="str">
        <f t="shared" si="1"/>
        <v>Pharmacy Act</v>
      </c>
      <c r="C2235" s="49" t="str">
        <f t="shared" si="2"/>
        <v>Pharmacy Act; Manufacture of any drugs without proper supervision or without first obtaining a registration from the board</v>
      </c>
      <c r="D2235" s="49" t="str">
        <f t="shared" si="3"/>
        <v>65-1643(b)</v>
      </c>
      <c r="E2235" s="11" t="s">
        <v>133</v>
      </c>
      <c r="F2235" s="11">
        <v>3.0</v>
      </c>
      <c r="G2235" s="11">
        <v>3.0</v>
      </c>
      <c r="H2235" s="11">
        <v>3.0</v>
      </c>
      <c r="I2235" s="11">
        <v>3.0</v>
      </c>
    </row>
    <row r="2236">
      <c r="A2236" s="10" t="s">
        <v>8633</v>
      </c>
      <c r="B2236" s="49" t="str">
        <f t="shared" si="1"/>
        <v>Pharmacy Act</v>
      </c>
      <c r="C2236" s="49" t="str">
        <f t="shared" si="2"/>
        <v>Pharmacy Act; Operate a veterinary medical teaching hospital pharmacy without first having obtained a registration from the board</v>
      </c>
      <c r="D2236" s="49" t="str">
        <f t="shared" si="3"/>
        <v>65-1643(j)</v>
      </c>
      <c r="E2236" s="11" t="s">
        <v>133</v>
      </c>
      <c r="F2236" s="11">
        <v>3.0</v>
      </c>
      <c r="G2236" s="11">
        <v>3.0</v>
      </c>
      <c r="H2236" s="11">
        <v>3.0</v>
      </c>
      <c r="I2236" s="11">
        <v>3.0</v>
      </c>
    </row>
    <row r="2237">
      <c r="A2237" s="10" t="s">
        <v>8634</v>
      </c>
      <c r="B2237" s="49" t="str">
        <f t="shared" si="1"/>
        <v>Pharmacy Act</v>
      </c>
      <c r="C2237" s="49" t="str">
        <f t="shared" si="2"/>
        <v>Pharmacy Act; Operate an institutional drug room without first having obtained a registration from the board</v>
      </c>
      <c r="D2237" s="49" t="str">
        <f t="shared" si="3"/>
        <v>65-1643(h)</v>
      </c>
      <c r="E2237" s="11" t="s">
        <v>133</v>
      </c>
      <c r="F2237" s="11">
        <v>3.0</v>
      </c>
      <c r="G2237" s="11">
        <v>3.0</v>
      </c>
      <c r="H2237" s="11">
        <v>3.0</v>
      </c>
      <c r="I2237" s="11">
        <v>3.0</v>
      </c>
    </row>
    <row r="2238">
      <c r="A2238" s="10" t="s">
        <v>8635</v>
      </c>
      <c r="B2238" s="49" t="str">
        <f t="shared" si="1"/>
        <v>Pharmacy Act</v>
      </c>
      <c r="C2238" s="49" t="str">
        <f t="shared" si="2"/>
        <v>Pharmacy Act; Operate, maintain, open or establish any pharmacy within this state without first having obtained a registration from the board</v>
      </c>
      <c r="D2238" s="49" t="str">
        <f t="shared" si="3"/>
        <v>65-1643(a)</v>
      </c>
      <c r="E2238" s="11" t="s">
        <v>133</v>
      </c>
      <c r="F2238" s="11">
        <v>3.0</v>
      </c>
      <c r="G2238" s="11">
        <v>3.0</v>
      </c>
      <c r="H2238" s="11">
        <v>3.0</v>
      </c>
      <c r="I2238" s="11">
        <v>3.0</v>
      </c>
    </row>
    <row r="2239">
      <c r="A2239" s="10" t="s">
        <v>8636</v>
      </c>
      <c r="B2239" s="49" t="str">
        <f t="shared" si="1"/>
        <v>Pharmacy Act</v>
      </c>
      <c r="C2239" s="49" t="str">
        <f t="shared" si="2"/>
        <v>Pharmacy Act; Registration of pharmacy technicians required</v>
      </c>
      <c r="D2239" s="49" t="str">
        <f t="shared" si="3"/>
        <v>65-1663(a)</v>
      </c>
      <c r="E2239" s="11" t="s">
        <v>133</v>
      </c>
      <c r="F2239" s="11">
        <v>3.0</v>
      </c>
      <c r="G2239" s="11">
        <v>3.0</v>
      </c>
      <c r="H2239" s="11">
        <v>3.0</v>
      </c>
      <c r="I2239" s="11">
        <v>3.0</v>
      </c>
    </row>
    <row r="2240">
      <c r="A2240" s="10" t="s">
        <v>8637</v>
      </c>
      <c r="B2240" s="49" t="str">
        <f t="shared" si="1"/>
        <v>Pharmacy Act</v>
      </c>
      <c r="C2240" s="49" t="str">
        <f t="shared" si="2"/>
        <v>Pharmacy Act; Sell any drugs manufactured and sold only in the state of Kansas, without having the label and directions on such drugs approved by the board</v>
      </c>
      <c r="D2240" s="49" t="str">
        <f t="shared" si="3"/>
        <v>65-1643(g)</v>
      </c>
      <c r="E2240" s="11" t="s">
        <v>133</v>
      </c>
      <c r="F2240" s="11">
        <v>3.0</v>
      </c>
      <c r="G2240" s="11">
        <v>3.0</v>
      </c>
      <c r="H2240" s="11">
        <v>3.0</v>
      </c>
      <c r="I2240" s="11">
        <v>3.0</v>
      </c>
    </row>
    <row r="2241">
      <c r="A2241" s="10" t="s">
        <v>8638</v>
      </c>
      <c r="B2241" s="49" t="str">
        <f t="shared" si="1"/>
        <v>Pharmacy Act</v>
      </c>
      <c r="C2241" s="49" t="str">
        <f t="shared" si="2"/>
        <v>Pharmacy Act; Sell more than 4 or more packages of a controlled substance listed in K.S.A. 65-4113 (e) or (f) to one customer within 7 day period</v>
      </c>
      <c r="D2241" s="49" t="str">
        <f t="shared" si="3"/>
        <v>65-1643(l)</v>
      </c>
      <c r="E2241" s="11" t="s">
        <v>133</v>
      </c>
      <c r="F2241" s="11">
        <v>3.0</v>
      </c>
      <c r="G2241" s="11">
        <v>3.0</v>
      </c>
      <c r="H2241" s="11">
        <v>3.0</v>
      </c>
      <c r="I2241" s="11">
        <v>3.0</v>
      </c>
    </row>
    <row r="2242">
      <c r="A2242" s="10" t="s">
        <v>8639</v>
      </c>
      <c r="B2242" s="49" t="str">
        <f t="shared" si="1"/>
        <v>Pharmacy Act</v>
      </c>
      <c r="C2242" s="49" t="str">
        <f t="shared" si="2"/>
        <v>Pharmacy Act; Sell or offer for sale at public auction or private sale in a place where public auctions are conducted, any drugs without first having obtained a registration from the board</v>
      </c>
      <c r="D2242" s="49" t="str">
        <f t="shared" si="3"/>
        <v>65-1643(d)</v>
      </c>
      <c r="E2242" s="11" t="s">
        <v>133</v>
      </c>
      <c r="F2242" s="11">
        <v>3.0</v>
      </c>
      <c r="G2242" s="11">
        <v>3.0</v>
      </c>
      <c r="H2242" s="11">
        <v>3.0</v>
      </c>
      <c r="I2242" s="11">
        <v>3.0</v>
      </c>
    </row>
    <row r="2243">
      <c r="A2243" s="10" t="s">
        <v>8640</v>
      </c>
      <c r="B2243" s="49" t="str">
        <f t="shared" si="1"/>
        <v>Pharmacy Act</v>
      </c>
      <c r="C2243" s="49" t="str">
        <f t="shared" si="2"/>
        <v>Pharmacy Act; Sell, offer for sale or distribute any drugs to the public without first having obtained a registration or permit from the board authorizing such person so to do</v>
      </c>
      <c r="D2243" s="49" t="str">
        <f t="shared" si="3"/>
        <v>65-1643(f)</v>
      </c>
      <c r="E2243" s="11" t="s">
        <v>133</v>
      </c>
      <c r="F2243" s="11">
        <v>3.0</v>
      </c>
      <c r="G2243" s="11">
        <v>3.0</v>
      </c>
      <c r="H2243" s="11">
        <v>3.0</v>
      </c>
      <c r="I2243" s="11">
        <v>3.0</v>
      </c>
    </row>
    <row r="2244">
      <c r="A2244" s="10" t="s">
        <v>8641</v>
      </c>
      <c r="B2244" s="49" t="str">
        <f t="shared" si="1"/>
        <v>Pharmacy Act</v>
      </c>
      <c r="C2244" s="49" t="str">
        <f t="shared" si="2"/>
        <v>Pharmacy Act; Sell, offer for sale, or lease durable medical equipment without registration</v>
      </c>
      <c r="D2244" s="49" t="str">
        <f t="shared" si="3"/>
        <v>65-1643(n)</v>
      </c>
      <c r="E2244" s="11" t="s">
        <v>133</v>
      </c>
      <c r="F2244" s="11">
        <v>3.0</v>
      </c>
      <c r="G2244" s="11">
        <v>3.0</v>
      </c>
      <c r="H2244" s="11">
        <v>3.0</v>
      </c>
      <c r="I2244" s="11">
        <v>3.0</v>
      </c>
    </row>
    <row r="2245">
      <c r="A2245" s="10" t="s">
        <v>8642</v>
      </c>
      <c r="B2245" s="49" t="str">
        <f t="shared" si="1"/>
        <v>Pharmacy Act</v>
      </c>
      <c r="C2245" s="49" t="str">
        <f t="shared" si="2"/>
        <v>Pharmacy Act; Unauthorized sale or distribution in a pharmacy of a controlled substance designated in subsection (e) or (f) of K.S.A. 65-4113</v>
      </c>
      <c r="D2245" s="49" t="str">
        <f t="shared" si="3"/>
        <v>65-1643(k)</v>
      </c>
      <c r="E2245" s="11" t="s">
        <v>133</v>
      </c>
      <c r="F2245" s="11">
        <v>3.0</v>
      </c>
      <c r="G2245" s="11">
        <v>3.0</v>
      </c>
      <c r="H2245" s="11">
        <v>3.0</v>
      </c>
      <c r="I2245" s="11">
        <v>3.0</v>
      </c>
    </row>
    <row r="2246">
      <c r="A2246" s="10" t="s">
        <v>8643</v>
      </c>
      <c r="B2246" s="49" t="str">
        <f t="shared" si="1"/>
        <v>Pharmacy Act</v>
      </c>
      <c r="C2246" s="49" t="str">
        <f t="shared" si="2"/>
        <v>Pharmacy Act; Unlawful advertising of nonresident, nonregistered pharmacy; effective Kansas Register</v>
      </c>
      <c r="D2246" s="49" t="str">
        <f t="shared" si="3"/>
        <v>65-1657(h)</v>
      </c>
      <c r="E2246" s="11" t="s">
        <v>133</v>
      </c>
      <c r="F2246" s="11">
        <v>3.0</v>
      </c>
      <c r="G2246" s="11">
        <v>3.0</v>
      </c>
      <c r="H2246" s="11">
        <v>3.0</v>
      </c>
      <c r="I2246" s="11">
        <v>3.0</v>
      </c>
    </row>
    <row r="2247">
      <c r="A2247" s="10" t="s">
        <v>8644</v>
      </c>
      <c r="B2247" s="49" t="str">
        <f t="shared" si="1"/>
        <v>Pharmacy</v>
      </c>
      <c r="C2247" s="49" t="str">
        <f t="shared" si="2"/>
        <v>Pharmacy; Methamphetamine Precursor Sale Logging System Act; knowing disclosure in violation of the act</v>
      </c>
      <c r="D2247" s="49" t="str">
        <f t="shared" si="3"/>
        <v>65-16,107(b)</v>
      </c>
      <c r="E2247" s="11" t="s">
        <v>133</v>
      </c>
      <c r="F2247" s="11">
        <v>3.0</v>
      </c>
      <c r="G2247" s="11">
        <v>3.0</v>
      </c>
      <c r="H2247" s="11">
        <v>3.0</v>
      </c>
      <c r="I2247" s="11">
        <v>3.0</v>
      </c>
    </row>
    <row r="2248">
      <c r="A2248" s="10" t="s">
        <v>8645</v>
      </c>
      <c r="B2248" s="49" t="str">
        <f t="shared" si="1"/>
        <v>Pharmacy</v>
      </c>
      <c r="C2248" s="49" t="str">
        <f t="shared" si="2"/>
        <v>Pharmacy; Methamphetamine Precursor Sale Logging System Act; knowing failure to submit methamphetamine precursor log information to pharmacy board</v>
      </c>
      <c r="D2248" s="49" t="str">
        <f t="shared" si="3"/>
        <v>65-16,107(a)</v>
      </c>
      <c r="E2248" s="11" t="s">
        <v>133</v>
      </c>
      <c r="F2248" s="11">
        <v>3.0</v>
      </c>
      <c r="G2248" s="11">
        <v>3.0</v>
      </c>
      <c r="H2248" s="11">
        <v>3.0</v>
      </c>
      <c r="I2248" s="11">
        <v>3.0</v>
      </c>
    </row>
    <row r="2249">
      <c r="A2249" s="10" t="s">
        <v>8646</v>
      </c>
      <c r="B2249" s="49" t="str">
        <f t="shared" si="1"/>
        <v>Pharmacy</v>
      </c>
      <c r="C2249" s="49" t="str">
        <f t="shared" si="2"/>
        <v>Pharmacy; Methamphetamine Precursor Sale Logging System Act; knowing use of such information in a manner or for a purpose in violation of the act</v>
      </c>
      <c r="D2249" s="49" t="str">
        <f t="shared" si="3"/>
        <v>65-16,107(c)</v>
      </c>
      <c r="E2249" s="11" t="s">
        <v>133</v>
      </c>
      <c r="F2249" s="11">
        <v>3.0</v>
      </c>
      <c r="G2249" s="11">
        <v>3.0</v>
      </c>
      <c r="H2249" s="11">
        <v>3.0</v>
      </c>
      <c r="I2249" s="11">
        <v>3.0</v>
      </c>
    </row>
    <row r="2250">
      <c r="A2250" s="10" t="s">
        <v>8647</v>
      </c>
      <c r="B2250" s="49" t="str">
        <f t="shared" si="1"/>
        <v>Physical Therapy</v>
      </c>
      <c r="C2250" s="49" t="str">
        <f t="shared" si="2"/>
        <v>Physical Therapy; Certified physical therapist assistant treating ailments or other health conditions of human beings without direction of a licensed physical therapist</v>
      </c>
      <c r="D2250" s="49" t="str">
        <f t="shared" si="3"/>
        <v>65-2914(c)</v>
      </c>
      <c r="E2250" s="11" t="s">
        <v>133</v>
      </c>
      <c r="F2250" s="11">
        <v>3.0</v>
      </c>
      <c r="G2250" s="11">
        <v>3.0</v>
      </c>
      <c r="H2250" s="11">
        <v>3.0</v>
      </c>
      <c r="I2250" s="11">
        <v>3.0</v>
      </c>
    </row>
    <row r="2251">
      <c r="A2251" s="10" t="s">
        <v>8648</v>
      </c>
      <c r="B2251" s="49" t="str">
        <f t="shared" si="1"/>
        <v>Physical Therapy</v>
      </c>
      <c r="C2251" s="49" t="str">
        <f t="shared" si="2"/>
        <v>Physical Therapy; Employ fraud or deception in applying for or securing a license as a physical therapist</v>
      </c>
      <c r="D2251" s="49" t="str">
        <f t="shared" si="3"/>
        <v>65-2914(a)</v>
      </c>
      <c r="E2251" s="11" t="s">
        <v>133</v>
      </c>
      <c r="F2251" s="11">
        <v>3.0</v>
      </c>
      <c r="G2251" s="11">
        <v>3.0</v>
      </c>
      <c r="H2251" s="11">
        <v>3.0</v>
      </c>
      <c r="I2251" s="11">
        <v>3.0</v>
      </c>
    </row>
    <row r="2252">
      <c r="A2252" s="10" t="s">
        <v>8649</v>
      </c>
      <c r="B2252" s="49" t="str">
        <f t="shared" si="1"/>
        <v>Physical Therapy</v>
      </c>
      <c r="C2252" s="49" t="str">
        <f t="shared" si="2"/>
        <v>Physical Therapy; Licensed physical therapist  treating ailments/other health conditions other than by physical therapy without being licensed or registered to do so</v>
      </c>
      <c r="D2252" s="49" t="str">
        <f t="shared" si="3"/>
        <v>65-2914(b)</v>
      </c>
      <c r="E2252" s="11" t="s">
        <v>133</v>
      </c>
      <c r="F2252" s="11">
        <v>3.0</v>
      </c>
      <c r="G2252" s="11">
        <v>3.0</v>
      </c>
      <c r="H2252" s="11">
        <v>3.0</v>
      </c>
      <c r="I2252" s="11">
        <v>3.0</v>
      </c>
    </row>
    <row r="2253">
      <c r="A2253" s="10" t="s">
        <v>8650</v>
      </c>
      <c r="B2253" s="49" t="str">
        <f t="shared" si="1"/>
        <v>Physical Therapy</v>
      </c>
      <c r="C2253" s="49" t="str">
        <f t="shared" si="2"/>
        <v>Physical Therapy; Penalty for violations of act</v>
      </c>
      <c r="D2253" s="49" t="str">
        <f t="shared" si="3"/>
        <v>65-2916(a)</v>
      </c>
      <c r="E2253" s="11" t="s">
        <v>133</v>
      </c>
      <c r="F2253" s="11">
        <v>3.0</v>
      </c>
      <c r="G2253" s="11">
        <v>3.0</v>
      </c>
      <c r="H2253" s="11">
        <v>3.0</v>
      </c>
      <c r="I2253" s="11">
        <v>3.0</v>
      </c>
    </row>
    <row r="2254">
      <c r="A2254" s="10" t="s">
        <v>8651</v>
      </c>
      <c r="B2254" s="49" t="str">
        <f t="shared" si="1"/>
        <v>Physical Therapy</v>
      </c>
      <c r="C2254" s="49" t="str">
        <f t="shared" si="2"/>
        <v>Physical Therapy; Represent oneself as physical therapist assistant without such certification</v>
      </c>
      <c r="D2254" s="49" t="str">
        <f t="shared" si="3"/>
        <v>65-2913(b)</v>
      </c>
      <c r="E2254" s="11" t="s">
        <v>133</v>
      </c>
      <c r="F2254" s="11">
        <v>3.0</v>
      </c>
      <c r="G2254" s="11">
        <v>3.0</v>
      </c>
      <c r="H2254" s="11">
        <v>3.0</v>
      </c>
      <c r="I2254" s="11">
        <v>3.0</v>
      </c>
    </row>
    <row r="2255">
      <c r="A2255" s="10" t="s">
        <v>8652</v>
      </c>
      <c r="B2255" s="49" t="str">
        <f t="shared" si="1"/>
        <v>Physical Therapy</v>
      </c>
      <c r="C2255" s="49" t="str">
        <f t="shared" si="2"/>
        <v>Physical Therapy; Represent oneself as physical therapist without such license</v>
      </c>
      <c r="D2255" s="49" t="str">
        <f t="shared" si="3"/>
        <v>65-2913(a)</v>
      </c>
      <c r="E2255" s="11" t="s">
        <v>133</v>
      </c>
      <c r="F2255" s="11">
        <v>3.0</v>
      </c>
      <c r="G2255" s="11">
        <v>3.0</v>
      </c>
      <c r="H2255" s="11">
        <v>3.0</v>
      </c>
      <c r="I2255" s="11">
        <v>3.0</v>
      </c>
    </row>
    <row r="2256">
      <c r="A2256" s="10" t="s">
        <v>8653</v>
      </c>
      <c r="B2256" s="49" t="str">
        <f t="shared" si="1"/>
        <v>Physically Disabled Persons</v>
      </c>
      <c r="C2256" s="49" t="str">
        <f t="shared" si="2"/>
        <v>Physically Disabled Persons; Misrepresent that a person has a disability for the purpose of acquiring an assistance dog</v>
      </c>
      <c r="D2256" s="49" t="str">
        <f t="shared" si="3"/>
        <v>39-1112(b)</v>
      </c>
      <c r="E2256" s="11" t="s">
        <v>133</v>
      </c>
      <c r="F2256" s="11">
        <v>3.0</v>
      </c>
      <c r="G2256" s="11">
        <v>3.0</v>
      </c>
      <c r="H2256" s="11">
        <v>3.0</v>
      </c>
      <c r="I2256" s="11">
        <v>3.0</v>
      </c>
    </row>
    <row r="2257">
      <c r="A2257" s="10" t="s">
        <v>8654</v>
      </c>
      <c r="B2257" s="49" t="str">
        <f t="shared" si="1"/>
        <v>Physically Disabled Persons</v>
      </c>
      <c r="C2257" s="49" t="str">
        <f t="shared" si="2"/>
        <v>Physically Disabled Persons; Misrepresent that a person has the right to be accompanied by an assistance dog in any place listed in K.S.A. 39-110, or a professional therapy dog in any place listed in K.S.A. 2005 Supp. 39-1110</v>
      </c>
      <c r="D2257" s="49" t="str">
        <f t="shared" si="3"/>
        <v>39-1112(a)</v>
      </c>
      <c r="E2257" s="11" t="s">
        <v>133</v>
      </c>
      <c r="F2257" s="11">
        <v>3.0</v>
      </c>
      <c r="G2257" s="11">
        <v>3.0</v>
      </c>
      <c r="H2257" s="11">
        <v>3.0</v>
      </c>
      <c r="I2257" s="11">
        <v>3.0</v>
      </c>
    </row>
    <row r="2258">
      <c r="A2258" s="10" t="s">
        <v>8655</v>
      </c>
      <c r="B2258" s="49" t="str">
        <f t="shared" si="1"/>
        <v>Physically Disabled Persons</v>
      </c>
      <c r="C2258" s="49" t="str">
        <f t="shared" si="2"/>
        <v>Physically Disabled Persons; Unlawful to interfere with rights</v>
      </c>
      <c r="D2258" s="49" t="str">
        <f t="shared" si="3"/>
        <v>39-1103</v>
      </c>
      <c r="E2258" s="11" t="s">
        <v>133</v>
      </c>
      <c r="F2258" s="11">
        <v>3.0</v>
      </c>
      <c r="G2258" s="11">
        <v>3.0</v>
      </c>
      <c r="H2258" s="11">
        <v>3.0</v>
      </c>
      <c r="I2258" s="11">
        <v>3.0</v>
      </c>
    </row>
    <row r="2259">
      <c r="A2259" s="10" t="s">
        <v>8656</v>
      </c>
      <c r="B2259" s="49" t="str">
        <f t="shared" si="1"/>
        <v>Physician Assistant Licensure Act</v>
      </c>
      <c r="C2259" s="49" t="str">
        <f t="shared" si="2"/>
        <v>Physician Assistant Licensure Act; Practice as a physician assistant without license</v>
      </c>
      <c r="D2259" s="49" t="str">
        <f t="shared" si="3"/>
        <v>65-28a06(a)</v>
      </c>
      <c r="E2259" s="11" t="s">
        <v>133</v>
      </c>
      <c r="F2259" s="11">
        <v>3.0</v>
      </c>
      <c r="G2259" s="11">
        <v>3.0</v>
      </c>
      <c r="H2259" s="11">
        <v>3.0</v>
      </c>
      <c r="I2259" s="11">
        <v>3.0</v>
      </c>
    </row>
    <row r="2260">
      <c r="A2260" s="10" t="s">
        <v>8657</v>
      </c>
      <c r="B2260" s="49" t="str">
        <f t="shared" si="1"/>
        <v>Physician Assistant Licensure Act</v>
      </c>
      <c r="C2260" s="49" t="str">
        <f t="shared" si="2"/>
        <v>Physician Assistant Licensure Act; Represent oneself as a physician assistant without such license</v>
      </c>
      <c r="D2260" s="49" t="str">
        <f t="shared" si="3"/>
        <v>65-28a06(b)</v>
      </c>
      <c r="E2260" s="11" t="s">
        <v>133</v>
      </c>
      <c r="F2260" s="11">
        <v>3.0</v>
      </c>
      <c r="G2260" s="11">
        <v>3.0</v>
      </c>
      <c r="H2260" s="11">
        <v>3.0</v>
      </c>
      <c r="I2260" s="11">
        <v>3.0</v>
      </c>
    </row>
    <row r="2261">
      <c r="A2261" s="10" t="s">
        <v>8658</v>
      </c>
      <c r="B2261" s="49" t="str">
        <f t="shared" si="1"/>
        <v>Physician Assistant Licensure Act</v>
      </c>
      <c r="C2261" s="49" t="str">
        <f t="shared" si="2"/>
        <v>Physician Assistant Licensure Act; Violation of the act</v>
      </c>
      <c r="D2261" s="49" t="str">
        <f t="shared" si="3"/>
        <v>65-28a14(a)</v>
      </c>
      <c r="E2261" s="11" t="s">
        <v>133</v>
      </c>
      <c r="F2261" s="11">
        <v>3.0</v>
      </c>
      <c r="G2261" s="11">
        <v>3.0</v>
      </c>
      <c r="H2261" s="11">
        <v>3.0</v>
      </c>
      <c r="I2261" s="11">
        <v>3.0</v>
      </c>
    </row>
    <row r="2262">
      <c r="A2262" s="10" t="s">
        <v>8659</v>
      </c>
      <c r="B2262" s="49" t="str">
        <f t="shared" si="1"/>
        <v>Planning and Zoning</v>
      </c>
      <c r="C2262" s="49" t="str">
        <f t="shared" si="2"/>
        <v>Planning and Zoning; Penalty for any violation of act</v>
      </c>
      <c r="D2262" s="49" t="str">
        <f t="shared" si="3"/>
        <v>19-2953</v>
      </c>
      <c r="E2262" s="11" t="s">
        <v>133</v>
      </c>
      <c r="F2262" s="11">
        <v>3.0</v>
      </c>
      <c r="G2262" s="11">
        <v>3.0</v>
      </c>
      <c r="H2262" s="11">
        <v>3.0</v>
      </c>
      <c r="I2262" s="11">
        <v>3.0</v>
      </c>
    </row>
    <row r="2263">
      <c r="A2263" s="10" t="s">
        <v>8660</v>
      </c>
      <c r="B2263" s="49" t="str">
        <f t="shared" si="1"/>
        <v>Plant Pests</v>
      </c>
      <c r="C2263" s="49" t="str">
        <f t="shared" si="2"/>
        <v>Plant Pests; Engage in business as a live plant dealer and use an invalid, suspended or revoked certificate of inspection, permit or live plant dealer license</v>
      </c>
      <c r="D2263" s="49" t="str">
        <f t="shared" si="3"/>
        <v>2-2124(a)(5)</v>
      </c>
      <c r="E2263" s="11" t="s">
        <v>133</v>
      </c>
      <c r="F2263" s="11">
        <v>3.0</v>
      </c>
      <c r="G2263" s="11">
        <v>3.0</v>
      </c>
      <c r="H2263" s="11">
        <v>3.0</v>
      </c>
      <c r="I2263" s="11">
        <v>3.0</v>
      </c>
    </row>
    <row r="2264">
      <c r="A2264" s="10" t="s">
        <v>8661</v>
      </c>
      <c r="B2264" s="49" t="str">
        <f t="shared" si="1"/>
        <v>Plant Pests</v>
      </c>
      <c r="C2264" s="49" t="str">
        <f t="shared" si="2"/>
        <v>Plant Pests; Fail to carry out the treatment or destruction of any plant pest or regulated article</v>
      </c>
      <c r="D2264" s="49" t="str">
        <f t="shared" si="3"/>
        <v>2-2124(a)(3)</v>
      </c>
      <c r="E2264" s="11" t="s">
        <v>133</v>
      </c>
      <c r="F2264" s="11">
        <v>3.0</v>
      </c>
      <c r="G2264" s="11">
        <v>3.0</v>
      </c>
      <c r="H2264" s="11">
        <v>3.0</v>
      </c>
      <c r="I2264" s="11">
        <v>3.0</v>
      </c>
    </row>
    <row r="2265">
      <c r="A2265" s="10" t="s">
        <v>8662</v>
      </c>
      <c r="B2265" s="49" t="str">
        <f t="shared" si="1"/>
        <v>Plant Pests</v>
      </c>
      <c r="C2265" s="49" t="str">
        <f t="shared" si="2"/>
        <v>Plant Pests; Failure to comply with provisions of this act, or other rules and regulations</v>
      </c>
      <c r="D2265" s="49" t="str">
        <f t="shared" si="3"/>
        <v>2-2124(a)(6)</v>
      </c>
      <c r="E2265" s="11" t="s">
        <v>133</v>
      </c>
      <c r="F2265" s="11">
        <v>3.0</v>
      </c>
      <c r="G2265" s="11">
        <v>3.0</v>
      </c>
      <c r="H2265" s="11">
        <v>3.0</v>
      </c>
      <c r="I2265" s="11">
        <v>3.0</v>
      </c>
    </row>
    <row r="2266">
      <c r="A2266" s="10" t="s">
        <v>8663</v>
      </c>
      <c r="B2266" s="49" t="str">
        <f t="shared" si="1"/>
        <v>Plant Pests</v>
      </c>
      <c r="C2266" s="49" t="str">
        <f t="shared" si="2"/>
        <v>Plant Pests; Hinder or prevent the secretary from carrying out duties under this act</v>
      </c>
      <c r="D2266" s="49" t="str">
        <f t="shared" si="3"/>
        <v>2-2124(a)(2)</v>
      </c>
      <c r="E2266" s="11" t="s">
        <v>133</v>
      </c>
      <c r="F2266" s="11">
        <v>3.0</v>
      </c>
      <c r="G2266" s="11">
        <v>3.0</v>
      </c>
      <c r="H2266" s="11">
        <v>3.0</v>
      </c>
      <c r="I2266" s="11">
        <v>3.0</v>
      </c>
    </row>
    <row r="2267">
      <c r="A2267" s="10" t="s">
        <v>8664</v>
      </c>
      <c r="B2267" s="49" t="str">
        <f t="shared" si="1"/>
        <v>Plant Pests</v>
      </c>
      <c r="C2267" s="49" t="str">
        <f t="shared" si="2"/>
        <v>Plant Pests; Knowingly move any regulated article into or within KS from a quarantined area if not treated or handled as per the requirements of said quarantine at the point of origin of such article</v>
      </c>
      <c r="D2267" s="49" t="str">
        <f t="shared" si="3"/>
        <v>2-2124(a)(7)</v>
      </c>
      <c r="E2267" s="11" t="s">
        <v>133</v>
      </c>
      <c r="F2267" s="11">
        <v>3.0</v>
      </c>
      <c r="G2267" s="11">
        <v>3.0</v>
      </c>
      <c r="H2267" s="11">
        <v>3.0</v>
      </c>
      <c r="I2267" s="11">
        <v>3.0</v>
      </c>
    </row>
    <row r="2268">
      <c r="A2268" s="10" t="s">
        <v>8665</v>
      </c>
      <c r="B2268" s="49" t="str">
        <f t="shared" si="1"/>
        <v>Plant Pests</v>
      </c>
      <c r="C2268" s="49" t="str">
        <f t="shared" si="2"/>
        <v>Plant Pests; Sell, barter, offer for sale, or move, transport, deliver, ship or offer for shipment into or within this state any plant pests in any living stage without approval for such shipment from the secretary</v>
      </c>
      <c r="D2268" s="49" t="str">
        <f t="shared" si="3"/>
        <v>2-2124(a)(1)</v>
      </c>
      <c r="E2268" s="11" t="s">
        <v>133</v>
      </c>
      <c r="F2268" s="11">
        <v>3.0</v>
      </c>
      <c r="G2268" s="11">
        <v>3.0</v>
      </c>
      <c r="H2268" s="11">
        <v>3.0</v>
      </c>
      <c r="I2268" s="11">
        <v>3.0</v>
      </c>
    </row>
    <row r="2269">
      <c r="A2269" s="10" t="s">
        <v>8666</v>
      </c>
      <c r="B2269" s="49" t="str">
        <f t="shared" si="1"/>
        <v>Plant Pests</v>
      </c>
      <c r="C2269" s="49" t="str">
        <f t="shared" si="2"/>
        <v>Plant Pests; Sell, transport, deliver, distribute, offer or expose for sale noncompliant live plants</v>
      </c>
      <c r="D2269" s="49" t="str">
        <f t="shared" si="3"/>
        <v>2-2124(a)(4)</v>
      </c>
      <c r="E2269" s="11" t="s">
        <v>133</v>
      </c>
      <c r="F2269" s="11">
        <v>3.0</v>
      </c>
      <c r="G2269" s="11">
        <v>3.0</v>
      </c>
      <c r="H2269" s="11">
        <v>3.0</v>
      </c>
      <c r="I2269" s="11">
        <v>3.0</v>
      </c>
    </row>
    <row r="2270">
      <c r="A2270" s="10" t="s">
        <v>8667</v>
      </c>
      <c r="B2270" s="49" t="str">
        <f t="shared" si="1"/>
        <v>Plant Pests</v>
      </c>
      <c r="C2270" s="49" t="str">
        <f t="shared" si="2"/>
        <v>Plant Pests; Unlawful to sell, deliver, transport or ship live plants or other regulated articles not in compliance with act</v>
      </c>
      <c r="D2270" s="49" t="str">
        <f t="shared" si="3"/>
        <v>81482</v>
      </c>
      <c r="E2270" s="11" t="s">
        <v>133</v>
      </c>
      <c r="F2270" s="11">
        <v>3.0</v>
      </c>
      <c r="G2270" s="11">
        <v>3.0</v>
      </c>
      <c r="H2270" s="11">
        <v>3.0</v>
      </c>
      <c r="I2270" s="11">
        <v>3.0</v>
      </c>
    </row>
    <row r="2271">
      <c r="A2271" s="10" t="s">
        <v>8668</v>
      </c>
      <c r="B2271" s="49" t="str">
        <f t="shared" si="1"/>
        <v>Podiatrist</v>
      </c>
      <c r="C2271" s="49" t="str">
        <f t="shared" si="2"/>
        <v>Podiatrist; Violating podiatry act</v>
      </c>
      <c r="D2271" s="49" t="str">
        <f t="shared" si="3"/>
        <v>65-2007</v>
      </c>
      <c r="E2271" s="11" t="s">
        <v>133</v>
      </c>
      <c r="F2271" s="11">
        <v>3.0</v>
      </c>
      <c r="G2271" s="11">
        <v>3.0</v>
      </c>
      <c r="H2271" s="11">
        <v>3.0</v>
      </c>
      <c r="I2271" s="11">
        <v>3.0</v>
      </c>
    </row>
    <row r="2272">
      <c r="A2272" s="10" t="s">
        <v>8669</v>
      </c>
      <c r="B2272" s="49" t="str">
        <f t="shared" si="1"/>
        <v>Possession of Gambling Device</v>
      </c>
      <c r="C2272" s="49" t="str">
        <f t="shared" si="2"/>
        <v>Possession of Gambling Device</v>
      </c>
      <c r="D2272" s="49" t="str">
        <f t="shared" si="3"/>
        <v>21-6408(a)</v>
      </c>
      <c r="E2272" s="11" t="s">
        <v>133</v>
      </c>
      <c r="F2272" s="11">
        <v>3.0</v>
      </c>
      <c r="G2272" s="11">
        <v>3.0</v>
      </c>
      <c r="H2272" s="11">
        <v>3.0</v>
      </c>
      <c r="I2272" s="11">
        <v>3.0</v>
      </c>
    </row>
    <row r="2273">
      <c r="A2273" s="10" t="s">
        <v>8670</v>
      </c>
      <c r="B2273" s="49" t="str">
        <f t="shared" si="1"/>
        <v>Poultry Disease Control Act</v>
      </c>
      <c r="C2273" s="49" t="str">
        <f t="shared" si="2"/>
        <v>Poultry Disease Control Act; Penalty for violation of act, K.S.A. 2-908 to 2-915</v>
      </c>
      <c r="D2273" s="49" t="str">
        <f t="shared" si="3"/>
        <v>2-916</v>
      </c>
      <c r="E2273" s="11" t="s">
        <v>133</v>
      </c>
      <c r="F2273" s="11">
        <v>3.0</v>
      </c>
      <c r="G2273" s="11">
        <v>3.0</v>
      </c>
      <c r="H2273" s="11">
        <v>3.0</v>
      </c>
      <c r="I2273" s="11">
        <v>3.0</v>
      </c>
    </row>
    <row r="2274">
      <c r="A2274" s="10" t="s">
        <v>8671</v>
      </c>
      <c r="B2274" s="49" t="str">
        <f t="shared" si="1"/>
        <v>Presenting False Claim</v>
      </c>
      <c r="C2274" s="49" t="str">
        <f t="shared" si="2"/>
        <v>Presenting False Claim; With intent to defraud; $25,000 or more</v>
      </c>
      <c r="D2274" s="49" t="str">
        <f t="shared" si="3"/>
        <v>21-6004(a)</v>
      </c>
      <c r="E2274" s="11" t="s">
        <v>133</v>
      </c>
      <c r="F2274" s="11">
        <v>3.0</v>
      </c>
      <c r="G2274" s="11">
        <v>3.0</v>
      </c>
      <c r="H2274" s="11">
        <v>3.0</v>
      </c>
      <c r="I2274" s="11">
        <v>3.0</v>
      </c>
    </row>
    <row r="2275">
      <c r="A2275" s="10" t="s">
        <v>8672</v>
      </c>
      <c r="B2275" s="49" t="str">
        <f t="shared" si="1"/>
        <v>Presenting False Claim</v>
      </c>
      <c r="C2275" s="49" t="str">
        <f t="shared" si="2"/>
        <v>Presenting False Claim; With intent to defraud; At least $1,000 but less than $25,000</v>
      </c>
      <c r="D2275" s="49" t="str">
        <f t="shared" si="3"/>
        <v>21-6004(a)</v>
      </c>
      <c r="E2275" s="11" t="s">
        <v>133</v>
      </c>
      <c r="F2275" s="11">
        <v>3.0</v>
      </c>
      <c r="G2275" s="11">
        <v>3.0</v>
      </c>
      <c r="H2275" s="11">
        <v>3.0</v>
      </c>
      <c r="I2275" s="11">
        <v>3.0</v>
      </c>
    </row>
    <row r="2276">
      <c r="A2276" s="10" t="s">
        <v>8673</v>
      </c>
      <c r="B2276" s="49" t="str">
        <f t="shared" si="1"/>
        <v>Presenting False Claim</v>
      </c>
      <c r="C2276" s="49" t="str">
        <f t="shared" si="2"/>
        <v>Presenting False Claim; With Intent to Defraud; claim less than $1,000</v>
      </c>
      <c r="D2276" s="49" t="str">
        <f t="shared" si="3"/>
        <v>21-6004(a)</v>
      </c>
      <c r="E2276" s="11" t="s">
        <v>133</v>
      </c>
      <c r="F2276" s="11">
        <v>3.0</v>
      </c>
      <c r="G2276" s="11">
        <v>3.0</v>
      </c>
      <c r="H2276" s="11">
        <v>3.0</v>
      </c>
      <c r="I2276" s="11">
        <v>3.0</v>
      </c>
    </row>
    <row r="2277">
      <c r="A2277" s="10" t="s">
        <v>8674</v>
      </c>
      <c r="B2277" s="49" t="str">
        <f t="shared" si="1"/>
        <v>Private &amp; Out-of-State Postsecondary Educational Institution Act</v>
      </c>
      <c r="C2277" s="49" t="str">
        <f t="shared" si="2"/>
        <v>Private &amp; Out-of-State Postsecondary Educational Institution Act; Accept contracts or enrollment applications from a representative who is not registered</v>
      </c>
      <c r="D2277" s="49" t="str">
        <f t="shared" si="3"/>
        <v>74-32,177(a)(3)</v>
      </c>
      <c r="E2277" s="11" t="s">
        <v>133</v>
      </c>
      <c r="F2277" s="11">
        <v>3.0</v>
      </c>
      <c r="G2277" s="11">
        <v>3.0</v>
      </c>
      <c r="H2277" s="11">
        <v>3.0</v>
      </c>
      <c r="I2277" s="11">
        <v>3.0</v>
      </c>
    </row>
    <row r="2278">
      <c r="A2278" s="10" t="s">
        <v>8675</v>
      </c>
      <c r="B2278" s="49" t="str">
        <f t="shared" si="1"/>
        <v>Private &amp; Out-of-State Postsecondary Educational Institution Act</v>
      </c>
      <c r="C2278" s="49" t="str">
        <f t="shared" si="2"/>
        <v>Private &amp; Out-of-State Postsecondary Educational Institution Act; Operate an institution without a certificate of approval</v>
      </c>
      <c r="D2278" s="49" t="str">
        <f t="shared" si="3"/>
        <v>74-32,177(a)(1)</v>
      </c>
      <c r="E2278" s="11" t="s">
        <v>133</v>
      </c>
      <c r="F2278" s="11">
        <v>3.0</v>
      </c>
      <c r="G2278" s="11">
        <v>3.0</v>
      </c>
      <c r="H2278" s="11">
        <v>3.0</v>
      </c>
      <c r="I2278" s="11">
        <v>3.0</v>
      </c>
    </row>
    <row r="2279">
      <c r="A2279" s="10" t="s">
        <v>8676</v>
      </c>
      <c r="B2279" s="49" t="str">
        <f t="shared" si="1"/>
        <v>Private &amp; Out-of-State Postsecondary Educational Institution Act</v>
      </c>
      <c r="C2279" s="49" t="str">
        <f t="shared" si="2"/>
        <v>Private &amp; Out-of-State Postsecondary Educational Institution Act; Solicit prospective students without being registered as required by this act</v>
      </c>
      <c r="D2279" s="49" t="str">
        <f t="shared" si="3"/>
        <v>74-32,177(a)(2)</v>
      </c>
      <c r="E2279" s="11" t="s">
        <v>133</v>
      </c>
      <c r="F2279" s="11">
        <v>3.0</v>
      </c>
      <c r="G2279" s="11">
        <v>3.0</v>
      </c>
      <c r="H2279" s="11">
        <v>3.0</v>
      </c>
      <c r="I2279" s="11">
        <v>3.0</v>
      </c>
    </row>
    <row r="2280">
      <c r="A2280" s="10" t="s">
        <v>8677</v>
      </c>
      <c r="B2280" s="49" t="str">
        <f t="shared" si="1"/>
        <v>Private &amp; Out-of-State Postsecondary Educational Institution Act</v>
      </c>
      <c r="C2280" s="49" t="str">
        <f t="shared" si="2"/>
        <v>Private &amp; Out-of-State Postsecondary Educational Institution Act; Unauthorized use of the term "accredited" in the name or advertisement of an institution</v>
      </c>
      <c r="D2280" s="49" t="str">
        <f t="shared" si="3"/>
        <v>74-32,177(a)(5)</v>
      </c>
      <c r="E2280" s="11" t="s">
        <v>133</v>
      </c>
      <c r="F2280" s="11">
        <v>3.0</v>
      </c>
      <c r="G2280" s="11">
        <v>3.0</v>
      </c>
      <c r="H2280" s="11">
        <v>3.0</v>
      </c>
      <c r="I2280" s="11">
        <v>3.0</v>
      </c>
    </row>
    <row r="2281">
      <c r="A2281" s="10" t="s">
        <v>8678</v>
      </c>
      <c r="B2281" s="49" t="str">
        <f t="shared" si="1"/>
        <v>Private &amp; Out-of-State Postsecondary Educational Institution Act</v>
      </c>
      <c r="C2281" s="49" t="str">
        <f t="shared" si="2"/>
        <v>Private &amp; Out-of-State Postsecondary Educational Institution Act; Unauthorized use of the term "university" in the name or advertisement of an institution</v>
      </c>
      <c r="D2281" s="49" t="str">
        <f t="shared" si="3"/>
        <v>74-32,177(a)(6)</v>
      </c>
      <c r="E2281" s="11" t="s">
        <v>133</v>
      </c>
      <c r="F2281" s="11">
        <v>3.0</v>
      </c>
      <c r="G2281" s="11">
        <v>3.0</v>
      </c>
      <c r="H2281" s="11">
        <v>3.0</v>
      </c>
      <c r="I2281" s="11">
        <v>3.0</v>
      </c>
    </row>
    <row r="2282">
      <c r="A2282" s="10" t="s">
        <v>8679</v>
      </c>
      <c r="B2282" s="49" t="str">
        <f t="shared" si="1"/>
        <v>Private &amp; Out-of-State Postsecondary Educational Institution Act</v>
      </c>
      <c r="C2282" s="49" t="str">
        <f t="shared" si="2"/>
        <v>Private &amp; Out-of-State Postsecondary Educational Institution Act; Use fraud or misrepresentation in advertising or in procuring enrollment of a student</v>
      </c>
      <c r="D2282" s="49" t="str">
        <f t="shared" si="3"/>
        <v>74-32,177(a)(4)</v>
      </c>
      <c r="E2282" s="11" t="s">
        <v>133</v>
      </c>
      <c r="F2282" s="11">
        <v>3.0</v>
      </c>
      <c r="G2282" s="11">
        <v>3.0</v>
      </c>
      <c r="H2282" s="11">
        <v>3.0</v>
      </c>
      <c r="I2282" s="11">
        <v>3.0</v>
      </c>
    </row>
    <row r="2283">
      <c r="A2283" s="10" t="s">
        <v>8680</v>
      </c>
      <c r="B2283" s="49" t="str">
        <f t="shared" si="1"/>
        <v>Private Investigative or Security Operations</v>
      </c>
      <c r="C2283" s="49" t="str">
        <f t="shared" si="2"/>
        <v>Private Investigative or Security Operations; Unreasonably fail to obey subpoena; refuse to be examined or to answer legal or pertinent question as to the character or qualification of applicant or licensee or such's business, business practices and methods or such violations</v>
      </c>
      <c r="D2283" s="49" t="str">
        <f t="shared" si="3"/>
        <v>75-7b15(e)</v>
      </c>
      <c r="E2283" s="11" t="s">
        <v>133</v>
      </c>
      <c r="F2283" s="11">
        <v>3.0</v>
      </c>
      <c r="G2283" s="11">
        <v>3.0</v>
      </c>
      <c r="H2283" s="11">
        <v>3.0</v>
      </c>
      <c r="I2283" s="11">
        <v>3.0</v>
      </c>
    </row>
    <row r="2284">
      <c r="A2284" s="10" t="s">
        <v>8681</v>
      </c>
      <c r="B2284" s="49" t="str">
        <f t="shared" si="1"/>
        <v>Prize Fights and Wrestling Matches Prohibited</v>
      </c>
      <c r="C2284" s="49" t="str">
        <f t="shared" si="2"/>
        <v>Prize Fights and Wrestling Matches Prohibited; exception</v>
      </c>
      <c r="D2284" s="49" t="str">
        <f t="shared" si="3"/>
        <v>21-1801(a)</v>
      </c>
      <c r="E2284" s="11" t="s">
        <v>133</v>
      </c>
      <c r="F2284" s="11">
        <v>3.0</v>
      </c>
      <c r="G2284" s="11">
        <v>3.0</v>
      </c>
      <c r="H2284" s="11">
        <v>3.0</v>
      </c>
      <c r="I2284" s="11">
        <v>3.0</v>
      </c>
    </row>
    <row r="2285">
      <c r="A2285" s="10" t="s">
        <v>8682</v>
      </c>
      <c r="B2285" s="49" t="str">
        <f t="shared" si="1"/>
        <v>Production &amp; Conservation of Natural Gas</v>
      </c>
      <c r="C2285" s="49" t="str">
        <f t="shared" si="2"/>
        <v>Production &amp; Conservation of Natural Gas; Any violation of act or valid order or rules or regulations of the commission</v>
      </c>
      <c r="D2285" s="49" t="str">
        <f t="shared" si="3"/>
        <v>55-708</v>
      </c>
      <c r="E2285" s="11" t="s">
        <v>133</v>
      </c>
      <c r="F2285" s="11">
        <v>3.0</v>
      </c>
      <c r="G2285" s="11">
        <v>3.0</v>
      </c>
      <c r="H2285" s="11">
        <v>3.0</v>
      </c>
      <c r="I2285" s="11">
        <v>3.0</v>
      </c>
    </row>
    <row r="2286">
      <c r="A2286" s="10" t="s">
        <v>8683</v>
      </c>
      <c r="B2286" s="49" t="str">
        <f t="shared" si="1"/>
        <v>Production &amp; Conservation of Natural Gas</v>
      </c>
      <c r="C2286" s="49" t="str">
        <f t="shared" si="2"/>
        <v>Production &amp; Conservation of Natural Gas; Waste of natural gas prohibited</v>
      </c>
      <c r="D2286" s="49" t="str">
        <f t="shared" si="3"/>
        <v>55-701</v>
      </c>
      <c r="E2286" s="11" t="s">
        <v>133</v>
      </c>
      <c r="F2286" s="11">
        <v>3.0</v>
      </c>
      <c r="G2286" s="11">
        <v>3.0</v>
      </c>
      <c r="H2286" s="11">
        <v>3.0</v>
      </c>
      <c r="I2286" s="11">
        <v>3.0</v>
      </c>
    </row>
    <row r="2287">
      <c r="A2287" s="10" t="s">
        <v>8684</v>
      </c>
      <c r="B2287" s="49" t="str">
        <f t="shared" si="1"/>
        <v>Professional Counselor</v>
      </c>
      <c r="C2287" s="49" t="str">
        <f t="shared" si="2"/>
        <v>Professional Counselor; Practice professional counseling as a clinical professional counselor without license; Represent oneself as a licensed clinical professional counselor without having such license</v>
      </c>
      <c r="D2287" s="49" t="str">
        <f t="shared" si="3"/>
        <v>65-5803(b)</v>
      </c>
      <c r="E2287" s="11" t="s">
        <v>133</v>
      </c>
      <c r="F2287" s="11">
        <v>3.0</v>
      </c>
      <c r="G2287" s="11">
        <v>3.0</v>
      </c>
      <c r="H2287" s="11">
        <v>3.0</v>
      </c>
      <c r="I2287" s="11">
        <v>3.0</v>
      </c>
    </row>
    <row r="2288">
      <c r="A2288" s="10" t="s">
        <v>8685</v>
      </c>
      <c r="B2288" s="49" t="str">
        <f t="shared" si="1"/>
        <v>Professional Counselor</v>
      </c>
      <c r="C2288" s="49" t="str">
        <f t="shared" si="2"/>
        <v>Professional Counselor; Practice professional counseling or represent oneself as a licensed professional counselor, licensed counselor or professional counselor without having such license</v>
      </c>
      <c r="D2288" s="49" t="str">
        <f t="shared" si="3"/>
        <v>65-5803(a)</v>
      </c>
      <c r="E2288" s="11" t="s">
        <v>133</v>
      </c>
      <c r="F2288" s="11">
        <v>3.0</v>
      </c>
      <c r="G2288" s="11">
        <v>3.0</v>
      </c>
      <c r="H2288" s="11">
        <v>3.0</v>
      </c>
      <c r="I2288" s="11">
        <v>3.0</v>
      </c>
    </row>
    <row r="2289">
      <c r="A2289" s="10" t="s">
        <v>8686</v>
      </c>
      <c r="B2289" s="49" t="str">
        <f t="shared" si="1"/>
        <v>Promoting Material to Minors that is Harmful</v>
      </c>
      <c r="C2289" s="49" t="str">
        <f t="shared" si="2"/>
        <v>Promoting Material to Minors that is Harmful; Knowingly display any material which is harmful to minors</v>
      </c>
      <c r="D2289" s="49" t="str">
        <f t="shared" si="3"/>
        <v>21-6402(a)(1)</v>
      </c>
      <c r="E2289" s="11" t="s">
        <v>133</v>
      </c>
      <c r="F2289" s="11">
        <v>3.0</v>
      </c>
      <c r="G2289" s="11">
        <v>3.0</v>
      </c>
      <c r="H2289" s="11">
        <v>3.0</v>
      </c>
      <c r="I2289" s="11">
        <v>3.0</v>
      </c>
    </row>
    <row r="2290">
      <c r="A2290" s="10" t="s">
        <v>8687</v>
      </c>
      <c r="B2290" s="49" t="str">
        <f t="shared" si="1"/>
        <v>Promoting Material to Minors that is Harmful</v>
      </c>
      <c r="C2290" s="49" t="str">
        <f t="shared" si="2"/>
        <v>Promoting Material to Minors that is Harmful; Knowingly present or distribute to a minor, or otherwise allowing a minor to view, with or without consideration, material harmful to minors</v>
      </c>
      <c r="D2290" s="49" t="str">
        <f t="shared" si="3"/>
        <v>21-6402(a)(2)</v>
      </c>
      <c r="E2290" s="11" t="s">
        <v>133</v>
      </c>
      <c r="F2290" s="11">
        <v>3.0</v>
      </c>
      <c r="G2290" s="11">
        <v>3.0</v>
      </c>
      <c r="H2290" s="11">
        <v>3.0</v>
      </c>
      <c r="I2290" s="11">
        <v>3.0</v>
      </c>
    </row>
    <row r="2291">
      <c r="A2291" s="10" t="s">
        <v>8688</v>
      </c>
      <c r="B2291" s="49" t="str">
        <f t="shared" si="1"/>
        <v>Promoting Material to Minors that is Harmful</v>
      </c>
      <c r="C2291" s="49" t="str">
        <f t="shared" si="2"/>
        <v>Promoting Material to Minors that is Harmful; Knowingly present to a minor, or participate in presenting to a minor, with or without consideration, any performance which is harmful to a minor</v>
      </c>
      <c r="D2291" s="49" t="str">
        <f t="shared" si="3"/>
        <v>21-6402(a)(3)</v>
      </c>
      <c r="E2291" s="11" t="s">
        <v>133</v>
      </c>
      <c r="F2291" s="11">
        <v>3.0</v>
      </c>
      <c r="G2291" s="11">
        <v>3.0</v>
      </c>
      <c r="H2291" s="11">
        <v>3.0</v>
      </c>
      <c r="I2291" s="11">
        <v>3.0</v>
      </c>
    </row>
    <row r="2292">
      <c r="A2292" s="10" t="s">
        <v>8689</v>
      </c>
      <c r="B2292" s="49" t="str">
        <f t="shared" si="1"/>
        <v>Promoting Obscenity to Minors</v>
      </c>
      <c r="C2292" s="49" t="str">
        <f t="shared" si="2"/>
        <v>Promoting Obscenity to Minors; 2nd or subs. offense</v>
      </c>
      <c r="D2292" s="49" t="str">
        <f t="shared" si="3"/>
        <v>21-6401(b)</v>
      </c>
      <c r="E2292" s="11" t="s">
        <v>133</v>
      </c>
      <c r="F2292" s="11">
        <v>3.0</v>
      </c>
      <c r="G2292" s="11">
        <v>3.0</v>
      </c>
      <c r="H2292" s="11">
        <v>3.0</v>
      </c>
      <c r="I2292" s="11">
        <v>3.0</v>
      </c>
    </row>
    <row r="2293">
      <c r="A2293" s="10" t="s">
        <v>8690</v>
      </c>
      <c r="B2293" s="49" t="str">
        <f t="shared" si="1"/>
        <v>Promoting Obscenity</v>
      </c>
      <c r="C2293" s="49" t="str">
        <f t="shared" si="2"/>
        <v>Promoting Obscenity; As defined in subsections (a)(1) - (a)(4); Where recipient is a child under 18 years of age; 1st offense</v>
      </c>
      <c r="D2293" s="49" t="str">
        <f t="shared" si="3"/>
        <v>21-6401(b)</v>
      </c>
      <c r="E2293" s="11" t="s">
        <v>133</v>
      </c>
      <c r="F2293" s="11">
        <v>3.0</v>
      </c>
      <c r="G2293" s="11">
        <v>3.0</v>
      </c>
      <c r="H2293" s="11">
        <v>3.0</v>
      </c>
      <c r="I2293" s="11">
        <v>3.0</v>
      </c>
    </row>
    <row r="2294">
      <c r="A2294" s="10" t="s">
        <v>8691</v>
      </c>
      <c r="B2294" s="49" t="str">
        <f t="shared" si="1"/>
        <v>Promoting Obscenity</v>
      </c>
      <c r="C2294" s="49" t="str">
        <f t="shared" si="2"/>
        <v>Promoting Obscenity; Recklessly manufacture, mail, transmit, publish, distribute, present, exhibit or advertise any obscene material or obscene device; 1st offense</v>
      </c>
      <c r="D2294" s="49" t="str">
        <f t="shared" si="3"/>
        <v>21-6401(a)(1)</v>
      </c>
      <c r="E2294" s="11" t="s">
        <v>133</v>
      </c>
      <c r="F2294" s="11">
        <v>3.0</v>
      </c>
      <c r="G2294" s="11">
        <v>3.0</v>
      </c>
      <c r="H2294" s="11">
        <v>3.0</v>
      </c>
      <c r="I2294" s="11">
        <v>3.0</v>
      </c>
    </row>
    <row r="2295">
      <c r="A2295" s="10" t="s">
        <v>8692</v>
      </c>
      <c r="B2295" s="49" t="str">
        <f t="shared" si="1"/>
        <v>Promoting Obscenity</v>
      </c>
      <c r="C2295" s="49" t="str">
        <f t="shared" si="2"/>
        <v>Promoting Obscenity; Recklessly manufacture/distribute/mail/transmit/exhibit/publish/present or advertise any obscene material or obscene device; 2nd or subs. offense</v>
      </c>
      <c r="D2295" s="49" t="str">
        <f t="shared" si="3"/>
        <v>21-6401(a)(1)</v>
      </c>
      <c r="E2295" s="11" t="s">
        <v>133</v>
      </c>
      <c r="F2295" s="11">
        <v>3.0</v>
      </c>
      <c r="G2295" s="11">
        <v>3.0</v>
      </c>
      <c r="H2295" s="11">
        <v>3.0</v>
      </c>
      <c r="I2295" s="11">
        <v>3.0</v>
      </c>
    </row>
    <row r="2296">
      <c r="A2296" s="10" t="s">
        <v>8693</v>
      </c>
      <c r="B2296" s="49" t="str">
        <f t="shared" si="1"/>
        <v>Promoting Obscenity</v>
      </c>
      <c r="C2296" s="49" t="str">
        <f t="shared" si="2"/>
        <v>Promoting Obscenity; Recklessly offer or agree to manufacture, mail, transmit, publish, distribute, present, exhibit or advertise any obscene material or obscene device; 1st offense</v>
      </c>
      <c r="D2296" s="49" t="str">
        <f t="shared" si="3"/>
        <v>21-6401(a)(3)</v>
      </c>
      <c r="E2296" s="11" t="s">
        <v>133</v>
      </c>
      <c r="F2296" s="11">
        <v>3.0</v>
      </c>
      <c r="G2296" s="11">
        <v>3.0</v>
      </c>
      <c r="H2296" s="11">
        <v>3.0</v>
      </c>
      <c r="I2296" s="11">
        <v>3.0</v>
      </c>
    </row>
    <row r="2297">
      <c r="A2297" s="10" t="s">
        <v>8694</v>
      </c>
      <c r="B2297" s="49" t="str">
        <f t="shared" si="1"/>
        <v>Promoting Obscenity</v>
      </c>
      <c r="C2297" s="49" t="str">
        <f t="shared" si="2"/>
        <v>Promoting Obscenity; Recklessly offer or agree to manufacture/distribute/mail/transmit/exhibit/publish/present or advertise any obscene material or obscene device; 2nd or subs. offense</v>
      </c>
      <c r="D2297" s="49" t="str">
        <f t="shared" si="3"/>
        <v>21-6401(a)(3)</v>
      </c>
      <c r="E2297" s="11" t="s">
        <v>133</v>
      </c>
      <c r="F2297" s="11">
        <v>3.0</v>
      </c>
      <c r="G2297" s="11">
        <v>3.0</v>
      </c>
      <c r="H2297" s="11">
        <v>3.0</v>
      </c>
      <c r="I2297" s="11">
        <v>3.0</v>
      </c>
    </row>
    <row r="2298">
      <c r="A2298" s="10" t="s">
        <v>8695</v>
      </c>
      <c r="B2298" s="49" t="str">
        <f t="shared" si="1"/>
        <v>Promoting Obscenity</v>
      </c>
      <c r="C2298" s="49" t="str">
        <f t="shared" si="2"/>
        <v>Promoting Obscenity; Recklessly possess any obscene material or obscene device with intent to issue/mail/transmit/distribute/exhibit/publish/present or advertise such material or device; 2nd or subs. offense</v>
      </c>
      <c r="D2298" s="49" t="str">
        <f t="shared" si="3"/>
        <v>21-6401(a)(2)</v>
      </c>
      <c r="E2298" s="11" t="s">
        <v>133</v>
      </c>
      <c r="F2298" s="11">
        <v>3.0</v>
      </c>
      <c r="G2298" s="11">
        <v>3.0</v>
      </c>
      <c r="H2298" s="11">
        <v>3.0</v>
      </c>
      <c r="I2298" s="11">
        <v>3.0</v>
      </c>
    </row>
    <row r="2299">
      <c r="A2299" s="10" t="s">
        <v>8696</v>
      </c>
      <c r="B2299" s="49" t="str">
        <f t="shared" si="1"/>
        <v>Promoting Obscenity</v>
      </c>
      <c r="C2299" s="49" t="str">
        <f t="shared" si="2"/>
        <v>Promoting Obscenity; Recklessly possess any obscene material or obscene device with intent to mail, transmit, publish, distribute, present, exhibit or advertise such material or device; 1st offense</v>
      </c>
      <c r="D2299" s="49" t="str">
        <f t="shared" si="3"/>
        <v>21-6401(a)(2)</v>
      </c>
      <c r="E2299" s="11" t="s">
        <v>133</v>
      </c>
      <c r="F2299" s="11">
        <v>3.0</v>
      </c>
      <c r="G2299" s="11">
        <v>3.0</v>
      </c>
      <c r="H2299" s="11">
        <v>3.0</v>
      </c>
      <c r="I2299" s="11">
        <v>3.0</v>
      </c>
    </row>
    <row r="2300">
      <c r="A2300" s="10" t="s">
        <v>8697</v>
      </c>
      <c r="B2300" s="49" t="str">
        <f t="shared" si="1"/>
        <v>Promoting Obscenity</v>
      </c>
      <c r="C2300" s="49" t="str">
        <f t="shared" si="2"/>
        <v>Promoting Obscenity; Recklessly produce, present or direct an obscene performance or participate in a portion thereof which is obscene or which contributes to its obscenity; 1st offense</v>
      </c>
      <c r="D2300" s="49" t="str">
        <f t="shared" si="3"/>
        <v>21-6401(a)(4)</v>
      </c>
      <c r="E2300" s="11" t="s">
        <v>133</v>
      </c>
      <c r="F2300" s="11">
        <v>3.0</v>
      </c>
      <c r="G2300" s="11">
        <v>3.0</v>
      </c>
      <c r="H2300" s="11">
        <v>3.0</v>
      </c>
      <c r="I2300" s="11">
        <v>3.0</v>
      </c>
    </row>
    <row r="2301">
      <c r="A2301" s="10" t="s">
        <v>8698</v>
      </c>
      <c r="B2301" s="49" t="str">
        <f t="shared" si="1"/>
        <v>Promoting Obscenity</v>
      </c>
      <c r="C2301" s="49" t="str">
        <f t="shared" si="2"/>
        <v>Promoting Obscenity; Recklessly produce, present or direct an obscene performance or participate in a portion thereof which is obscene or which contributes to its obscenity; 2nd or subs. offense</v>
      </c>
      <c r="D2301" s="49" t="str">
        <f t="shared" si="3"/>
        <v>21-6401(a)(4)</v>
      </c>
      <c r="E2301" s="11" t="s">
        <v>133</v>
      </c>
      <c r="F2301" s="11">
        <v>3.0</v>
      </c>
      <c r="G2301" s="11">
        <v>3.0</v>
      </c>
      <c r="H2301" s="11">
        <v>3.0</v>
      </c>
      <c r="I2301" s="11">
        <v>3.0</v>
      </c>
    </row>
    <row r="2302">
      <c r="A2302" s="10" t="s">
        <v>8699</v>
      </c>
      <c r="B2302" s="49" t="str">
        <f t="shared" si="1"/>
        <v>Promoting the Sale of Sexual Relations</v>
      </c>
      <c r="C2302" s="49" t="str">
        <f t="shared" si="2"/>
        <v>Promoting the Sale of Sexual Relations; Being employed to perform any act prohibited by this section offender has no prior convictions under this section</v>
      </c>
      <c r="D2302" s="49" t="str">
        <f t="shared" si="3"/>
        <v>21-6420(a)(8)</v>
      </c>
      <c r="E2302" s="11" t="s">
        <v>133</v>
      </c>
      <c r="F2302" s="11">
        <v>3.0</v>
      </c>
      <c r="G2302" s="11">
        <v>3.0</v>
      </c>
      <c r="H2302" s="11">
        <v>3.0</v>
      </c>
      <c r="I2302" s="11">
        <v>3.0</v>
      </c>
    </row>
    <row r="2303">
      <c r="A2303" s="10" t="s">
        <v>8700</v>
      </c>
      <c r="B2303" s="49" t="str">
        <f t="shared" si="1"/>
        <v>Promoting the Sale of Sexual Relations</v>
      </c>
      <c r="C2303" s="49" t="str">
        <f t="shared" si="2"/>
        <v>Promoting the Sale of Sexual Relations; Being employed to perform any act prohibited by this section offender has prior conviction under this section</v>
      </c>
      <c r="D2303" s="49" t="str">
        <f t="shared" si="3"/>
        <v>21-6420(a)(8)</v>
      </c>
      <c r="E2303" s="11" t="s">
        <v>133</v>
      </c>
      <c r="F2303" s="11">
        <v>3.0</v>
      </c>
      <c r="G2303" s="11">
        <v>3.0</v>
      </c>
      <c r="H2303" s="11">
        <v>3.0</v>
      </c>
      <c r="I2303" s="11">
        <v>3.0</v>
      </c>
    </row>
    <row r="2304">
      <c r="A2304" s="10" t="s">
        <v>8701</v>
      </c>
      <c r="B2304" s="49" t="str">
        <f t="shared" si="1"/>
        <v>Promoting the Sale of Sexual Relations</v>
      </c>
      <c r="C2304" s="49" t="str">
        <f t="shared" si="2"/>
        <v>Promoting the Sale of Sexual Relations; Knowingly establishing, owning, maintaining or managing property where sexual relations are sold by a person 18 or older; offender has no prior convictions under this section</v>
      </c>
      <c r="D2304" s="49" t="str">
        <f t="shared" si="3"/>
        <v>21-6420(a)(1)</v>
      </c>
      <c r="E2304" s="11" t="s">
        <v>133</v>
      </c>
      <c r="F2304" s="11">
        <v>3.0</v>
      </c>
      <c r="G2304" s="11">
        <v>3.0</v>
      </c>
      <c r="H2304" s="11">
        <v>3.0</v>
      </c>
      <c r="I2304" s="11">
        <v>3.0</v>
      </c>
    </row>
    <row r="2305">
      <c r="A2305" s="10" t="s">
        <v>8702</v>
      </c>
      <c r="B2305" s="49" t="str">
        <f t="shared" si="1"/>
        <v>Promoting the Sale of Sexual Relations</v>
      </c>
      <c r="C2305" s="49" t="str">
        <f t="shared" si="2"/>
        <v>Promoting the Sale of Sexual Relations; Knowingly establishing, owning, maintaining or managing property where sexual relations are sold by a person 18 or older; offender has prior conviction under this section</v>
      </c>
      <c r="D2305" s="49" t="str">
        <f t="shared" si="3"/>
        <v>21-6420(a)(1)</v>
      </c>
      <c r="E2305" s="11" t="s">
        <v>133</v>
      </c>
      <c r="F2305" s="11">
        <v>3.0</v>
      </c>
      <c r="G2305" s="11">
        <v>3.0</v>
      </c>
      <c r="H2305" s="11">
        <v>3.0</v>
      </c>
      <c r="I2305" s="11">
        <v>3.0</v>
      </c>
    </row>
    <row r="2306">
      <c r="A2306" s="10" t="s">
        <v>8703</v>
      </c>
      <c r="B2306" s="49" t="str">
        <f t="shared" si="1"/>
        <v>Promoting the Sale of Sexual Relations</v>
      </c>
      <c r="C2306" s="49" t="str">
        <f t="shared" si="2"/>
        <v>Promoting the Sale of Sexual Relations; Knowingly inducing a person 18 or older to become a person who sells sexual relations; offender has no prior convictions under this section</v>
      </c>
      <c r="D2306" s="49" t="str">
        <f t="shared" si="3"/>
        <v>21-6420(a)(4)</v>
      </c>
      <c r="E2306" s="11" t="s">
        <v>133</v>
      </c>
      <c r="F2306" s="11">
        <v>3.0</v>
      </c>
      <c r="G2306" s="11">
        <v>3.0</v>
      </c>
      <c r="H2306" s="11">
        <v>3.0</v>
      </c>
      <c r="I2306" s="11">
        <v>3.0</v>
      </c>
    </row>
    <row r="2307">
      <c r="A2307" s="10" t="s">
        <v>8704</v>
      </c>
      <c r="B2307" s="49" t="str">
        <f t="shared" si="1"/>
        <v>Promoting the Sale of Sexual Relations</v>
      </c>
      <c r="C2307" s="49" t="str">
        <f t="shared" si="2"/>
        <v>Promoting the Sale of Sexual Relations; Knowingly inducing a person 18 or older to become a person who sells sexual relations; offender has prior conviction under this section</v>
      </c>
      <c r="D2307" s="49" t="str">
        <f t="shared" si="3"/>
        <v>21-6420(a)(4)</v>
      </c>
      <c r="E2307" s="11" t="s">
        <v>133</v>
      </c>
      <c r="F2307" s="11">
        <v>3.0</v>
      </c>
      <c r="G2307" s="11">
        <v>3.0</v>
      </c>
      <c r="H2307" s="11">
        <v>3.0</v>
      </c>
      <c r="I2307" s="11">
        <v>3.0</v>
      </c>
    </row>
    <row r="2308">
      <c r="A2308" s="10" t="s">
        <v>8705</v>
      </c>
      <c r="B2308" s="49" t="str">
        <f t="shared" si="1"/>
        <v>Promoting the Sale of Sexual Relations</v>
      </c>
      <c r="C2308" s="49" t="str">
        <f t="shared" si="2"/>
        <v>Promoting the Sale of Sexual Relations; Knowingly permit property to be used as place where sexual relations are offered or sold by a person 18 or older; offender has no prior convictions under this section</v>
      </c>
      <c r="D2308" s="49" t="str">
        <f t="shared" si="3"/>
        <v>21-6420(a)(2)</v>
      </c>
      <c r="E2308" s="11" t="s">
        <v>133</v>
      </c>
      <c r="F2308" s="11">
        <v>3.0</v>
      </c>
      <c r="G2308" s="11">
        <v>3.0</v>
      </c>
      <c r="H2308" s="11">
        <v>3.0</v>
      </c>
      <c r="I2308" s="11">
        <v>3.0</v>
      </c>
    </row>
    <row r="2309">
      <c r="A2309" s="10" t="s">
        <v>8706</v>
      </c>
      <c r="B2309" s="49" t="str">
        <f t="shared" si="1"/>
        <v>Promoting the Sale of Sexual Relations</v>
      </c>
      <c r="C2309" s="49" t="str">
        <f t="shared" si="2"/>
        <v>Promoting the Sale of Sexual Relations; Knowingly permit property to be used as place where sexual relations are offered or sold by a person 18 or older; offender has prior conviction under this section</v>
      </c>
      <c r="D2309" s="49" t="str">
        <f t="shared" si="3"/>
        <v>21-6420(a)(2)</v>
      </c>
      <c r="E2309" s="11" t="s">
        <v>133</v>
      </c>
      <c r="F2309" s="11">
        <v>3.0</v>
      </c>
      <c r="G2309" s="11">
        <v>3.0</v>
      </c>
      <c r="H2309" s="11">
        <v>3.0</v>
      </c>
      <c r="I2309" s="11">
        <v>3.0</v>
      </c>
    </row>
    <row r="2310">
      <c r="A2310" s="10" t="s">
        <v>8707</v>
      </c>
      <c r="B2310" s="49" t="str">
        <f t="shared" si="1"/>
        <v>Promoting the Sale of Sexual Relations</v>
      </c>
      <c r="C2310" s="49" t="str">
        <f t="shared" si="2"/>
        <v>Promoting the Sale of Sexual Relations; Knowingly procuring a person 18 or older selling sexual relations for a patron offender has no prior convictions under this section</v>
      </c>
      <c r="D2310" s="49" t="str">
        <f t="shared" si="3"/>
        <v>21-6420(a)(6)</v>
      </c>
      <c r="E2310" s="11" t="s">
        <v>133</v>
      </c>
      <c r="F2310" s="11">
        <v>3.0</v>
      </c>
      <c r="G2310" s="11">
        <v>3.0</v>
      </c>
      <c r="H2310" s="11">
        <v>3.0</v>
      </c>
      <c r="I2310" s="11">
        <v>3.0</v>
      </c>
    </row>
    <row r="2311">
      <c r="A2311" s="10" t="s">
        <v>8708</v>
      </c>
      <c r="B2311" s="49" t="str">
        <f t="shared" si="1"/>
        <v>Promoting the Sale of Sexual Relations</v>
      </c>
      <c r="C2311" s="49" t="str">
        <f t="shared" si="2"/>
        <v>Promoting the Sale of Sexual Relations; Knowingly procuring a person 18 or older selling sexual relations for a patron offender has prior conviction under this section</v>
      </c>
      <c r="D2311" s="49" t="str">
        <f t="shared" si="3"/>
        <v>21-6420(a)(6)</v>
      </c>
      <c r="E2311" s="11" t="s">
        <v>133</v>
      </c>
      <c r="F2311" s="11">
        <v>3.0</v>
      </c>
      <c r="G2311" s="11">
        <v>3.0</v>
      </c>
      <c r="H2311" s="11">
        <v>3.0</v>
      </c>
      <c r="I2311" s="11">
        <v>3.0</v>
      </c>
    </row>
    <row r="2312">
      <c r="A2312" s="10" t="s">
        <v>8709</v>
      </c>
      <c r="B2312" s="49" t="str">
        <f t="shared" si="1"/>
        <v>Promoting the Sale of Sexual Relations</v>
      </c>
      <c r="C2312" s="49" t="str">
        <f t="shared" si="2"/>
        <v>Promoting the Sale of Sexual Relations; Knowingly procuring a person 18 or older selling sexual relations for a place where sexual relations are sold; offender has no prior convictions under this section</v>
      </c>
      <c r="D2312" s="49" t="str">
        <f t="shared" si="3"/>
        <v>21-6420(a)(3)</v>
      </c>
      <c r="E2312" s="11" t="s">
        <v>133</v>
      </c>
      <c r="F2312" s="11">
        <v>3.0</v>
      </c>
      <c r="G2312" s="11">
        <v>3.0</v>
      </c>
      <c r="H2312" s="11">
        <v>3.0</v>
      </c>
      <c r="I2312" s="11">
        <v>3.0</v>
      </c>
    </row>
    <row r="2313">
      <c r="A2313" s="10" t="s">
        <v>8710</v>
      </c>
      <c r="B2313" s="49" t="str">
        <f t="shared" si="1"/>
        <v>Promoting the Sale of Sexual Relations</v>
      </c>
      <c r="C2313" s="49" t="str">
        <f t="shared" si="2"/>
        <v>Promoting the Sale of Sexual Relations; Knowingly procuring a person 18 or older selling sexual relations for a place where sexual relations are sold; offender has prior conviction under this section</v>
      </c>
      <c r="D2313" s="49" t="str">
        <f t="shared" si="3"/>
        <v>21-6420(a)(3)</v>
      </c>
      <c r="E2313" s="11" t="s">
        <v>133</v>
      </c>
      <c r="F2313" s="11">
        <v>3.0</v>
      </c>
      <c r="G2313" s="11">
        <v>3.0</v>
      </c>
      <c r="H2313" s="11">
        <v>3.0</v>
      </c>
      <c r="I2313" s="11">
        <v>3.0</v>
      </c>
    </row>
    <row r="2314">
      <c r="A2314" s="10" t="s">
        <v>8711</v>
      </c>
      <c r="B2314" s="49" t="str">
        <f t="shared" si="1"/>
        <v>Promoting the Sale of Sexual Relations</v>
      </c>
      <c r="C2314" s="49" t="str">
        <f t="shared" si="2"/>
        <v>Promoting the Sale of Sexual Relations; Knowingly soliciting a patron for a person 18 or older selling sexual relations or a place where sexual relations are sold offender has no prior convictions under this section</v>
      </c>
      <c r="D2314" s="49" t="str">
        <f t="shared" si="3"/>
        <v>21-6420(a)(5)</v>
      </c>
      <c r="E2314" s="11" t="s">
        <v>133</v>
      </c>
      <c r="F2314" s="11">
        <v>3.0</v>
      </c>
      <c r="G2314" s="11">
        <v>3.0</v>
      </c>
      <c r="H2314" s="11">
        <v>3.0</v>
      </c>
      <c r="I2314" s="11">
        <v>3.0</v>
      </c>
    </row>
    <row r="2315">
      <c r="A2315" s="10" t="s">
        <v>8712</v>
      </c>
      <c r="B2315" s="49" t="str">
        <f t="shared" si="1"/>
        <v>Promoting the Sale of Sexual Relations</v>
      </c>
      <c r="C2315" s="49" t="str">
        <f t="shared" si="2"/>
        <v>Promoting the Sale of Sexual Relations; Knowingly soliciting a patron for a person 18 or older selling sexual relations or a place where sexual relations are sold offender has prior conviction under this section</v>
      </c>
      <c r="D2315" s="49" t="str">
        <f t="shared" si="3"/>
        <v>21-6420(a)(5)</v>
      </c>
      <c r="E2315" s="11" t="s">
        <v>133</v>
      </c>
      <c r="F2315" s="11">
        <v>3.0</v>
      </c>
      <c r="G2315" s="11">
        <v>3.0</v>
      </c>
      <c r="H2315" s="11">
        <v>3.0</v>
      </c>
      <c r="I2315" s="11">
        <v>3.0</v>
      </c>
    </row>
    <row r="2316">
      <c r="A2316" s="10" t="s">
        <v>8713</v>
      </c>
      <c r="B2316" s="49" t="str">
        <f t="shared" si="1"/>
        <v>Promoting the Sale of Sexual Relations</v>
      </c>
      <c r="C2316" s="49" t="str">
        <f t="shared" si="2"/>
        <v>Promoting the Sale of Sexual Relations; Knowingly transporting a person 18 or older within the state for promoting or assisting the selling of sexual relations offender has no prior convictions under this section</v>
      </c>
      <c r="D2316" s="49" t="str">
        <f t="shared" si="3"/>
        <v>21-6420(a)(7)</v>
      </c>
      <c r="E2316" s="11" t="s">
        <v>133</v>
      </c>
      <c r="F2316" s="11">
        <v>3.0</v>
      </c>
      <c r="G2316" s="11">
        <v>3.0</v>
      </c>
      <c r="H2316" s="11">
        <v>3.0</v>
      </c>
      <c r="I2316" s="11">
        <v>3.0</v>
      </c>
    </row>
    <row r="2317">
      <c r="A2317" s="10" t="s">
        <v>8714</v>
      </c>
      <c r="B2317" s="49" t="str">
        <f t="shared" si="1"/>
        <v>Promoting the Sale of Sexual Relations</v>
      </c>
      <c r="C2317" s="49" t="str">
        <f t="shared" si="2"/>
        <v>Promoting the Sale of Sexual Relations; Knowingly transporting a person 18 or older within the state for promoting or assisting the selling of sexual relations offender has prior conviction under this section</v>
      </c>
      <c r="D2317" s="49" t="str">
        <f t="shared" si="3"/>
        <v>21-6420(a)(7)</v>
      </c>
      <c r="E2317" s="11" t="s">
        <v>133</v>
      </c>
      <c r="F2317" s="11">
        <v>3.0</v>
      </c>
      <c r="G2317" s="11">
        <v>3.0</v>
      </c>
      <c r="H2317" s="11">
        <v>3.0</v>
      </c>
      <c r="I2317" s="11">
        <v>3.0</v>
      </c>
    </row>
    <row r="2318">
      <c r="A2318" s="10" t="s">
        <v>8715</v>
      </c>
      <c r="B2318" s="49" t="str">
        <f t="shared" si="1"/>
        <v>Protection Orders</v>
      </c>
      <c r="C2318" s="49" t="str">
        <f t="shared" si="2"/>
        <v>Protection Orders; Knowingly violate a protection from abuse order</v>
      </c>
      <c r="D2318" s="49" t="str">
        <f t="shared" si="3"/>
        <v>21-5924(a)(1)</v>
      </c>
      <c r="E2318" s="11" t="s">
        <v>133</v>
      </c>
      <c r="F2318" s="11">
        <v>3.0</v>
      </c>
      <c r="G2318" s="11">
        <v>3.0</v>
      </c>
      <c r="H2318" s="11">
        <v>3.0</v>
      </c>
      <c r="I2318" s="11">
        <v>3.0</v>
      </c>
    </row>
    <row r="2319">
      <c r="A2319" s="10" t="s">
        <v>8716</v>
      </c>
      <c r="B2319" s="49" t="str">
        <f t="shared" si="1"/>
        <v>Protection Orders</v>
      </c>
      <c r="C2319" s="49" t="str">
        <f t="shared" si="2"/>
        <v>Protection Orders; Knowingly violate a protection from stalking order</v>
      </c>
      <c r="D2319" s="49" t="str">
        <f t="shared" si="3"/>
        <v>21-5924(a)(6)</v>
      </c>
      <c r="E2319" s="11" t="s">
        <v>133</v>
      </c>
      <c r="F2319" s="11">
        <v>3.0</v>
      </c>
      <c r="G2319" s="11">
        <v>3.0</v>
      </c>
      <c r="H2319" s="11">
        <v>3.0</v>
      </c>
      <c r="I2319" s="11">
        <v>3.0</v>
      </c>
    </row>
    <row r="2320">
      <c r="A2320" s="10" t="s">
        <v>8717</v>
      </c>
      <c r="B2320" s="49" t="str">
        <f t="shared" si="1"/>
        <v>Protection Orders</v>
      </c>
      <c r="C2320" s="49" t="str">
        <f t="shared" si="2"/>
        <v>Protection Orders; Knowingly violate a protective order issued by a court or tribunal of any state or Indian tribe</v>
      </c>
      <c r="D2320" s="49" t="str">
        <f t="shared" si="3"/>
        <v>21-5924(a)(2)</v>
      </c>
      <c r="E2320" s="11" t="s">
        <v>133</v>
      </c>
      <c r="F2320" s="11">
        <v>3.0</v>
      </c>
      <c r="G2320" s="11">
        <v>3.0</v>
      </c>
      <c r="H2320" s="11">
        <v>3.0</v>
      </c>
      <c r="I2320" s="11">
        <v>3.0</v>
      </c>
    </row>
    <row r="2321">
      <c r="A2321" s="10" t="s">
        <v>8718</v>
      </c>
      <c r="B2321" s="49" t="str">
        <f t="shared" si="1"/>
        <v>Protection Orders</v>
      </c>
      <c r="C2321" s="49" t="str">
        <f t="shared" si="2"/>
        <v>Protection Orders; Knowingly violate a restraining order</v>
      </c>
      <c r="D2321" s="49" t="str">
        <f t="shared" si="3"/>
        <v>21-5924(a)(3)</v>
      </c>
      <c r="E2321" s="11" t="s">
        <v>133</v>
      </c>
      <c r="F2321" s="11">
        <v>3.0</v>
      </c>
      <c r="G2321" s="11">
        <v>3.0</v>
      </c>
      <c r="H2321" s="11">
        <v>3.0</v>
      </c>
      <c r="I2321" s="11">
        <v>3.0</v>
      </c>
    </row>
    <row r="2322">
      <c r="A2322" s="10" t="s">
        <v>8719</v>
      </c>
      <c r="B2322" s="49" t="str">
        <f t="shared" si="1"/>
        <v>Protection Orders</v>
      </c>
      <c r="C2322" s="49" t="str">
        <f t="shared" si="2"/>
        <v>Protection Orders; Knowingly violate an extended protective order of abuse or stalking</v>
      </c>
      <c r="D2322" s="49" t="str">
        <f t="shared" si="3"/>
        <v>21-5924(b)(2)</v>
      </c>
      <c r="E2322" s="11" t="s">
        <v>133</v>
      </c>
      <c r="F2322" s="11">
        <v>3.0</v>
      </c>
      <c r="G2322" s="11">
        <v>3.0</v>
      </c>
      <c r="H2322" s="11">
        <v>3.0</v>
      </c>
      <c r="I2322" s="11">
        <v>3.0</v>
      </c>
    </row>
    <row r="2323">
      <c r="A2323" s="10" t="s">
        <v>8720</v>
      </c>
      <c r="B2323" s="49" t="str">
        <f t="shared" si="1"/>
        <v>Protection Orders</v>
      </c>
      <c r="C2323" s="49" t="str">
        <f t="shared" si="2"/>
        <v>Protection Orders; Knowingly violate an order issued as a condition of pretrial release, diversion, probation, suspended sentence or postrelease supervision</v>
      </c>
      <c r="D2323" s="49" t="str">
        <f t="shared" si="3"/>
        <v>21-5924(a)(4)</v>
      </c>
      <c r="E2323" s="11" t="s">
        <v>133</v>
      </c>
      <c r="F2323" s="11">
        <v>3.0</v>
      </c>
      <c r="G2323" s="11">
        <v>3.0</v>
      </c>
      <c r="H2323" s="11">
        <v>3.0</v>
      </c>
      <c r="I2323" s="11">
        <v>3.0</v>
      </c>
    </row>
    <row r="2324">
      <c r="A2324" s="10" t="s">
        <v>8721</v>
      </c>
      <c r="B2324" s="49" t="str">
        <f t="shared" si="1"/>
        <v>Protection Orders</v>
      </c>
      <c r="C2324" s="49" t="str">
        <f t="shared" si="2"/>
        <v>Protection Orders; Knowingly violate an order issued as a condition of release after conviction or as a condition of a supersedes bond pending disposition of an appeal</v>
      </c>
      <c r="D2324" s="49" t="str">
        <f t="shared" si="3"/>
        <v>21-5924(a)(5)</v>
      </c>
      <c r="E2324" s="11" t="s">
        <v>133</v>
      </c>
      <c r="F2324" s="11">
        <v>3.0</v>
      </c>
      <c r="G2324" s="11">
        <v>3.0</v>
      </c>
      <c r="H2324" s="11">
        <v>3.0</v>
      </c>
      <c r="I2324" s="11">
        <v>3.0</v>
      </c>
    </row>
    <row r="2325">
      <c r="A2325" s="10" t="s">
        <v>8722</v>
      </c>
      <c r="B2325" s="49" t="str">
        <f t="shared" si="1"/>
        <v>Psychologists</v>
      </c>
      <c r="C2325" s="49" t="str">
        <f t="shared" si="2"/>
        <v>Psychologists; Intentionally represent to the public that one is endorsed in a specialty if not so endorsed</v>
      </c>
      <c r="D2325" s="49" t="str">
        <f t="shared" si="3"/>
        <v>74-5349(c)</v>
      </c>
      <c r="E2325" s="11" t="s">
        <v>133</v>
      </c>
      <c r="F2325" s="11">
        <v>3.0</v>
      </c>
      <c r="G2325" s="11">
        <v>3.0</v>
      </c>
      <c r="H2325" s="11">
        <v>3.0</v>
      </c>
      <c r="I2325" s="11">
        <v>3.0</v>
      </c>
    </row>
    <row r="2326">
      <c r="A2326" s="10" t="s">
        <v>8723</v>
      </c>
      <c r="B2326" s="49" t="str">
        <f t="shared" si="1"/>
        <v>Psychologists</v>
      </c>
      <c r="C2326" s="49" t="str">
        <f t="shared" si="2"/>
        <v>Psychologists; Practice masters level psychology or hold oneself out as a licensed clinical psychotherapist without holding such license</v>
      </c>
      <c r="D2326" s="49" t="str">
        <f t="shared" si="3"/>
        <v>74-5371(b)</v>
      </c>
      <c r="E2326" s="11" t="s">
        <v>133</v>
      </c>
      <c r="F2326" s="11">
        <v>3.0</v>
      </c>
      <c r="G2326" s="11">
        <v>3.0</v>
      </c>
      <c r="H2326" s="11">
        <v>3.0</v>
      </c>
      <c r="I2326" s="11">
        <v>3.0</v>
      </c>
    </row>
    <row r="2327">
      <c r="A2327" s="10" t="s">
        <v>8724</v>
      </c>
      <c r="B2327" s="49" t="str">
        <f t="shared" si="1"/>
        <v>Psychologists</v>
      </c>
      <c r="C2327" s="49" t="str">
        <f t="shared" si="2"/>
        <v>Psychologists; Practice masters level psychology or hold oneself out as a licensed masters level psychologist without holding a valid license</v>
      </c>
      <c r="D2327" s="49" t="str">
        <f t="shared" si="3"/>
        <v>74-5371(a)</v>
      </c>
      <c r="E2327" s="11" t="s">
        <v>133</v>
      </c>
      <c r="F2327" s="11">
        <v>3.0</v>
      </c>
      <c r="G2327" s="11">
        <v>3.0</v>
      </c>
      <c r="H2327" s="11">
        <v>3.0</v>
      </c>
      <c r="I2327" s="11">
        <v>3.0</v>
      </c>
    </row>
    <row r="2328">
      <c r="A2328" s="10" t="s">
        <v>8725</v>
      </c>
      <c r="B2328" s="49" t="str">
        <f t="shared" si="1"/>
        <v>Psychologists</v>
      </c>
      <c r="C2328" s="49" t="str">
        <f t="shared" si="2"/>
        <v>Psychologists; Represent oneself to be a psychologist without a valid, existing license as a psychologist issued by the board</v>
      </c>
      <c r="D2328" s="49" t="str">
        <f t="shared" si="3"/>
        <v>74-5340</v>
      </c>
      <c r="E2328" s="11" t="s">
        <v>133</v>
      </c>
      <c r="F2328" s="11">
        <v>3.0</v>
      </c>
      <c r="G2328" s="11">
        <v>3.0</v>
      </c>
      <c r="H2328" s="11">
        <v>3.0</v>
      </c>
      <c r="I2328" s="11">
        <v>3.0</v>
      </c>
    </row>
    <row r="2329">
      <c r="A2329" s="10" t="s">
        <v>8726</v>
      </c>
      <c r="B2329" s="49" t="str">
        <f t="shared" si="1"/>
        <v>Public Employees Retirement Systems</v>
      </c>
      <c r="C2329" s="49" t="str">
        <f t="shared" si="2"/>
        <v>Public Employees Retirement Systems; Serving on the board while knowingly obtaining substantial interests in any nonpublicly traded investment with moneys of the fund</v>
      </c>
      <c r="D2329" s="49" t="str">
        <f t="shared" si="3"/>
        <v>74-4905(f)</v>
      </c>
      <c r="E2329" s="11" t="s">
        <v>133</v>
      </c>
      <c r="F2329" s="11">
        <v>3.0</v>
      </c>
      <c r="G2329" s="11">
        <v>3.0</v>
      </c>
      <c r="H2329" s="11">
        <v>3.0</v>
      </c>
      <c r="I2329" s="11">
        <v>3.0</v>
      </c>
    </row>
    <row r="2330">
      <c r="A2330" s="10" t="s">
        <v>8727</v>
      </c>
      <c r="B2330" s="49" t="str">
        <f t="shared" si="1"/>
        <v>Public Health</v>
      </c>
      <c r="C2330" s="49" t="str">
        <f t="shared" si="2"/>
        <v>Public Health; Amygdalin (Laetrile); distributing amygdalin (laetrile) at wholesale without permit</v>
      </c>
      <c r="D2330" s="49" t="str">
        <f t="shared" si="3"/>
        <v>65-6b08(b)</v>
      </c>
      <c r="E2330" s="11" t="s">
        <v>133</v>
      </c>
      <c r="F2330" s="11">
        <v>3.0</v>
      </c>
      <c r="G2330" s="11">
        <v>3.0</v>
      </c>
      <c r="H2330" s="11">
        <v>3.0</v>
      </c>
      <c r="I2330" s="11">
        <v>3.0</v>
      </c>
    </row>
    <row r="2331">
      <c r="A2331" s="10" t="s">
        <v>8728</v>
      </c>
      <c r="B2331" s="49" t="str">
        <f t="shared" si="1"/>
        <v>Public Health</v>
      </c>
      <c r="C2331" s="49" t="str">
        <f t="shared" si="2"/>
        <v>Public Health; Amygdalin (Laetrile); manufacturing amygdalin (laetrile) without registration</v>
      </c>
      <c r="D2331" s="49" t="str">
        <f t="shared" si="3"/>
        <v>65-6b08(a)</v>
      </c>
      <c r="E2331" s="11" t="s">
        <v>133</v>
      </c>
      <c r="F2331" s="11">
        <v>3.0</v>
      </c>
      <c r="G2331" s="11">
        <v>3.0</v>
      </c>
      <c r="H2331" s="11">
        <v>3.0</v>
      </c>
      <c r="I2331" s="11">
        <v>3.0</v>
      </c>
    </row>
    <row r="2332">
      <c r="A2332" s="10" t="s">
        <v>8729</v>
      </c>
      <c r="B2332" s="49" t="str">
        <f t="shared" si="1"/>
        <v>Public Health</v>
      </c>
      <c r="C2332" s="49" t="str">
        <f t="shared" si="2"/>
        <v>Public Health; Amygdalin (Laetrile); sell, offer for sale or distribute amygdalin (laetrile) to the public without a valid prescription of a physician</v>
      </c>
      <c r="D2332" s="49" t="str">
        <f t="shared" si="3"/>
        <v>65-6b08(d)</v>
      </c>
      <c r="E2332" s="11" t="s">
        <v>133</v>
      </c>
      <c r="F2332" s="11">
        <v>3.0</v>
      </c>
      <c r="G2332" s="11">
        <v>3.0</v>
      </c>
      <c r="H2332" s="11">
        <v>3.0</v>
      </c>
      <c r="I2332" s="11">
        <v>3.0</v>
      </c>
    </row>
    <row r="2333">
      <c r="A2333" s="10" t="s">
        <v>8730</v>
      </c>
      <c r="B2333" s="49" t="str">
        <f t="shared" si="1"/>
        <v>Public Health</v>
      </c>
      <c r="C2333" s="49" t="str">
        <f t="shared" si="2"/>
        <v>Public Health; Amygdalin (Laetrile); sell, offer for sale or distribute amygdalin (laetrile) to the public, except by a physician, without a currently effective permit</v>
      </c>
      <c r="D2333" s="49" t="str">
        <f t="shared" si="3"/>
        <v>65-6b08(c)</v>
      </c>
      <c r="E2333" s="11" t="s">
        <v>133</v>
      </c>
      <c r="F2333" s="11">
        <v>3.0</v>
      </c>
      <c r="G2333" s="11">
        <v>3.0</v>
      </c>
      <c r="H2333" s="11">
        <v>3.0</v>
      </c>
      <c r="I2333" s="11">
        <v>3.0</v>
      </c>
    </row>
    <row r="2334">
      <c r="A2334" s="10" t="s">
        <v>8731</v>
      </c>
      <c r="B2334" s="49" t="str">
        <f t="shared" si="1"/>
        <v>Public Health</v>
      </c>
      <c r="C2334" s="49" t="str">
        <f t="shared" si="2"/>
        <v>Public Health; Confidential Communications &amp; Information; Willful violation of the patient's confidentiality</v>
      </c>
      <c r="D2334" s="49" t="str">
        <f t="shared" si="3"/>
        <v>65-5605</v>
      </c>
      <c r="E2334" s="11" t="s">
        <v>133</v>
      </c>
      <c r="F2334" s="11">
        <v>3.0</v>
      </c>
      <c r="G2334" s="11">
        <v>3.0</v>
      </c>
      <c r="H2334" s="11">
        <v>3.0</v>
      </c>
      <c r="I2334" s="11">
        <v>3.0</v>
      </c>
    </row>
    <row r="2335">
      <c r="A2335" s="10" t="s">
        <v>8732</v>
      </c>
      <c r="B2335" s="49" t="str">
        <f t="shared" si="1"/>
        <v>Public Health</v>
      </c>
      <c r="C2335" s="49" t="str">
        <f t="shared" si="2"/>
        <v>Public Health; Unauthorized representation as occupational therapist or occupational therapy assistant</v>
      </c>
      <c r="D2335" s="49" t="str">
        <f t="shared" si="3"/>
        <v>65-5414(a)</v>
      </c>
      <c r="E2335" s="11" t="s">
        <v>133</v>
      </c>
      <c r="F2335" s="11">
        <v>3.0</v>
      </c>
      <c r="G2335" s="11">
        <v>3.0</v>
      </c>
      <c r="H2335" s="11">
        <v>3.0</v>
      </c>
      <c r="I2335" s="11">
        <v>3.0</v>
      </c>
    </row>
    <row r="2336">
      <c r="A2336" s="10" t="s">
        <v>8733</v>
      </c>
      <c r="B2336" s="49" t="str">
        <f t="shared" si="1"/>
        <v>Public Health</v>
      </c>
      <c r="C2336" s="49" t="str">
        <f t="shared" si="2"/>
        <v>Public Health; Use of Dead Bodies by Medical School; penalty for violation of provisions of act</v>
      </c>
      <c r="D2336" s="49" t="str">
        <f t="shared" si="3"/>
        <v>65-905</v>
      </c>
      <c r="E2336" s="11" t="s">
        <v>133</v>
      </c>
      <c r="F2336" s="11">
        <v>3.0</v>
      </c>
      <c r="G2336" s="11">
        <v>3.0</v>
      </c>
      <c r="H2336" s="11">
        <v>3.0</v>
      </c>
      <c r="I2336" s="11">
        <v>3.0</v>
      </c>
    </row>
    <row r="2337">
      <c r="A2337" s="10" t="s">
        <v>8734</v>
      </c>
      <c r="B2337" s="49" t="str">
        <f t="shared" si="1"/>
        <v>Public Improvements</v>
      </c>
      <c r="C2337" s="49" t="str">
        <f t="shared" si="2"/>
        <v>Public Improvements; Penalty for any violation of rules and regulations</v>
      </c>
      <c r="D2337" s="49" t="str">
        <f t="shared" si="3"/>
        <v>19-27,151</v>
      </c>
      <c r="E2337" s="11" t="s">
        <v>133</v>
      </c>
      <c r="F2337" s="11">
        <v>3.0</v>
      </c>
      <c r="G2337" s="11">
        <v>3.0</v>
      </c>
      <c r="H2337" s="11">
        <v>3.0</v>
      </c>
      <c r="I2337" s="11">
        <v>3.0</v>
      </c>
    </row>
    <row r="2338">
      <c r="A2338" s="10" t="s">
        <v>8735</v>
      </c>
      <c r="B2338" s="49" t="str">
        <f t="shared" si="1"/>
        <v>Public Improvements</v>
      </c>
      <c r="C2338" s="49" t="str">
        <f t="shared" si="2"/>
        <v>Public Improvements; Willful neglect or failure of director to perform duties imposed</v>
      </c>
      <c r="D2338" s="49" t="str">
        <f t="shared" si="3"/>
        <v>19-2779</v>
      </c>
      <c r="E2338" s="11" t="s">
        <v>133</v>
      </c>
      <c r="F2338" s="11">
        <v>3.0</v>
      </c>
      <c r="G2338" s="11">
        <v>3.0</v>
      </c>
      <c r="H2338" s="11">
        <v>3.0</v>
      </c>
      <c r="I2338" s="11">
        <v>3.0</v>
      </c>
    </row>
    <row r="2339">
      <c r="A2339" s="10" t="s">
        <v>8736</v>
      </c>
      <c r="B2339" s="49" t="str">
        <f t="shared" si="1"/>
        <v>Public Improvements</v>
      </c>
      <c r="C2339" s="49" t="str">
        <f t="shared" si="2"/>
        <v>Public Improvements; Wrongfully injure, destroy or impair usefulness of any work or improvement</v>
      </c>
      <c r="D2339" s="49" t="str">
        <f t="shared" si="3"/>
        <v>19-2780</v>
      </c>
      <c r="E2339" s="11" t="s">
        <v>133</v>
      </c>
      <c r="F2339" s="11">
        <v>3.0</v>
      </c>
      <c r="G2339" s="11">
        <v>3.0</v>
      </c>
      <c r="H2339" s="11">
        <v>3.0</v>
      </c>
      <c r="I2339" s="11">
        <v>3.0</v>
      </c>
    </row>
    <row r="2340">
      <c r="A2340" s="10" t="s">
        <v>8737</v>
      </c>
      <c r="B2340" s="49" t="str">
        <f t="shared" si="1"/>
        <v>Public Livestock Markets</v>
      </c>
      <c r="C2340" s="49" t="str">
        <f t="shared" si="2"/>
        <v>Public Livestock Markets; Assume or attempt to act as a public livestock market operator without a license</v>
      </c>
      <c r="D2340" s="49" t="str">
        <f t="shared" si="3"/>
        <v>47-1010(a)(1)</v>
      </c>
      <c r="E2340" s="11" t="s">
        <v>133</v>
      </c>
      <c r="F2340" s="11">
        <v>3.0</v>
      </c>
      <c r="G2340" s="11">
        <v>3.0</v>
      </c>
      <c r="H2340" s="11">
        <v>3.0</v>
      </c>
      <c r="I2340" s="11">
        <v>3.0</v>
      </c>
    </row>
    <row r="2341">
      <c r="A2341" s="10" t="s">
        <v>8738</v>
      </c>
      <c r="B2341" s="49" t="str">
        <f t="shared" si="1"/>
        <v>Public Livestock Markets</v>
      </c>
      <c r="C2341" s="49" t="str">
        <f t="shared" si="2"/>
        <v>Public Livestock Markets; Fail to account promptly, correctly and fully for any livestock sold or handled and properly to make settlements therefore</v>
      </c>
      <c r="D2341" s="49" t="str">
        <f t="shared" si="3"/>
        <v>47-1010(a)(3)</v>
      </c>
      <c r="E2341" s="11" t="s">
        <v>133</v>
      </c>
      <c r="F2341" s="11">
        <v>3.0</v>
      </c>
      <c r="G2341" s="11">
        <v>3.0</v>
      </c>
      <c r="H2341" s="11">
        <v>3.0</v>
      </c>
      <c r="I2341" s="11">
        <v>3.0</v>
      </c>
    </row>
    <row r="2342">
      <c r="A2342" s="10" t="s">
        <v>8739</v>
      </c>
      <c r="B2342" s="49" t="str">
        <f t="shared" si="1"/>
        <v>Public Livestock Markets</v>
      </c>
      <c r="C2342" s="49" t="str">
        <f t="shared" si="2"/>
        <v>Public Livestock Markets; Fail to comply with this act and any and all lawful rules, regulations and orders of the commissioner issued and promulgated hereunder</v>
      </c>
      <c r="D2342" s="49" t="str">
        <f t="shared" si="3"/>
        <v>47-1010(a)(6)</v>
      </c>
      <c r="E2342" s="11" t="s">
        <v>133</v>
      </c>
      <c r="F2342" s="11">
        <v>3.0</v>
      </c>
      <c r="G2342" s="11">
        <v>3.0</v>
      </c>
      <c r="H2342" s="11">
        <v>3.0</v>
      </c>
      <c r="I2342" s="11">
        <v>3.0</v>
      </c>
    </row>
    <row r="2343">
      <c r="A2343" s="10" t="s">
        <v>8740</v>
      </c>
      <c r="B2343" s="49" t="str">
        <f t="shared" si="1"/>
        <v>Public Livestock Markets</v>
      </c>
      <c r="C2343" s="49" t="str">
        <f t="shared" si="2"/>
        <v>Public Livestock Markets; Impose false charges for handling or services in connection with livestock handled, sold or offered for sale at a public livestock market</v>
      </c>
      <c r="D2343" s="49" t="str">
        <f t="shared" si="3"/>
        <v>47-1010(a)(2)</v>
      </c>
      <c r="E2343" s="11" t="s">
        <v>133</v>
      </c>
      <c r="F2343" s="11">
        <v>3.0</v>
      </c>
      <c r="G2343" s="11">
        <v>3.0</v>
      </c>
      <c r="H2343" s="11">
        <v>3.0</v>
      </c>
      <c r="I2343" s="11">
        <v>3.0</v>
      </c>
    </row>
    <row r="2344">
      <c r="A2344" s="10" t="s">
        <v>8741</v>
      </c>
      <c r="B2344" s="49" t="str">
        <f t="shared" si="1"/>
        <v>Public Livestock Markets</v>
      </c>
      <c r="C2344" s="49" t="str">
        <f t="shared" si="2"/>
        <v>Public Livestock Markets; Make any false or misleading statements as to the health or physical condition of the livestock or quantity of livestock shipped or sold</v>
      </c>
      <c r="D2344" s="49" t="str">
        <f t="shared" si="3"/>
        <v>47-1010(a)(5)</v>
      </c>
      <c r="E2344" s="11" t="s">
        <v>133</v>
      </c>
      <c r="F2344" s="11">
        <v>3.0</v>
      </c>
      <c r="G2344" s="11">
        <v>3.0</v>
      </c>
      <c r="H2344" s="11">
        <v>3.0</v>
      </c>
      <c r="I2344" s="11">
        <v>3.0</v>
      </c>
    </row>
    <row r="2345">
      <c r="A2345" s="10" t="s">
        <v>8742</v>
      </c>
      <c r="B2345" s="49" t="str">
        <f t="shared" si="1"/>
        <v>Public Livestock Markets</v>
      </c>
      <c r="C2345" s="49" t="str">
        <f t="shared" si="2"/>
        <v>Public Livestock Markets; Make false or misleading statements as to market conditions at any public livestock market by its owner or employees</v>
      </c>
      <c r="D2345" s="49" t="str">
        <f t="shared" si="3"/>
        <v>47-1010(a)(4)</v>
      </c>
      <c r="E2345" s="11" t="s">
        <v>133</v>
      </c>
      <c r="F2345" s="11">
        <v>3.0</v>
      </c>
      <c r="G2345" s="11">
        <v>3.0</v>
      </c>
      <c r="H2345" s="11">
        <v>3.0</v>
      </c>
      <c r="I2345" s="11">
        <v>3.0</v>
      </c>
    </row>
    <row r="2346">
      <c r="A2346" s="10" t="s">
        <v>8743</v>
      </c>
      <c r="B2346" s="49" t="str">
        <f t="shared" si="1"/>
        <v>Public Nuisance</v>
      </c>
      <c r="C2346" s="49" t="str">
        <f t="shared" si="2"/>
        <v>Public Nuisance; Maintaining a Public Nuisance; Knowingly causing or permitting condition to exist which injures or endangers the public health, safety or welfare</v>
      </c>
      <c r="D2346" s="49" t="str">
        <f t="shared" si="3"/>
        <v>21-6204(a)</v>
      </c>
      <c r="E2346" s="11" t="s">
        <v>133</v>
      </c>
      <c r="F2346" s="11">
        <v>3.0</v>
      </c>
      <c r="G2346" s="11">
        <v>3.0</v>
      </c>
      <c r="H2346" s="11">
        <v>3.0</v>
      </c>
      <c r="I2346" s="11">
        <v>3.0</v>
      </c>
    </row>
    <row r="2347">
      <c r="A2347" s="10" t="s">
        <v>8744</v>
      </c>
      <c r="B2347" s="49" t="str">
        <f t="shared" si="1"/>
        <v>Public Nuisance</v>
      </c>
      <c r="C2347" s="49" t="str">
        <f t="shared" si="2"/>
        <v>Public Nuisance; Maintaining; Permitting</v>
      </c>
      <c r="D2347" s="49" t="str">
        <f t="shared" si="3"/>
        <v>21-6204</v>
      </c>
      <c r="E2347" s="11" t="s">
        <v>133</v>
      </c>
      <c r="F2347" s="11">
        <v>3.0</v>
      </c>
      <c r="G2347" s="11">
        <v>3.0</v>
      </c>
      <c r="H2347" s="11">
        <v>3.0</v>
      </c>
      <c r="I2347" s="11">
        <v>3.0</v>
      </c>
    </row>
    <row r="2348">
      <c r="A2348" s="10" t="s">
        <v>8745</v>
      </c>
      <c r="B2348" s="49" t="str">
        <f t="shared" si="1"/>
        <v>Public Nuisance</v>
      </c>
      <c r="C2348" s="49" t="str">
        <f t="shared" si="2"/>
        <v>Public Nuisance; Permitting a Public Nuisance; Knowingly permitting property under offender's control to be used to maintain a public nuisance</v>
      </c>
      <c r="D2348" s="49" t="str">
        <f t="shared" si="3"/>
        <v>21-6204(b)</v>
      </c>
      <c r="E2348" s="11" t="s">
        <v>133</v>
      </c>
      <c r="F2348" s="11">
        <v>3.0</v>
      </c>
      <c r="G2348" s="11">
        <v>3.0</v>
      </c>
      <c r="H2348" s="11">
        <v>3.0</v>
      </c>
      <c r="I2348" s="11">
        <v>3.0</v>
      </c>
    </row>
    <row r="2349">
      <c r="A2349" s="10" t="s">
        <v>8746</v>
      </c>
      <c r="B2349" s="49" t="str">
        <f t="shared" si="1"/>
        <v>Public Officers &amp; Employees</v>
      </c>
      <c r="C2349" s="49" t="str">
        <f t="shared" si="2"/>
        <v>Public Officers &amp; Employees; Appointments; Unauthorized intentional disclosure of personal information of appointees</v>
      </c>
      <c r="D2349" s="49" t="str">
        <f t="shared" si="3"/>
        <v>75-4315d(g)</v>
      </c>
      <c r="E2349" s="11" t="s">
        <v>133</v>
      </c>
      <c r="F2349" s="11">
        <v>3.0</v>
      </c>
      <c r="G2349" s="11">
        <v>3.0</v>
      </c>
      <c r="H2349" s="11">
        <v>3.0</v>
      </c>
      <c r="I2349" s="11">
        <v>3.0</v>
      </c>
    </row>
    <row r="2350">
      <c r="A2350" s="10" t="s">
        <v>8747</v>
      </c>
      <c r="B2350" s="49" t="str">
        <f t="shared" si="1"/>
        <v>Public Officers &amp; Employees</v>
      </c>
      <c r="C2350" s="49" t="str">
        <f t="shared" si="2"/>
        <v>Public Officers &amp; Employees; Architectural Services; knowingly permit the use of, using or occupying a mobile home in violation of the provisions of this act</v>
      </c>
      <c r="D2350" s="49" t="str">
        <f t="shared" si="3"/>
        <v>75-1232</v>
      </c>
      <c r="E2350" s="11" t="s">
        <v>133</v>
      </c>
      <c r="F2350" s="11">
        <v>3.0</v>
      </c>
      <c r="G2350" s="11">
        <v>3.0</v>
      </c>
      <c r="H2350" s="11">
        <v>3.0</v>
      </c>
      <c r="I2350" s="11">
        <v>3.0</v>
      </c>
    </row>
    <row r="2351">
      <c r="A2351" s="10" t="s">
        <v>8748</v>
      </c>
      <c r="B2351" s="49" t="str">
        <f t="shared" si="1"/>
        <v>Public Officers &amp; Employees</v>
      </c>
      <c r="C2351" s="49" t="str">
        <f t="shared" si="2"/>
        <v>Public Officers &amp; Employees; Architectural Services; penalty for violation of act</v>
      </c>
      <c r="D2351" s="49" t="str">
        <f t="shared" si="3"/>
        <v>75-1223(a)</v>
      </c>
      <c r="E2351" s="11" t="s">
        <v>133</v>
      </c>
      <c r="F2351" s="11">
        <v>3.0</v>
      </c>
      <c r="G2351" s="11">
        <v>3.0</v>
      </c>
      <c r="H2351" s="11">
        <v>3.0</v>
      </c>
      <c r="I2351" s="11">
        <v>3.0</v>
      </c>
    </row>
    <row r="2352">
      <c r="A2352" s="10" t="s">
        <v>8749</v>
      </c>
      <c r="B2352" s="49" t="str">
        <f t="shared" si="1"/>
        <v>Public Officers &amp; Employees</v>
      </c>
      <c r="C2352" s="49" t="str">
        <f t="shared" si="2"/>
        <v>Public Officers &amp; Employees; Civil Service; penalty for violation of act</v>
      </c>
      <c r="D2352" s="49" t="str">
        <f t="shared" si="3"/>
        <v>75-2957</v>
      </c>
      <c r="E2352" s="11" t="s">
        <v>133</v>
      </c>
      <c r="F2352" s="11">
        <v>3.0</v>
      </c>
      <c r="G2352" s="11">
        <v>3.0</v>
      </c>
      <c r="H2352" s="11">
        <v>3.0</v>
      </c>
      <c r="I2352" s="11">
        <v>3.0</v>
      </c>
    </row>
    <row r="2353">
      <c r="A2353" s="10" t="s">
        <v>8750</v>
      </c>
      <c r="B2353" s="49" t="str">
        <f t="shared" si="1"/>
        <v>Public Officers &amp; Employees</v>
      </c>
      <c r="C2353" s="49" t="str">
        <f t="shared" si="2"/>
        <v>Public Officers &amp; Employees; Civil Service; State employee using authority or official influence to compel another state employee to apply for or become member of organization, pay or promise to pay assessment or contribution or take part in political activity</v>
      </c>
      <c r="D2353" s="49" t="str">
        <f t="shared" si="3"/>
        <v>75-2953(a)</v>
      </c>
      <c r="E2353" s="11" t="s">
        <v>133</v>
      </c>
      <c r="F2353" s="11">
        <v>3.0</v>
      </c>
      <c r="G2353" s="11">
        <v>3.0</v>
      </c>
      <c r="H2353" s="11">
        <v>3.0</v>
      </c>
      <c r="I2353" s="11">
        <v>3.0</v>
      </c>
    </row>
    <row r="2354">
      <c r="A2354" s="10" t="s">
        <v>8751</v>
      </c>
      <c r="B2354" s="49" t="str">
        <f t="shared" si="1"/>
        <v>Public Officers &amp; Employees</v>
      </c>
      <c r="C2354" s="49" t="str">
        <f t="shared" si="2"/>
        <v>Public Officers &amp; Employees; Department for Children and Families; Unauthorized discloseure of records from KBI and FBI</v>
      </c>
      <c r="D2354" s="49" t="str">
        <f t="shared" si="3"/>
        <v>75-53,105(f)</v>
      </c>
      <c r="E2354" s="11" t="s">
        <v>133</v>
      </c>
      <c r="F2354" s="11">
        <v>3.0</v>
      </c>
      <c r="G2354" s="11">
        <v>3.0</v>
      </c>
      <c r="H2354" s="11">
        <v>3.0</v>
      </c>
      <c r="I2354" s="11">
        <v>3.0</v>
      </c>
    </row>
    <row r="2355">
      <c r="A2355" s="10" t="s">
        <v>8752</v>
      </c>
      <c r="B2355" s="49" t="str">
        <f t="shared" si="1"/>
        <v>Public Officers &amp; Employees</v>
      </c>
      <c r="C2355" s="49" t="str">
        <f t="shared" si="2"/>
        <v>Public Officers &amp; Employees; Department of Corrections; unlawful use of inmate labor</v>
      </c>
      <c r="D2355" s="49" t="str">
        <f t="shared" si="3"/>
        <v>75-5226(a)</v>
      </c>
      <c r="E2355" s="11" t="s">
        <v>133</v>
      </c>
      <c r="F2355" s="11">
        <v>3.0</v>
      </c>
      <c r="G2355" s="11">
        <v>3.0</v>
      </c>
      <c r="H2355" s="11">
        <v>3.0</v>
      </c>
      <c r="I2355" s="11">
        <v>3.0</v>
      </c>
    </row>
    <row r="2356">
      <c r="A2356" s="10" t="s">
        <v>8753</v>
      </c>
      <c r="B2356" s="49" t="str">
        <f t="shared" si="1"/>
        <v>Public Officers &amp; Employees</v>
      </c>
      <c r="C2356" s="49" t="str">
        <f t="shared" si="2"/>
        <v>Public Officers &amp; Employees; Department of Revenue; unlawful for debt collection agency to utilize or divulge certain information</v>
      </c>
      <c r="D2356" s="49" t="str">
        <f t="shared" si="3"/>
        <v>75-5145</v>
      </c>
      <c r="E2356" s="11" t="s">
        <v>133</v>
      </c>
      <c r="F2356" s="11">
        <v>3.0</v>
      </c>
      <c r="G2356" s="11">
        <v>3.0</v>
      </c>
      <c r="H2356" s="11">
        <v>3.0</v>
      </c>
      <c r="I2356" s="11">
        <v>3.0</v>
      </c>
    </row>
    <row r="2357">
      <c r="A2357" s="10" t="s">
        <v>8754</v>
      </c>
      <c r="B2357" s="49" t="str">
        <f t="shared" si="1"/>
        <v>Public Officers &amp; Employees</v>
      </c>
      <c r="C2357" s="49" t="str">
        <f t="shared" si="2"/>
        <v>Public Officers &amp; Employees; Department of Revenue; unlawful to divulge licensure, registration and tax information</v>
      </c>
      <c r="D2357" s="49" t="str">
        <f t="shared" si="3"/>
        <v>75-5133(a)</v>
      </c>
      <c r="E2357" s="11" t="s">
        <v>133</v>
      </c>
      <c r="F2357" s="11">
        <v>3.0</v>
      </c>
      <c r="G2357" s="11">
        <v>3.0</v>
      </c>
      <c r="H2357" s="11">
        <v>3.0</v>
      </c>
      <c r="I2357" s="11">
        <v>3.0</v>
      </c>
    </row>
    <row r="2358">
      <c r="A2358" s="10" t="s">
        <v>8755</v>
      </c>
      <c r="B2358" s="49" t="str">
        <f t="shared" si="1"/>
        <v>Public Officers &amp; Employees</v>
      </c>
      <c r="C2358" s="49" t="str">
        <f t="shared" si="2"/>
        <v>Public Officers &amp; Employees; Liability of Treasurer and Director of Accounts and Reports</v>
      </c>
      <c r="D2358" s="49" t="str">
        <f t="shared" si="3"/>
        <v>75-4228</v>
      </c>
      <c r="E2358" s="11" t="s">
        <v>133</v>
      </c>
      <c r="F2358" s="11">
        <v>3.0</v>
      </c>
      <c r="G2358" s="11">
        <v>3.0</v>
      </c>
      <c r="H2358" s="11">
        <v>3.0</v>
      </c>
      <c r="I2358" s="11">
        <v>3.0</v>
      </c>
    </row>
    <row r="2359">
      <c r="A2359" s="10" t="s">
        <v>8756</v>
      </c>
      <c r="B2359" s="49" t="str">
        <f t="shared" si="1"/>
        <v>Public Officers &amp; Employees</v>
      </c>
      <c r="C2359" s="49" t="str">
        <f t="shared" si="2"/>
        <v>Public Officers &amp; Employees; Municipal Accounting Board; penalties for violation of act</v>
      </c>
      <c r="D2359" s="49" t="str">
        <f t="shared" si="3"/>
        <v>75-1130</v>
      </c>
      <c r="E2359" s="11" t="s">
        <v>133</v>
      </c>
      <c r="F2359" s="11">
        <v>3.0</v>
      </c>
      <c r="G2359" s="11">
        <v>3.0</v>
      </c>
      <c r="H2359" s="11">
        <v>3.0</v>
      </c>
      <c r="I2359" s="11">
        <v>3.0</v>
      </c>
    </row>
    <row r="2360">
      <c r="A2360" s="10" t="s">
        <v>8757</v>
      </c>
      <c r="B2360" s="49" t="str">
        <f t="shared" si="1"/>
        <v>Public Officers &amp; Employees</v>
      </c>
      <c r="C2360" s="49" t="str">
        <f t="shared" si="2"/>
        <v>Public Officers &amp; Employees; Municipal Accounting Board; unlawfully acting as licensed public accountant</v>
      </c>
      <c r="D2360" s="49" t="str">
        <f t="shared" si="3"/>
        <v>75-1128</v>
      </c>
      <c r="E2360" s="11" t="s">
        <v>133</v>
      </c>
      <c r="F2360" s="11">
        <v>3.0</v>
      </c>
      <c r="G2360" s="11">
        <v>3.0</v>
      </c>
      <c r="H2360" s="11">
        <v>3.0</v>
      </c>
      <c r="I2360" s="11">
        <v>3.0</v>
      </c>
    </row>
    <row r="2361">
      <c r="A2361" s="10" t="s">
        <v>8758</v>
      </c>
      <c r="B2361" s="49" t="str">
        <f t="shared" si="1"/>
        <v>Public Officers &amp; Employees</v>
      </c>
      <c r="C2361" s="49" t="str">
        <f t="shared" si="2"/>
        <v>Public Officers &amp; Employees; State Capitol; unauthorized removal of property from hall of house of representatives</v>
      </c>
      <c r="D2361" s="49" t="str">
        <f t="shared" si="3"/>
        <v>75-2207</v>
      </c>
      <c r="E2361" s="11" t="s">
        <v>133</v>
      </c>
      <c r="F2361" s="11">
        <v>3.0</v>
      </c>
      <c r="G2361" s="11">
        <v>3.0</v>
      </c>
      <c r="H2361" s="11">
        <v>3.0</v>
      </c>
      <c r="I2361" s="11">
        <v>3.0</v>
      </c>
    </row>
    <row r="2362">
      <c r="A2362" s="10" t="s">
        <v>8759</v>
      </c>
      <c r="B2362" s="49" t="str">
        <f t="shared" si="1"/>
        <v>Public Officers &amp; Employees</v>
      </c>
      <c r="C2362" s="49" t="str">
        <f t="shared" si="2"/>
        <v>Public Officers &amp; Employees; State Historical Society; failure to comply with notification requirements herein pertaining to a violation of K.S.A. 75-2748</v>
      </c>
      <c r="D2362" s="49" t="str">
        <f t="shared" si="3"/>
        <v>75-2749(a)</v>
      </c>
      <c r="E2362" s="11" t="s">
        <v>133</v>
      </c>
      <c r="F2362" s="11">
        <v>3.0</v>
      </c>
      <c r="G2362" s="11">
        <v>3.0</v>
      </c>
      <c r="H2362" s="11">
        <v>3.0</v>
      </c>
      <c r="I2362" s="11">
        <v>3.0</v>
      </c>
    </row>
    <row r="2363">
      <c r="A2363" s="10" t="s">
        <v>8760</v>
      </c>
      <c r="B2363" s="49" t="str">
        <f t="shared" si="1"/>
        <v>Public Officers &amp; Employees</v>
      </c>
      <c r="C2363" s="49" t="str">
        <f t="shared" si="2"/>
        <v>Public Officers &amp; Employees; State Historical Society; failure to comply with notification requirements herein pertaining to discovery of human skeletal remains</v>
      </c>
      <c r="D2363" s="49" t="str">
        <f t="shared" si="3"/>
        <v>75-2749(b)</v>
      </c>
      <c r="E2363" s="11" t="s">
        <v>133</v>
      </c>
      <c r="F2363" s="11">
        <v>3.0</v>
      </c>
      <c r="G2363" s="11">
        <v>3.0</v>
      </c>
      <c r="H2363" s="11">
        <v>3.0</v>
      </c>
      <c r="I2363" s="11">
        <v>3.0</v>
      </c>
    </row>
    <row r="2364">
      <c r="A2364" s="10" t="s">
        <v>8761</v>
      </c>
      <c r="B2364" s="49" t="str">
        <f t="shared" si="1"/>
        <v>Public Officers &amp; Employees</v>
      </c>
      <c r="C2364" s="49" t="str">
        <f t="shared" si="2"/>
        <v>Public Officers &amp; Employees; State Historical Society; Human skeletal remains violations</v>
      </c>
      <c r="D2364" s="49" t="str">
        <f t="shared" si="3"/>
        <v>75-2748</v>
      </c>
      <c r="E2364" s="11" t="s">
        <v>133</v>
      </c>
      <c r="F2364" s="11">
        <v>3.0</v>
      </c>
      <c r="G2364" s="11">
        <v>3.0</v>
      </c>
      <c r="H2364" s="11">
        <v>3.0</v>
      </c>
      <c r="I2364" s="11">
        <v>3.0</v>
      </c>
    </row>
    <row r="2365">
      <c r="A2365" s="10" t="s">
        <v>8762</v>
      </c>
      <c r="B2365" s="49" t="str">
        <f t="shared" si="1"/>
        <v>Public Officers &amp; Employees</v>
      </c>
      <c r="C2365" s="49" t="str">
        <f t="shared" si="2"/>
        <v>Public Officers &amp; Employees; State Long-Term Care Ombudsman; discriminatory, disciplinary or retaliatory action against individuals for communications with ombudsman prohibited</v>
      </c>
      <c r="D2365" s="49" t="str">
        <f t="shared" si="3"/>
        <v>75-7313(b)</v>
      </c>
      <c r="E2365" s="11" t="s">
        <v>133</v>
      </c>
      <c r="F2365" s="11">
        <v>3.0</v>
      </c>
      <c r="G2365" s="11">
        <v>3.0</v>
      </c>
      <c r="H2365" s="11">
        <v>3.0</v>
      </c>
      <c r="I2365" s="11">
        <v>3.0</v>
      </c>
    </row>
    <row r="2366">
      <c r="A2366" s="10" t="s">
        <v>8763</v>
      </c>
      <c r="B2366" s="49" t="str">
        <f t="shared" si="1"/>
        <v>Public Officers &amp; Employees</v>
      </c>
      <c r="C2366" s="49" t="str">
        <f t="shared" si="2"/>
        <v>Public Officers &amp; Employees; State Long-Term Care Ombudsman; interference with lawful action or activity of ombudsman</v>
      </c>
      <c r="D2366" s="49" t="str">
        <f t="shared" si="3"/>
        <v>75-7313(a)</v>
      </c>
      <c r="E2366" s="11" t="s">
        <v>133</v>
      </c>
      <c r="F2366" s="11">
        <v>3.0</v>
      </c>
      <c r="G2366" s="11">
        <v>3.0</v>
      </c>
      <c r="H2366" s="11">
        <v>3.0</v>
      </c>
      <c r="I2366" s="11">
        <v>3.0</v>
      </c>
    </row>
    <row r="2367">
      <c r="A2367" s="10" t="s">
        <v>8764</v>
      </c>
      <c r="B2367" s="49" t="str">
        <f t="shared" si="1"/>
        <v>Public Officers &amp; Employees</v>
      </c>
      <c r="C2367" s="49" t="str">
        <f t="shared" si="2"/>
        <v>Public Officers &amp; Employees; State moneys; criminal liability of board members</v>
      </c>
      <c r="D2367" s="49" t="str">
        <f t="shared" si="3"/>
        <v>75-4229</v>
      </c>
      <c r="E2367" s="11" t="s">
        <v>133</v>
      </c>
      <c r="F2367" s="11">
        <v>3.0</v>
      </c>
      <c r="G2367" s="11">
        <v>3.0</v>
      </c>
      <c r="H2367" s="11">
        <v>3.0</v>
      </c>
      <c r="I2367" s="11">
        <v>3.0</v>
      </c>
    </row>
    <row r="2368">
      <c r="A2368" s="10" t="s">
        <v>8765</v>
      </c>
      <c r="B2368" s="49" t="str">
        <f t="shared" si="1"/>
        <v>Public Officers &amp; Employees</v>
      </c>
      <c r="C2368" s="49" t="str">
        <f t="shared" si="2"/>
        <v>Public Officers &amp; Employees; Unauthorized disbursement of funds</v>
      </c>
      <c r="D2368" s="49" t="str">
        <f t="shared" si="3"/>
        <v>75-4313</v>
      </c>
      <c r="E2368" s="11" t="s">
        <v>133</v>
      </c>
      <c r="F2368" s="11">
        <v>3.0</v>
      </c>
      <c r="G2368" s="11">
        <v>3.0</v>
      </c>
      <c r="H2368" s="11">
        <v>3.0</v>
      </c>
      <c r="I2368" s="11">
        <v>3.0</v>
      </c>
    </row>
    <row r="2369">
      <c r="A2369" s="10" t="s">
        <v>8766</v>
      </c>
      <c r="B2369" s="49" t="str">
        <f t="shared" si="1"/>
        <v>Public Officers &amp; Employees</v>
      </c>
      <c r="C2369" s="49" t="str">
        <f t="shared" si="2"/>
        <v>Public Officers &amp; Employees; Unlawful discharge of public employee declaring or subjected to bankruptcy, wage earners' plan or similar proceeding</v>
      </c>
      <c r="D2369" s="49" t="str">
        <f t="shared" si="3"/>
        <v>75-4316(b)</v>
      </c>
      <c r="E2369" s="11" t="s">
        <v>133</v>
      </c>
      <c r="F2369" s="11">
        <v>3.0</v>
      </c>
      <c r="G2369" s="11">
        <v>3.0</v>
      </c>
      <c r="H2369" s="11">
        <v>3.0</v>
      </c>
      <c r="I2369" s="11">
        <v>3.0</v>
      </c>
    </row>
    <row r="2370">
      <c r="A2370" s="10" t="s">
        <v>8767</v>
      </c>
      <c r="B2370" s="49" t="str">
        <f t="shared" si="1"/>
        <v>Public Officers &amp; Employees</v>
      </c>
      <c r="C2370" s="49" t="str">
        <f t="shared" si="2"/>
        <v>Public Officers &amp; Employees; Unlawful receipt of funds by a public official</v>
      </c>
      <c r="D2370" s="49" t="str">
        <f t="shared" si="3"/>
        <v>75-4314</v>
      </c>
      <c r="E2370" s="11" t="s">
        <v>133</v>
      </c>
      <c r="F2370" s="11">
        <v>3.0</v>
      </c>
      <c r="G2370" s="11">
        <v>3.0</v>
      </c>
      <c r="H2370" s="11">
        <v>3.0</v>
      </c>
      <c r="I2370" s="11">
        <v>3.0</v>
      </c>
    </row>
    <row r="2371">
      <c r="A2371" s="10" t="s">
        <v>8768</v>
      </c>
      <c r="B2371" s="49" t="str">
        <f t="shared" si="1"/>
        <v>Public Officers &amp; Employees</v>
      </c>
      <c r="C2371" s="49" t="str">
        <f t="shared" si="2"/>
        <v>Public Officers &amp; Employees; Violation of K.S.A. 75-4304 or 75-4305, and amendments thereto, or failure to make any disclosure of substantial interests required by K.S.A. 75-4302a</v>
      </c>
      <c r="D2371" s="49" t="str">
        <f t="shared" si="3"/>
        <v>75-4306(a)</v>
      </c>
      <c r="E2371" s="11" t="s">
        <v>133</v>
      </c>
      <c r="F2371" s="11">
        <v>3.0</v>
      </c>
      <c r="G2371" s="11">
        <v>3.0</v>
      </c>
      <c r="H2371" s="11">
        <v>3.0</v>
      </c>
      <c r="I2371" s="11">
        <v>3.0</v>
      </c>
    </row>
    <row r="2372">
      <c r="A2372" s="10" t="s">
        <v>8769</v>
      </c>
      <c r="B2372" s="49" t="str">
        <f t="shared" si="1"/>
        <v>Public Officers &amp; Employees</v>
      </c>
      <c r="C2372" s="49" t="str">
        <f t="shared" si="2"/>
        <v>Public Officers &amp; Employees; Violation of K.S.A. 75-4505, 75-4506 or 75-4507 or rules and regulations thereunder</v>
      </c>
      <c r="D2372" s="49" t="str">
        <f t="shared" si="3"/>
        <v>75-4508(a)</v>
      </c>
      <c r="E2372" s="11" t="s">
        <v>133</v>
      </c>
      <c r="F2372" s="11">
        <v>3.0</v>
      </c>
      <c r="G2372" s="11">
        <v>3.0</v>
      </c>
      <c r="H2372" s="11">
        <v>3.0</v>
      </c>
      <c r="I2372" s="11">
        <v>3.0</v>
      </c>
    </row>
    <row r="2373">
      <c r="A2373" s="10" t="s">
        <v>8770</v>
      </c>
      <c r="B2373" s="49" t="str">
        <f t="shared" si="1"/>
        <v>Public Records Preservation</v>
      </c>
      <c r="C2373" s="49" t="str">
        <f t="shared" si="2"/>
        <v>Public Records Preservation; Unauthorized disclosure of confidential information prohibited</v>
      </c>
      <c r="D2373" s="49" t="str">
        <f t="shared" si="3"/>
        <v>45-407(d)</v>
      </c>
      <c r="E2373" s="11" t="s">
        <v>133</v>
      </c>
      <c r="F2373" s="11">
        <v>3.0</v>
      </c>
      <c r="G2373" s="11">
        <v>3.0</v>
      </c>
      <c r="H2373" s="11">
        <v>3.0</v>
      </c>
      <c r="I2373" s="11">
        <v>3.0</v>
      </c>
    </row>
    <row r="2374">
      <c r="A2374" s="10" t="s">
        <v>8771</v>
      </c>
      <c r="B2374" s="49" t="str">
        <f t="shared" si="1"/>
        <v>Public Utilities</v>
      </c>
      <c r="C2374" s="49" t="str">
        <f t="shared" si="2"/>
        <v>Public Utilities; Demurrage rates prohibited</v>
      </c>
      <c r="D2374" s="49" t="str">
        <f t="shared" si="3"/>
        <v>66-1203</v>
      </c>
      <c r="E2374" s="11" t="s">
        <v>133</v>
      </c>
      <c r="F2374" s="11">
        <v>3.0</v>
      </c>
      <c r="G2374" s="11">
        <v>3.0</v>
      </c>
      <c r="H2374" s="11">
        <v>3.0</v>
      </c>
      <c r="I2374" s="11">
        <v>3.0</v>
      </c>
    </row>
    <row r="2375">
      <c r="A2375" s="10" t="s">
        <v>8772</v>
      </c>
      <c r="B2375" s="49" t="str">
        <f t="shared" si="1"/>
        <v>Public Utilities</v>
      </c>
      <c r="C2375" s="49" t="str">
        <f t="shared" si="2"/>
        <v>Public Utilities; Powers of State Corporation Commission; falsifying or destroying accounts/records</v>
      </c>
      <c r="D2375" s="49" t="str">
        <f t="shared" si="3"/>
        <v>66-137</v>
      </c>
      <c r="E2375" s="11" t="s">
        <v>133</v>
      </c>
      <c r="F2375" s="11">
        <v>3.0</v>
      </c>
      <c r="G2375" s="11">
        <v>3.0</v>
      </c>
      <c r="H2375" s="11">
        <v>3.0</v>
      </c>
      <c r="I2375" s="11">
        <v>3.0</v>
      </c>
    </row>
    <row r="2376">
      <c r="A2376" s="10" t="s">
        <v>8773</v>
      </c>
      <c r="B2376" s="49" t="str">
        <f t="shared" si="1"/>
        <v>Pyramid Promotional Scheme</v>
      </c>
      <c r="C2376" s="49" t="str">
        <f t="shared" si="2"/>
        <v>Pyramid Promotional Scheme; Knowingly establish, operate, advertise or promote scheme</v>
      </c>
      <c r="D2376" s="49" t="str">
        <f t="shared" si="3"/>
        <v>21-5838(a)</v>
      </c>
      <c r="E2376" s="11" t="s">
        <v>133</v>
      </c>
      <c r="F2376" s="11">
        <v>3.0</v>
      </c>
      <c r="G2376" s="11">
        <v>3.0</v>
      </c>
      <c r="H2376" s="11">
        <v>3.0</v>
      </c>
      <c r="I2376" s="11">
        <v>3.0</v>
      </c>
    </row>
    <row r="2377">
      <c r="A2377" s="10" t="s">
        <v>8774</v>
      </c>
      <c r="B2377" s="49" t="str">
        <f t="shared" si="1"/>
        <v>Radiologic Technologists Practice Act</v>
      </c>
      <c r="C2377" s="49" t="str">
        <f t="shared" si="2"/>
        <v>Radiologic Technologists Practice Act; Depicting oneself as holder of a license without such license</v>
      </c>
      <c r="D2377" s="49" t="str">
        <f t="shared" si="3"/>
        <v>65-7303(c)</v>
      </c>
      <c r="E2377" s="11" t="s">
        <v>133</v>
      </c>
      <c r="F2377" s="11">
        <v>3.0</v>
      </c>
      <c r="G2377" s="11">
        <v>3.0</v>
      </c>
      <c r="H2377" s="11">
        <v>3.0</v>
      </c>
      <c r="I2377" s="11">
        <v>3.0</v>
      </c>
    </row>
    <row r="2378">
      <c r="A2378" s="10" t="s">
        <v>8775</v>
      </c>
      <c r="B2378" s="49" t="str">
        <f t="shared" si="1"/>
        <v>Radiologic Technologists Practice Act</v>
      </c>
      <c r="C2378" s="49" t="str">
        <f t="shared" si="2"/>
        <v>Radiologic Technologists Practice Act; Perform radiologic technology procedures on humans for diagnostic or therapeutic purposes without a valid license</v>
      </c>
      <c r="D2378" s="49" t="str">
        <f t="shared" si="3"/>
        <v>65-7303(a)</v>
      </c>
      <c r="E2378" s="11" t="s">
        <v>133</v>
      </c>
      <c r="F2378" s="11">
        <v>3.0</v>
      </c>
      <c r="G2378" s="11">
        <v>3.0</v>
      </c>
      <c r="H2378" s="11">
        <v>3.0</v>
      </c>
      <c r="I2378" s="11">
        <v>3.0</v>
      </c>
    </row>
    <row r="2379">
      <c r="A2379" s="10" t="s">
        <v>8776</v>
      </c>
      <c r="B2379" s="49" t="str">
        <f t="shared" si="1"/>
        <v>Radiologic Technologists Practice Act</v>
      </c>
      <c r="C2379" s="49" t="str">
        <f t="shared" si="2"/>
        <v>Radiologic Technologists Practice Act; Unauthorized use of radioactive substances/equipment</v>
      </c>
      <c r="D2379" s="49" t="str">
        <f t="shared" si="3"/>
        <v>65-7303(b)</v>
      </c>
      <c r="E2379" s="11" t="s">
        <v>133</v>
      </c>
      <c r="F2379" s="11">
        <v>3.0</v>
      </c>
      <c r="G2379" s="11">
        <v>3.0</v>
      </c>
      <c r="H2379" s="11">
        <v>3.0</v>
      </c>
      <c r="I2379" s="11">
        <v>3.0</v>
      </c>
    </row>
    <row r="2380">
      <c r="A2380" s="10" t="s">
        <v>8777</v>
      </c>
      <c r="B2380" s="49" t="str">
        <f t="shared" si="1"/>
        <v>Radon Certification Law</v>
      </c>
      <c r="C2380" s="49" t="str">
        <f t="shared" si="2"/>
        <v>Radon Certification Law; Willful violation</v>
      </c>
      <c r="D2380" s="49" t="str">
        <f t="shared" si="3"/>
        <v>48-16a11(a)</v>
      </c>
      <c r="E2380" s="11" t="s">
        <v>133</v>
      </c>
      <c r="F2380" s="11">
        <v>3.0</v>
      </c>
      <c r="G2380" s="11">
        <v>3.0</v>
      </c>
      <c r="H2380" s="11">
        <v>3.0</v>
      </c>
      <c r="I2380" s="11">
        <v>3.0</v>
      </c>
    </row>
    <row r="2381">
      <c r="A2381" s="10" t="s">
        <v>8778</v>
      </c>
      <c r="B2381" s="49" t="str">
        <f t="shared" si="1"/>
        <v>Railroad Companies</v>
      </c>
      <c r="C2381" s="49" t="str">
        <f t="shared" si="2"/>
        <v>Railroad Companies; Any railroad company or corporation operating a line of railroad in Kansas failing or neglecting to comply with K.S.A. 66-273</v>
      </c>
      <c r="D2381" s="49" t="str">
        <f t="shared" si="3"/>
        <v>66-274</v>
      </c>
      <c r="E2381" s="11" t="s">
        <v>133</v>
      </c>
      <c r="F2381" s="11">
        <v>3.0</v>
      </c>
      <c r="G2381" s="11">
        <v>3.0</v>
      </c>
      <c r="H2381" s="11">
        <v>3.0</v>
      </c>
      <c r="I2381" s="11">
        <v>3.0</v>
      </c>
    </row>
    <row r="2382">
      <c r="A2382" s="10" t="s">
        <v>8779</v>
      </c>
      <c r="B2382" s="49" t="str">
        <f t="shared" si="1"/>
        <v>Railroad Companies</v>
      </c>
      <c r="C2382" s="49" t="str">
        <f t="shared" si="2"/>
        <v>Railroad Companies; Fail to restore crossing with time allowed</v>
      </c>
      <c r="D2382" s="49" t="str">
        <f t="shared" si="3"/>
        <v>66-228</v>
      </c>
      <c r="E2382" s="11" t="s">
        <v>133</v>
      </c>
      <c r="F2382" s="11">
        <v>3.0</v>
      </c>
      <c r="G2382" s="11">
        <v>3.0</v>
      </c>
      <c r="H2382" s="11">
        <v>3.0</v>
      </c>
      <c r="I2382" s="11">
        <v>3.0</v>
      </c>
    </row>
    <row r="2383">
      <c r="A2383" s="10" t="s">
        <v>8780</v>
      </c>
      <c r="B2383" s="49" t="str">
        <f t="shared" si="1"/>
        <v>Railroad Companies</v>
      </c>
      <c r="C2383" s="49" t="str">
        <f t="shared" si="2"/>
        <v>Railroad Companies; Requirements for permitting trains, engines or cars to stand on public highway</v>
      </c>
      <c r="D2383" s="49" t="str">
        <f t="shared" si="3"/>
        <v>66-273</v>
      </c>
      <c r="E2383" s="11" t="s">
        <v>133</v>
      </c>
      <c r="F2383" s="11">
        <v>3.0</v>
      </c>
      <c r="G2383" s="11">
        <v>3.0</v>
      </c>
      <c r="H2383" s="11">
        <v>3.0</v>
      </c>
      <c r="I2383" s="11">
        <v>3.0</v>
      </c>
    </row>
    <row r="2384">
      <c r="A2384" s="10" t="s">
        <v>8781</v>
      </c>
      <c r="B2384" s="49" t="str">
        <f t="shared" si="1"/>
        <v>Real Estate Appraisers</v>
      </c>
      <c r="C2384" s="49" t="str">
        <f t="shared" si="2"/>
        <v>Real Estate Appraisers; Advertise of otherwise represent that such person is a state certified or license appraiser</v>
      </c>
      <c r="D2384" s="49" t="str">
        <f t="shared" si="3"/>
        <v>58-4103(a)(3)</v>
      </c>
      <c r="E2384" s="11" t="s">
        <v>133</v>
      </c>
      <c r="F2384" s="11">
        <v>3.0</v>
      </c>
      <c r="G2384" s="11">
        <v>3.0</v>
      </c>
      <c r="H2384" s="11">
        <v>3.0</v>
      </c>
      <c r="I2384" s="11">
        <v>3.0</v>
      </c>
    </row>
    <row r="2385">
      <c r="A2385" s="10" t="s">
        <v>8782</v>
      </c>
      <c r="B2385" s="49" t="str">
        <f t="shared" si="1"/>
        <v>Real Estate Appraisers</v>
      </c>
      <c r="C2385" s="49" t="str">
        <f t="shared" si="2"/>
        <v>Real Estate Appraisers; Assume or use the title of state certified or licensed appraiser without certification or licensure</v>
      </c>
      <c r="D2385" s="49" t="str">
        <f t="shared" si="3"/>
        <v>58-4103(a)(2)</v>
      </c>
      <c r="E2385" s="11" t="s">
        <v>133</v>
      </c>
      <c r="F2385" s="11">
        <v>3.0</v>
      </c>
      <c r="G2385" s="11">
        <v>3.0</v>
      </c>
      <c r="H2385" s="11">
        <v>3.0</v>
      </c>
      <c r="I2385" s="11">
        <v>3.0</v>
      </c>
    </row>
    <row r="2386">
      <c r="A2386" s="10" t="s">
        <v>8783</v>
      </c>
      <c r="B2386" s="49" t="str">
        <f t="shared" si="1"/>
        <v>Real Estate Appraisers</v>
      </c>
      <c r="C2386" s="49" t="str">
        <f t="shared" si="2"/>
        <v>Real Estate Appraisers; Engage in any written appraisal in connection with a federally related transaction without certification or licensure</v>
      </c>
      <c r="D2386" s="49" t="str">
        <f t="shared" si="3"/>
        <v>58-4103(a)(1)</v>
      </c>
      <c r="E2386" s="11" t="s">
        <v>133</v>
      </c>
      <c r="F2386" s="11">
        <v>3.0</v>
      </c>
      <c r="G2386" s="11">
        <v>3.0</v>
      </c>
      <c r="H2386" s="11">
        <v>3.0</v>
      </c>
      <c r="I2386" s="11">
        <v>3.0</v>
      </c>
    </row>
    <row r="2387">
      <c r="A2387" s="10" t="s">
        <v>8784</v>
      </c>
      <c r="B2387" s="49" t="str">
        <f t="shared" si="1"/>
        <v>Real Estate Brokers' &amp; Salespersons' License Act</v>
      </c>
      <c r="C2387" s="49" t="str">
        <f t="shared" si="2"/>
        <v>Real Estate Brokers' &amp; Salespersons' License Act; File statement required under K.S.A. 58-3066 to 58-3071 which is false or untrue or contains any material misstatement of fact</v>
      </c>
      <c r="D2387" s="49" t="str">
        <f t="shared" si="3"/>
        <v>58-3073</v>
      </c>
      <c r="E2387" s="11" t="s">
        <v>133</v>
      </c>
      <c r="F2387" s="11">
        <v>3.0</v>
      </c>
      <c r="G2387" s="11">
        <v>3.0</v>
      </c>
      <c r="H2387" s="11">
        <v>3.0</v>
      </c>
      <c r="I2387" s="11">
        <v>3.0</v>
      </c>
    </row>
    <row r="2388">
      <c r="A2388" s="10" t="s">
        <v>8785</v>
      </c>
      <c r="B2388" s="49" t="str">
        <f t="shared" si="1"/>
        <v>Real Estate Brokers' &amp; Salespersons' License Act</v>
      </c>
      <c r="C2388" s="49" t="str">
        <f t="shared" si="2"/>
        <v>Real Estate Brokers' &amp; Salespersons' License Act; Penalty for violation of act</v>
      </c>
      <c r="D2388" s="49" t="str">
        <f t="shared" si="3"/>
        <v>58-3065(a)</v>
      </c>
      <c r="E2388" s="11" t="s">
        <v>133</v>
      </c>
      <c r="F2388" s="11">
        <v>3.0</v>
      </c>
      <c r="G2388" s="11">
        <v>3.0</v>
      </c>
      <c r="H2388" s="11">
        <v>3.0</v>
      </c>
      <c r="I2388" s="11">
        <v>3.0</v>
      </c>
    </row>
    <row r="2389">
      <c r="A2389" s="10" t="s">
        <v>8786</v>
      </c>
      <c r="B2389" s="49" t="str">
        <f t="shared" si="1"/>
        <v>Refusal to Yield a Telephone Party Line in Emergency</v>
      </c>
      <c r="C2389" s="49" t="str">
        <f t="shared" si="2"/>
        <v>Refusal to Yield a Telephone Party Line in Emergency</v>
      </c>
      <c r="D2389" s="49" t="str">
        <f t="shared" si="3"/>
        <v>21-6323(a)</v>
      </c>
      <c r="E2389" s="11" t="s">
        <v>133</v>
      </c>
      <c r="F2389" s="11">
        <v>3.0</v>
      </c>
      <c r="G2389" s="11">
        <v>3.0</v>
      </c>
      <c r="H2389" s="11">
        <v>3.0</v>
      </c>
      <c r="I2389" s="11">
        <v>3.0</v>
      </c>
    </row>
    <row r="2390">
      <c r="A2390" s="10" t="s">
        <v>8787</v>
      </c>
      <c r="B2390" s="49" t="str">
        <f t="shared" si="1"/>
        <v>Regulation of Labor &amp; Industry</v>
      </c>
      <c r="C2390" s="49" t="str">
        <f t="shared" si="2"/>
        <v>Regulation of Labor &amp; Industry; Induce violation of act or orders</v>
      </c>
      <c r="D2390" s="49" t="str">
        <f t="shared" si="3"/>
        <v>44-619</v>
      </c>
      <c r="E2390" s="11" t="s">
        <v>133</v>
      </c>
      <c r="F2390" s="11">
        <v>3.0</v>
      </c>
      <c r="G2390" s="11">
        <v>3.0</v>
      </c>
      <c r="H2390" s="11">
        <v>3.0</v>
      </c>
      <c r="I2390" s="11">
        <v>3.0</v>
      </c>
    </row>
    <row r="2391">
      <c r="A2391" s="10" t="s">
        <v>8788</v>
      </c>
      <c r="B2391" s="49" t="str">
        <f t="shared" si="1"/>
        <v>Regulation of Pharmacists</v>
      </c>
      <c r="C2391" s="49" t="str">
        <f t="shared" si="2"/>
        <v>Regulation of Pharmacists; Knowingly fail to submit prescription monitoring information as a dispenser to the board as required or submit incorrect prescription monitoring information</v>
      </c>
      <c r="D2391" s="49" t="str">
        <f t="shared" si="3"/>
        <v>65-1693(a)</v>
      </c>
      <c r="E2391" s="11" t="s">
        <v>133</v>
      </c>
      <c r="F2391" s="11">
        <v>3.0</v>
      </c>
      <c r="G2391" s="11">
        <v>3.0</v>
      </c>
      <c r="H2391" s="11">
        <v>3.0</v>
      </c>
      <c r="I2391" s="11">
        <v>3.0</v>
      </c>
    </row>
    <row r="2392">
      <c r="A2392" s="10" t="s">
        <v>8789</v>
      </c>
      <c r="B2392" s="49" t="str">
        <f t="shared" si="1"/>
        <v>Regulation of Pharmacists</v>
      </c>
      <c r="C2392" s="49" t="str">
        <f t="shared" si="2"/>
        <v>Regulation of Pharmacists; Person authorized to have prescription monitoring information pursuant to the act who knowingly discloses such information in violation of the state Pharmacy Act</v>
      </c>
      <c r="D2392" s="49" t="str">
        <f t="shared" si="3"/>
        <v>65-1693(b)</v>
      </c>
      <c r="E2392" s="11" t="s">
        <v>133</v>
      </c>
      <c r="F2392" s="11">
        <v>3.0</v>
      </c>
      <c r="G2392" s="11">
        <v>3.0</v>
      </c>
      <c r="H2392" s="11">
        <v>3.0</v>
      </c>
      <c r="I2392" s="11">
        <v>3.0</v>
      </c>
    </row>
    <row r="2393">
      <c r="A2393" s="10" t="s">
        <v>8790</v>
      </c>
      <c r="B2393" s="49" t="str">
        <f t="shared" si="1"/>
        <v>Regulation of Pharmacists</v>
      </c>
      <c r="C2393" s="49" t="str">
        <f t="shared" si="2"/>
        <v>Regulation of Pharmacists; Person authorized to have prescription monitoring information pursuant to the act who knowingly uses such information in a manner or for a purpose in violation of the state Pharmacy Act</v>
      </c>
      <c r="D2393" s="49" t="str">
        <f t="shared" si="3"/>
        <v>65-1693(c)</v>
      </c>
      <c r="E2393" s="11" t="s">
        <v>133</v>
      </c>
      <c r="F2393" s="11">
        <v>3.0</v>
      </c>
      <c r="G2393" s="11">
        <v>3.0</v>
      </c>
      <c r="H2393" s="11">
        <v>3.0</v>
      </c>
      <c r="I2393" s="11">
        <v>3.0</v>
      </c>
    </row>
    <row r="2394">
      <c r="A2394" s="10" t="s">
        <v>8791</v>
      </c>
      <c r="B2394" s="49" t="str">
        <f t="shared" si="1"/>
        <v>Regulation of Pharmacists</v>
      </c>
      <c r="C2394" s="49" t="str">
        <f t="shared" si="2"/>
        <v>Regulation of Pharmacists; Person unauthorized to have prescription monitoring information pursuant to the state Pharmacy Act who knowingly obtains or attempts to obtain the same</v>
      </c>
      <c r="D2394" s="49" t="str">
        <f t="shared" si="3"/>
        <v>65-1693(d)</v>
      </c>
      <c r="E2394" s="11" t="s">
        <v>133</v>
      </c>
      <c r="F2394" s="11">
        <v>3.0</v>
      </c>
      <c r="G2394" s="11">
        <v>3.0</v>
      </c>
      <c r="H2394" s="11">
        <v>3.0</v>
      </c>
      <c r="I2394" s="11">
        <v>3.0</v>
      </c>
    </row>
    <row r="2395">
      <c r="A2395" s="10" t="s">
        <v>8792</v>
      </c>
      <c r="B2395" s="49" t="str">
        <f t="shared" si="1"/>
        <v>Regulations of Equipment/Crude Oil/Products</v>
      </c>
      <c r="C2395" s="49" t="str">
        <f t="shared" si="2"/>
        <v>Regulations of Equipment/Crude Oil/Products; Failure of person possessing crude oil to produce the required documentation</v>
      </c>
      <c r="D2395" s="49" t="str">
        <f t="shared" si="3"/>
        <v>55-1504(a)</v>
      </c>
      <c r="E2395" s="11" t="s">
        <v>133</v>
      </c>
      <c r="F2395" s="11">
        <v>3.0</v>
      </c>
      <c r="G2395" s="11">
        <v>3.0</v>
      </c>
      <c r="H2395" s="11">
        <v>3.0</v>
      </c>
      <c r="I2395" s="11">
        <v>3.0</v>
      </c>
    </row>
    <row r="2396">
      <c r="A2396" s="10" t="s">
        <v>8793</v>
      </c>
      <c r="B2396" s="49" t="str">
        <f t="shared" si="1"/>
        <v>Regulations of Equipment/Crude Oil/Products</v>
      </c>
      <c r="C2396" s="49" t="str">
        <f t="shared" si="2"/>
        <v>Regulations of Equipment/Crude Oil/Products; Failure of records to contain required information</v>
      </c>
      <c r="D2396" s="49" t="str">
        <f t="shared" si="3"/>
        <v>55-1502(a)</v>
      </c>
      <c r="E2396" s="11" t="s">
        <v>133</v>
      </c>
      <c r="F2396" s="11">
        <v>3.0</v>
      </c>
      <c r="G2396" s="11">
        <v>3.0</v>
      </c>
      <c r="H2396" s="11">
        <v>3.0</v>
      </c>
      <c r="I2396" s="11">
        <v>3.0</v>
      </c>
    </row>
    <row r="2397">
      <c r="A2397" s="10" t="s">
        <v>8794</v>
      </c>
      <c r="B2397" s="49" t="str">
        <f t="shared" si="1"/>
        <v>Regulations of Equipment/Crude Oil/Products</v>
      </c>
      <c r="C2397" s="49" t="str">
        <f t="shared" si="2"/>
        <v>Regulations of Equipment/Crude Oil/Products; Failure to permit inspection of equipment or materials being transported</v>
      </c>
      <c r="D2397" s="49" t="str">
        <f t="shared" si="3"/>
        <v>55-1503(a)</v>
      </c>
      <c r="E2397" s="11" t="s">
        <v>133</v>
      </c>
      <c r="F2397" s="11">
        <v>3.0</v>
      </c>
      <c r="G2397" s="11">
        <v>3.0</v>
      </c>
      <c r="H2397" s="11">
        <v>3.0</v>
      </c>
      <c r="I2397" s="11">
        <v>3.0</v>
      </c>
    </row>
    <row r="2398">
      <c r="A2398" s="10" t="s">
        <v>8795</v>
      </c>
      <c r="B2398" s="49" t="str">
        <f t="shared" si="1"/>
        <v>Regulations of Equipment/Crude Oil/Products</v>
      </c>
      <c r="C2398" s="49" t="str">
        <f t="shared" si="2"/>
        <v>Regulations of Equipment/Crude Oil/Products; Failure to retain records as required</v>
      </c>
      <c r="D2398" s="49" t="str">
        <f t="shared" si="3"/>
        <v>55-1502(b)</v>
      </c>
      <c r="E2398" s="11" t="s">
        <v>133</v>
      </c>
      <c r="F2398" s="11">
        <v>3.0</v>
      </c>
      <c r="G2398" s="11">
        <v>3.0</v>
      </c>
      <c r="H2398" s="11">
        <v>3.0</v>
      </c>
      <c r="I2398" s="11">
        <v>3.0</v>
      </c>
    </row>
    <row r="2399">
      <c r="A2399" s="10" t="s">
        <v>8796</v>
      </c>
      <c r="B2399" s="49" t="str">
        <f t="shared" si="1"/>
        <v>Regulations of Equipment/Crude Oil/Products</v>
      </c>
      <c r="C2399" s="49" t="str">
        <f t="shared" si="2"/>
        <v>Regulations of Equipment/Crude Oil/Products; Tamper with field equipment identification</v>
      </c>
      <c r="D2399" s="49" t="str">
        <f t="shared" si="3"/>
        <v>55-1505</v>
      </c>
      <c r="E2399" s="11" t="s">
        <v>133</v>
      </c>
      <c r="F2399" s="11">
        <v>3.0</v>
      </c>
      <c r="G2399" s="11">
        <v>3.0</v>
      </c>
      <c r="H2399" s="11">
        <v>3.0</v>
      </c>
      <c r="I2399" s="11">
        <v>3.0</v>
      </c>
    </row>
    <row r="2400">
      <c r="A2400" s="10" t="s">
        <v>8797</v>
      </c>
      <c r="B2400" s="49" t="str">
        <f t="shared" si="1"/>
        <v>Reporting Abuse, Neglect or Exploitation of Certain Persons</v>
      </c>
      <c r="C2400" s="49" t="str">
        <f t="shared" si="2"/>
        <v>Reporting Abuse, Neglect or Exploitation of Certain Persons; Failure to report abuse, neglect or exploitation of residents</v>
      </c>
      <c r="D2400" s="49" t="str">
        <f t="shared" si="3"/>
        <v>39-1402(a)</v>
      </c>
      <c r="E2400" s="11" t="s">
        <v>133</v>
      </c>
      <c r="F2400" s="11">
        <v>3.0</v>
      </c>
      <c r="G2400" s="11">
        <v>3.0</v>
      </c>
      <c r="H2400" s="11">
        <v>3.0</v>
      </c>
      <c r="I2400" s="11">
        <v>3.0</v>
      </c>
    </row>
    <row r="2401">
      <c r="A2401" s="10" t="s">
        <v>8798</v>
      </c>
      <c r="B2401" s="49" t="str">
        <f t="shared" si="1"/>
        <v>Reporting Abuse, Neglect or Exploitation of Certain Persons</v>
      </c>
      <c r="C2401" s="49" t="str">
        <f t="shared" si="2"/>
        <v>Reporting Abuse, Neglect or Exploitation of Certain Persons; Failure to report abuse, neglect or exploitation or need of protective services</v>
      </c>
      <c r="D2401" s="49" t="str">
        <f t="shared" si="3"/>
        <v>39-1431(a)</v>
      </c>
      <c r="E2401" s="11" t="s">
        <v>133</v>
      </c>
      <c r="F2401" s="11">
        <v>3.0</v>
      </c>
      <c r="G2401" s="11">
        <v>3.0</v>
      </c>
      <c r="H2401" s="11">
        <v>3.0</v>
      </c>
      <c r="I2401" s="11">
        <v>3.0</v>
      </c>
    </row>
    <row r="2402">
      <c r="A2402" s="10" t="s">
        <v>8799</v>
      </c>
      <c r="B2402" s="49" t="str">
        <f t="shared" si="1"/>
        <v>Residential Childhood Lead Poisoning Prevention Act</v>
      </c>
      <c r="C2402" s="49" t="str">
        <f t="shared" si="2"/>
        <v>Residential Childhood Lead Poisoning Prevention Act; 1st violation of act</v>
      </c>
      <c r="D2402" s="49" t="str">
        <f t="shared" si="3"/>
        <v>65-1,209(a)</v>
      </c>
      <c r="E2402" s="11" t="s">
        <v>133</v>
      </c>
      <c r="F2402" s="11">
        <v>3.0</v>
      </c>
      <c r="G2402" s="11">
        <v>3.0</v>
      </c>
      <c r="H2402" s="11">
        <v>3.0</v>
      </c>
      <c r="I2402" s="11">
        <v>3.0</v>
      </c>
    </row>
    <row r="2403">
      <c r="A2403" s="10" t="s">
        <v>8800</v>
      </c>
      <c r="B2403" s="49" t="str">
        <f t="shared" si="1"/>
        <v>Residential Childhood Lead Poisoning Prevention Act</v>
      </c>
      <c r="C2403" s="49" t="str">
        <f t="shared" si="2"/>
        <v>Residential Childhood Lead Poisoning Prevention Act; 2nd or subs. violation of act</v>
      </c>
      <c r="D2403" s="49" t="str">
        <f t="shared" si="3"/>
        <v>65-1,209(b)</v>
      </c>
      <c r="E2403" s="11" t="s">
        <v>133</v>
      </c>
      <c r="F2403" s="11">
        <v>3.0</v>
      </c>
      <c r="G2403" s="11">
        <v>3.0</v>
      </c>
      <c r="H2403" s="11">
        <v>3.0</v>
      </c>
      <c r="I2403" s="11">
        <v>3.0</v>
      </c>
    </row>
    <row r="2404">
      <c r="A2404" s="10" t="s">
        <v>8801</v>
      </c>
      <c r="B2404" s="49" t="str">
        <f t="shared" si="1"/>
        <v>Respiratory Therapy Practice Act</v>
      </c>
      <c r="C2404" s="49" t="str">
        <f t="shared" si="2"/>
        <v>Respiratory Therapy Practice Act; Unauthorized representation as respiratory therapist</v>
      </c>
      <c r="D2404" s="49" t="str">
        <f t="shared" si="3"/>
        <v>65-5514(a)</v>
      </c>
      <c r="E2404" s="11" t="s">
        <v>133</v>
      </c>
      <c r="F2404" s="11">
        <v>3.0</v>
      </c>
      <c r="G2404" s="11">
        <v>3.0</v>
      </c>
      <c r="H2404" s="11">
        <v>3.0</v>
      </c>
      <c r="I2404" s="11">
        <v>3.0</v>
      </c>
    </row>
    <row r="2405">
      <c r="A2405" s="10" t="s">
        <v>8802</v>
      </c>
      <c r="B2405" s="49" t="str">
        <f t="shared" si="1"/>
        <v>Retailers' Sales Tax</v>
      </c>
      <c r="C2405" s="49" t="str">
        <f t="shared" si="2"/>
        <v>Retailers' Sales Tax; 501(c)(3) Charitable Organization; contractor use of or disposal of materials purchased under tax exempt certificate for purpose not authorized by certificate without payment of tax</v>
      </c>
      <c r="D2405" s="49" t="str">
        <f t="shared" si="3"/>
        <v>79-3606(iii)</v>
      </c>
      <c r="E2405" s="11" t="s">
        <v>133</v>
      </c>
      <c r="F2405" s="11">
        <v>3.0</v>
      </c>
      <c r="G2405" s="11">
        <v>3.0</v>
      </c>
      <c r="H2405" s="11">
        <v>3.0</v>
      </c>
      <c r="I2405" s="11">
        <v>3.0</v>
      </c>
    </row>
    <row r="2406">
      <c r="A2406" s="10" t="s">
        <v>8803</v>
      </c>
      <c r="B2406" s="49" t="str">
        <f t="shared" si="1"/>
        <v>Retailers' Sales Tax</v>
      </c>
      <c r="C2406" s="49" t="str">
        <f t="shared" si="2"/>
        <v>Retailers' Sales Tax; Booth Theatre Foundation; contractor use of or disposal of materials purchased under tax exempt certificate for purpose not authorized by certificate without payment of tax</v>
      </c>
      <c r="D2406" s="49" t="str">
        <f t="shared" si="3"/>
        <v>79-3606(xxx)</v>
      </c>
      <c r="E2406" s="11" t="s">
        <v>133</v>
      </c>
      <c r="F2406" s="11">
        <v>3.0</v>
      </c>
      <c r="G2406" s="11">
        <v>3.0</v>
      </c>
      <c r="H2406" s="11">
        <v>3.0</v>
      </c>
      <c r="I2406" s="11">
        <v>3.0</v>
      </c>
    </row>
    <row r="2407">
      <c r="A2407" s="10" t="s">
        <v>8804</v>
      </c>
      <c r="B2407" s="49" t="str">
        <f t="shared" si="1"/>
        <v>Retailers' Sales Tax</v>
      </c>
      <c r="C2407" s="49" t="str">
        <f t="shared" si="2"/>
        <v>Retailers' Sales Tax; Catholic charities or Youthville; contractor use of or disposal of materials purchased under tax exempt certificate for purpose not authorized by certificate without payment of tax</v>
      </c>
      <c r="D2407" s="49" t="str">
        <f t="shared" si="3"/>
        <v>79-3606(sss)</v>
      </c>
      <c r="E2407" s="11" t="s">
        <v>133</v>
      </c>
      <c r="F2407" s="11">
        <v>3.0</v>
      </c>
      <c r="G2407" s="11">
        <v>3.0</v>
      </c>
      <c r="H2407" s="11">
        <v>3.0</v>
      </c>
      <c r="I2407" s="11">
        <v>3.0</v>
      </c>
    </row>
    <row r="2408">
      <c r="A2408" s="10" t="s">
        <v>8805</v>
      </c>
      <c r="B2408" s="49" t="str">
        <f t="shared" si="1"/>
        <v>Retailers' Sales Tax</v>
      </c>
      <c r="C2408" s="49" t="str">
        <f t="shared" si="2"/>
        <v>Retailers' Sales Tax; Federal Projects; contractor use of or disposal of materials purchased under tax exempt certificate for purpose not authorized by certificate without payment of tax</v>
      </c>
      <c r="D2408" s="49" t="str">
        <f t="shared" si="3"/>
        <v>79-3606(e)</v>
      </c>
      <c r="E2408" s="11" t="s">
        <v>133</v>
      </c>
      <c r="F2408" s="11">
        <v>3.0</v>
      </c>
      <c r="G2408" s="11">
        <v>3.0</v>
      </c>
      <c r="H2408" s="11">
        <v>3.0</v>
      </c>
      <c r="I2408" s="11">
        <v>3.0</v>
      </c>
    </row>
    <row r="2409">
      <c r="A2409" s="10" t="s">
        <v>8806</v>
      </c>
      <c r="B2409" s="49" t="str">
        <f t="shared" si="1"/>
        <v>Retailers' Sales Tax</v>
      </c>
      <c r="C2409" s="49" t="str">
        <f t="shared" si="2"/>
        <v>Retailers' Sales Tax; Kansas Children's Service League; contractor use of or disposal of materials purchased under tax exempt certificate for purpose not authorized by certificate without payment of tax</v>
      </c>
      <c r="D2409" s="49" t="str">
        <f t="shared" si="3"/>
        <v>79-3606(uuu)</v>
      </c>
      <c r="E2409" s="11" t="s">
        <v>133</v>
      </c>
      <c r="F2409" s="11">
        <v>3.0</v>
      </c>
      <c r="G2409" s="11">
        <v>3.0</v>
      </c>
      <c r="H2409" s="11">
        <v>3.0</v>
      </c>
      <c r="I2409" s="11">
        <v>3.0</v>
      </c>
    </row>
    <row r="2410">
      <c r="A2410" s="10" t="s">
        <v>8807</v>
      </c>
      <c r="B2410" s="49" t="str">
        <f t="shared" si="1"/>
        <v>Retailers' Sales Tax</v>
      </c>
      <c r="C2410" s="49" t="str">
        <f t="shared" si="2"/>
        <v>Retailers' Sales Tax; Kiowa County Disaster; contractor use of or disposal of materials purchased under tax exempt certificate for purpose not authorized by certificate without payment of tax</v>
      </c>
      <c r="D2410" s="49" t="str">
        <f t="shared" si="3"/>
        <v>79-3606e</v>
      </c>
      <c r="E2410" s="11" t="s">
        <v>133</v>
      </c>
      <c r="F2410" s="11">
        <v>3.0</v>
      </c>
      <c r="G2410" s="11">
        <v>3.0</v>
      </c>
      <c r="H2410" s="11">
        <v>3.0</v>
      </c>
      <c r="I2410" s="11">
        <v>3.0</v>
      </c>
    </row>
    <row r="2411">
      <c r="A2411" s="10" t="s">
        <v>8808</v>
      </c>
      <c r="B2411" s="49" t="str">
        <f t="shared" si="1"/>
        <v>Retailers' Sales Tax</v>
      </c>
      <c r="C2411" s="49" t="str">
        <f t="shared" si="2"/>
        <v>Retailers' Sales Tax; Manufacturing, non-manufacturing, or retail business exemption for construction, remodeling or expansion pursuant to requirements of K.S.A. 74-50,115; contractor use of or disposal of materials purchased under tax exempt certificate for purpose not authorized by certificate without payment of tax</v>
      </c>
      <c r="D2411" s="49" t="str">
        <f t="shared" si="3"/>
        <v>79-3606(cc)</v>
      </c>
      <c r="E2411" s="11" t="s">
        <v>133</v>
      </c>
      <c r="F2411" s="11">
        <v>3.0</v>
      </c>
      <c r="G2411" s="11">
        <v>3.0</v>
      </c>
      <c r="H2411" s="11">
        <v>3.0</v>
      </c>
      <c r="I2411" s="11">
        <v>3.0</v>
      </c>
    </row>
    <row r="2412">
      <c r="A2412" s="10" t="s">
        <v>8809</v>
      </c>
      <c r="B2412" s="49" t="str">
        <f t="shared" si="1"/>
        <v>Retailers' Sales Tax</v>
      </c>
      <c r="C2412" s="49" t="str">
        <f t="shared" si="2"/>
        <v>Retailers' Sales Tax; NAICS subsectors; contractor use or disposal of materials purchased under tax exempt certification for purpose not authorized without payment of tax</v>
      </c>
      <c r="D2412" s="49" t="str">
        <f t="shared" si="3"/>
        <v>79-3606(hhhh)</v>
      </c>
      <c r="E2412" s="11" t="s">
        <v>133</v>
      </c>
      <c r="F2412" s="11">
        <v>3.0</v>
      </c>
      <c r="G2412" s="11">
        <v>3.0</v>
      </c>
      <c r="H2412" s="11">
        <v>3.0</v>
      </c>
      <c r="I2412" s="11">
        <v>3.0</v>
      </c>
    </row>
    <row r="2413">
      <c r="A2413" s="10" t="s">
        <v>8810</v>
      </c>
      <c r="B2413" s="49" t="str">
        <f t="shared" si="1"/>
        <v>Retailers' Sales Tax</v>
      </c>
      <c r="C2413" s="49" t="str">
        <f t="shared" si="2"/>
        <v>Retailers' Sales Tax; Nonprofit Museum; contractor use of or disposal of materials purchased under tax exempt certificate for purpose not authorized by certificate without payment of tax</v>
      </c>
      <c r="D2413" s="49" t="str">
        <f t="shared" si="3"/>
        <v>79-3606(ttt)</v>
      </c>
      <c r="E2413" s="11" t="s">
        <v>133</v>
      </c>
      <c r="F2413" s="11">
        <v>3.0</v>
      </c>
      <c r="G2413" s="11">
        <v>3.0</v>
      </c>
      <c r="H2413" s="11">
        <v>3.0</v>
      </c>
      <c r="I2413" s="11">
        <v>3.0</v>
      </c>
    </row>
    <row r="2414">
      <c r="A2414" s="10" t="s">
        <v>8811</v>
      </c>
      <c r="B2414" s="49" t="str">
        <f t="shared" si="1"/>
        <v>Retailers' Sales Tax</v>
      </c>
      <c r="C2414" s="49" t="str">
        <f t="shared" si="2"/>
        <v>Retailers' Sales Tax; Nonprofit Primary Care Clinic or Health Center; contractor use of or disposal of materials purchased under tax exempt certificate for purpose not authorized by certificate without payment of tax</v>
      </c>
      <c r="D2414" s="49" t="str">
        <f t="shared" si="3"/>
        <v>79-3606(ccc)</v>
      </c>
      <c r="E2414" s="11" t="s">
        <v>133</v>
      </c>
      <c r="F2414" s="11">
        <v>3.0</v>
      </c>
      <c r="G2414" s="11">
        <v>3.0</v>
      </c>
      <c r="H2414" s="11">
        <v>3.0</v>
      </c>
      <c r="I2414" s="11">
        <v>3.0</v>
      </c>
    </row>
    <row r="2415">
      <c r="A2415" s="10" t="s">
        <v>8812</v>
      </c>
      <c r="B2415" s="49" t="str">
        <f t="shared" si="1"/>
        <v>Retailers' Sales Tax</v>
      </c>
      <c r="C2415" s="49" t="str">
        <f t="shared" si="2"/>
        <v>Retailers' Sales Tax; Nonprofit Religious Organization; contractor use of or disposal of materials purchased under tax exempt certificate for purpose not authorized by certificate without payment of tax</v>
      </c>
      <c r="D2415" s="49" t="str">
        <f t="shared" si="3"/>
        <v>79-3606(aaa)</v>
      </c>
      <c r="E2415" s="11" t="s">
        <v>133</v>
      </c>
      <c r="F2415" s="11">
        <v>3.0</v>
      </c>
      <c r="G2415" s="11">
        <v>3.0</v>
      </c>
      <c r="H2415" s="11">
        <v>3.0</v>
      </c>
      <c r="I2415" s="11">
        <v>3.0</v>
      </c>
    </row>
    <row r="2416">
      <c r="A2416" s="10" t="s">
        <v>8813</v>
      </c>
      <c r="B2416" s="49" t="str">
        <f t="shared" si="1"/>
        <v>Retailers' Sales Tax</v>
      </c>
      <c r="C2416" s="49" t="str">
        <f t="shared" si="2"/>
        <v>Retailers' Sales Tax; Nonprofit Zoo; contractor use of or disposal of materials purchased under tax exempt certificate for purpose not authorized by certificate without payment of tax</v>
      </c>
      <c r="D2416" s="49" t="str">
        <f t="shared" si="3"/>
        <v>79-3606(xx)</v>
      </c>
      <c r="E2416" s="11" t="s">
        <v>133</v>
      </c>
      <c r="F2416" s="11">
        <v>3.0</v>
      </c>
      <c r="G2416" s="11">
        <v>3.0</v>
      </c>
      <c r="H2416" s="11">
        <v>3.0</v>
      </c>
      <c r="I2416" s="11">
        <v>3.0</v>
      </c>
    </row>
    <row r="2417">
      <c r="A2417" s="10" t="s">
        <v>8814</v>
      </c>
      <c r="B2417" s="49" t="str">
        <f t="shared" si="1"/>
        <v>Retailers' Sales Tax</v>
      </c>
      <c r="C2417" s="49" t="str">
        <f t="shared" si="2"/>
        <v>Retailers' Sales Tax; Public Buildings; contractor use of or disposal of materials purchased under tax exempt certificate for purpose not authorized by certificate without payment of tax</v>
      </c>
      <c r="D2417" s="49" t="str">
        <f t="shared" si="3"/>
        <v>79-3606(d)</v>
      </c>
      <c r="E2417" s="11" t="s">
        <v>133</v>
      </c>
      <c r="F2417" s="11">
        <v>3.0</v>
      </c>
      <c r="G2417" s="11">
        <v>3.0</v>
      </c>
      <c r="H2417" s="11">
        <v>3.0</v>
      </c>
      <c r="I2417" s="11">
        <v>3.0</v>
      </c>
    </row>
    <row r="2418">
      <c r="A2418" s="10" t="s">
        <v>8815</v>
      </c>
      <c r="B2418" s="49" t="str">
        <f t="shared" si="1"/>
        <v>Retailers' Sales Tax</v>
      </c>
      <c r="C2418" s="49" t="str">
        <f t="shared" si="2"/>
        <v>Retailers' Sales Tax; Sheltered Living, Inc.; contractor use of or disposal of materials purchased under tax exempt certificate for purpose not authorized by certificate without payment of tax</v>
      </c>
      <c r="D2418" s="49" t="str">
        <f t="shared" si="3"/>
        <v>79-3606(ffff)</v>
      </c>
      <c r="E2418" s="11" t="s">
        <v>133</v>
      </c>
      <c r="F2418" s="11">
        <v>3.0</v>
      </c>
      <c r="G2418" s="11">
        <v>3.0</v>
      </c>
      <c r="H2418" s="11">
        <v>3.0</v>
      </c>
      <c r="I2418" s="11">
        <v>3.0</v>
      </c>
    </row>
    <row r="2419">
      <c r="A2419" s="10" t="s">
        <v>8816</v>
      </c>
      <c r="B2419" s="49" t="str">
        <f t="shared" si="1"/>
        <v>Retailers' Sales Tax</v>
      </c>
      <c r="C2419" s="49" t="str">
        <f t="shared" si="2"/>
        <v>Retailers' Sales Tax; TLC Charities Foundation Inc.; contractor use of or disposal of materials purchased under tax exempt certificate for purpose not authorized by certificate without payment of tax</v>
      </c>
      <c r="D2419" s="49" t="str">
        <f t="shared" si="3"/>
        <v>79-3606(yyy)</v>
      </c>
      <c r="E2419" s="11" t="s">
        <v>133</v>
      </c>
      <c r="F2419" s="11">
        <v>3.0</v>
      </c>
      <c r="G2419" s="11">
        <v>3.0</v>
      </c>
      <c r="H2419" s="11">
        <v>3.0</v>
      </c>
      <c r="I2419" s="11">
        <v>3.0</v>
      </c>
    </row>
    <row r="2420">
      <c r="A2420" s="10" t="s">
        <v>8817</v>
      </c>
      <c r="B2420" s="49" t="str">
        <f t="shared" si="1"/>
        <v>Retailers' Sales Tax</v>
      </c>
      <c r="C2420" s="49" t="str">
        <f t="shared" si="2"/>
        <v>Retailers' Sales Tax; TLC for Children and Families Inc.; contractor use of or disposal of materials purchased under tax exempt certificate for purpose not authorized by certificate without payment of tax</v>
      </c>
      <c r="D2420" s="49" t="str">
        <f t="shared" si="3"/>
        <v>79-3606(qqq)</v>
      </c>
      <c r="E2420" s="11" t="s">
        <v>133</v>
      </c>
      <c r="F2420" s="11">
        <v>3.0</v>
      </c>
      <c r="G2420" s="11">
        <v>3.0</v>
      </c>
      <c r="H2420" s="11">
        <v>3.0</v>
      </c>
      <c r="I2420" s="11">
        <v>3.0</v>
      </c>
    </row>
    <row r="2421">
      <c r="A2421" s="10" t="s">
        <v>8818</v>
      </c>
      <c r="B2421" s="49" t="str">
        <f t="shared" si="1"/>
        <v>Retailers' Sales Tax</v>
      </c>
      <c r="C2421" s="49" t="str">
        <f t="shared" si="2"/>
        <v>Retailers' Sales Tax; Wichita Children's Home; contractor use or disposal of materials purchased under tax exempt certification for purpose not authorized without payment of tax</v>
      </c>
      <c r="D2421" s="49" t="str">
        <f t="shared" si="3"/>
        <v>79-3606(iiii)</v>
      </c>
      <c r="E2421" s="11" t="s">
        <v>133</v>
      </c>
      <c r="F2421" s="11">
        <v>3.0</v>
      </c>
      <c r="G2421" s="11">
        <v>3.0</v>
      </c>
      <c r="H2421" s="11">
        <v>3.0</v>
      </c>
      <c r="I2421" s="11">
        <v>3.0</v>
      </c>
    </row>
    <row r="2422">
      <c r="A2422" s="10" t="s">
        <v>8819</v>
      </c>
      <c r="B2422" s="49" t="str">
        <f t="shared" si="1"/>
        <v>Retailers' Sales Tax</v>
      </c>
      <c r="C2422" s="49" t="str">
        <f t="shared" si="2"/>
        <v>Retailers' Sales Tax; Willfully and intentionally refuse to pay tax to retailer for purchase of tangible personal property or services</v>
      </c>
      <c r="D2422" s="49" t="str">
        <f t="shared" si="3"/>
        <v>79-3651(g)</v>
      </c>
      <c r="E2422" s="11" t="s">
        <v>133</v>
      </c>
      <c r="F2422" s="11">
        <v>3.0</v>
      </c>
      <c r="G2422" s="11">
        <v>3.0</v>
      </c>
      <c r="H2422" s="11">
        <v>3.0</v>
      </c>
      <c r="I2422" s="11">
        <v>3.0</v>
      </c>
    </row>
    <row r="2423">
      <c r="A2423" s="10" t="s">
        <v>8820</v>
      </c>
      <c r="B2423" s="49" t="str">
        <f t="shared" si="1"/>
        <v>Revised Uniform Consumer Credit Code</v>
      </c>
      <c r="C2423" s="49" t="str">
        <f t="shared" si="2"/>
        <v>Revised Uniform Consumer Credit Code; Intentional violation of the act; 2nd or subs.</v>
      </c>
      <c r="D2423" s="49" t="str">
        <f t="shared" si="3"/>
        <v>16a-5-301(1)</v>
      </c>
      <c r="E2423" s="11" t="s">
        <v>133</v>
      </c>
      <c r="F2423" s="11">
        <v>3.0</v>
      </c>
      <c r="G2423" s="11">
        <v>3.0</v>
      </c>
      <c r="H2423" s="11">
        <v>3.0</v>
      </c>
      <c r="I2423" s="11">
        <v>3.0</v>
      </c>
    </row>
    <row r="2424">
      <c r="A2424" s="10" t="s">
        <v>8821</v>
      </c>
      <c r="B2424" s="49" t="str">
        <f t="shared" si="1"/>
        <v>Revised Uniform Consumer Credit Code</v>
      </c>
      <c r="C2424" s="49" t="str">
        <f t="shared" si="2"/>
        <v>Revised Uniform Consumer Credit Code; Intentional Violations; engage in consumer credit transactions and undertake collection of payments or enforcement of rights without complying with provisions pertaining to notification or payment of fees</v>
      </c>
      <c r="D2424" s="49" t="str">
        <f t="shared" si="3"/>
        <v>16a-5-301(3)</v>
      </c>
      <c r="E2424" s="11" t="s">
        <v>133</v>
      </c>
      <c r="F2424" s="11">
        <v>3.0</v>
      </c>
      <c r="G2424" s="11">
        <v>3.0</v>
      </c>
      <c r="H2424" s="11">
        <v>3.0</v>
      </c>
      <c r="I2424" s="11">
        <v>3.0</v>
      </c>
    </row>
    <row r="2425">
      <c r="A2425" s="10" t="s">
        <v>8822</v>
      </c>
      <c r="B2425" s="49" t="str">
        <f t="shared" si="1"/>
        <v>Revised Uniform Consumer Credit Code</v>
      </c>
      <c r="C2425" s="49" t="str">
        <f t="shared" si="2"/>
        <v>Revised Uniform Consumer Credit Code; Remedies and Penalties; intentional violation of the act; 2nd or subs.</v>
      </c>
      <c r="D2425" s="49" t="str">
        <f t="shared" si="3"/>
        <v>16a-5-301(1)</v>
      </c>
      <c r="E2425" s="11" t="s">
        <v>133</v>
      </c>
      <c r="F2425" s="11">
        <v>3.0</v>
      </c>
      <c r="G2425" s="11">
        <v>3.0</v>
      </c>
      <c r="H2425" s="11">
        <v>3.0</v>
      </c>
      <c r="I2425" s="11">
        <v>3.0</v>
      </c>
    </row>
    <row r="2426">
      <c r="A2426" s="10" t="s">
        <v>8823</v>
      </c>
      <c r="B2426" s="49" t="str">
        <f t="shared" si="1"/>
        <v>RICO Act</v>
      </c>
      <c r="C2426" s="49" t="str">
        <f t="shared" si="2"/>
        <v>RICO Act; Acquire or maintain an interest or control of any enterprise or real property through a pattern of racketeering activity or collection of unlawful debt</v>
      </c>
      <c r="D2426" s="49" t="str">
        <f t="shared" si="3"/>
        <v>21-6329(a)(2)</v>
      </c>
      <c r="E2426" s="11" t="s">
        <v>133</v>
      </c>
      <c r="F2426" s="11">
        <v>3.0</v>
      </c>
      <c r="G2426" s="11">
        <v>3.0</v>
      </c>
      <c r="H2426" s="11">
        <v>3.0</v>
      </c>
      <c r="I2426" s="11">
        <v>3.0</v>
      </c>
    </row>
    <row r="2427">
      <c r="A2427" s="10" t="s">
        <v>8824</v>
      </c>
      <c r="B2427" s="49" t="str">
        <f t="shared" si="1"/>
        <v>RICO Act</v>
      </c>
      <c r="C2427" s="49" t="str">
        <f t="shared" si="2"/>
        <v>RICO Act; Conduct or participate in any enterprise through a pattern of racketeering activity or collection of unlawful debt</v>
      </c>
      <c r="D2427" s="49" t="str">
        <f t="shared" si="3"/>
        <v>21-6329(a)(3)</v>
      </c>
      <c r="E2427" s="11" t="s">
        <v>133</v>
      </c>
      <c r="F2427" s="11">
        <v>3.0</v>
      </c>
      <c r="G2427" s="11">
        <v>3.0</v>
      </c>
      <c r="H2427" s="11">
        <v>3.0</v>
      </c>
      <c r="I2427" s="11">
        <v>3.0</v>
      </c>
    </row>
    <row r="2428">
      <c r="A2428" s="10" t="s">
        <v>8825</v>
      </c>
      <c r="B2428" s="49" t="str">
        <f t="shared" si="1"/>
        <v>RICO Act</v>
      </c>
      <c r="C2428" s="49" t="str">
        <f t="shared" si="2"/>
        <v>RICO Act; Receive, with criminal intent, proceeds of a racketeering activity or collection of unlawful debt, in order to use or invest such proceeds in the acquisition of real property or operation of any enterprise</v>
      </c>
      <c r="D2428" s="49" t="str">
        <f t="shared" si="3"/>
        <v>21-6329(a)(1)</v>
      </c>
      <c r="E2428" s="11" t="s">
        <v>133</v>
      </c>
      <c r="F2428" s="11">
        <v>3.0</v>
      </c>
      <c r="G2428" s="11">
        <v>3.0</v>
      </c>
      <c r="H2428" s="11">
        <v>3.0</v>
      </c>
      <c r="I2428" s="11">
        <v>3.0</v>
      </c>
    </row>
    <row r="2429">
      <c r="A2429" s="10" t="s">
        <v>8826</v>
      </c>
      <c r="B2429" s="49" t="str">
        <f t="shared" si="1"/>
        <v>Riot</v>
      </c>
      <c r="C2429" s="49" t="str">
        <f t="shared" si="2"/>
        <v>Riot; Five or more persons acting together and without lawful authority engaging in any; Threat to use force or violence against any person or property if accompanied by power or apparent power of immediate execution</v>
      </c>
      <c r="D2429" s="49" t="str">
        <f t="shared" si="3"/>
        <v>21-6201(a)(2)</v>
      </c>
      <c r="E2429" s="11" t="s">
        <v>133</v>
      </c>
      <c r="F2429" s="11">
        <v>3.0</v>
      </c>
      <c r="G2429" s="11">
        <v>3.0</v>
      </c>
      <c r="H2429" s="11">
        <v>3.0</v>
      </c>
      <c r="I2429" s="11">
        <v>3.0</v>
      </c>
    </row>
    <row r="2430">
      <c r="A2430" s="10" t="s">
        <v>8827</v>
      </c>
      <c r="B2430" s="49" t="str">
        <f t="shared" si="1"/>
        <v>Riot</v>
      </c>
      <c r="C2430" s="49" t="str">
        <f t="shared" si="2"/>
        <v>Riot; Five or more persons acting together and without lawful authority engaging in any; Use of force of violence which produces a breach of peace</v>
      </c>
      <c r="D2430" s="49" t="str">
        <f t="shared" si="3"/>
        <v>21-6201(a)(1)</v>
      </c>
      <c r="E2430" s="11" t="s">
        <v>133</v>
      </c>
      <c r="F2430" s="11">
        <v>3.0</v>
      </c>
      <c r="G2430" s="11">
        <v>3.0</v>
      </c>
      <c r="H2430" s="11">
        <v>3.0</v>
      </c>
      <c r="I2430" s="11">
        <v>3.0</v>
      </c>
    </row>
    <row r="2431">
      <c r="A2431" s="10" t="s">
        <v>8828</v>
      </c>
      <c r="B2431" s="49" t="str">
        <f t="shared" si="1"/>
        <v>Roads &amp; Bridges</v>
      </c>
      <c r="C2431" s="49" t="str">
        <f t="shared" si="2"/>
        <v>Roads &amp; Bridges; County &amp; Township Roads; make a false return of the number of miles dragged, time spent on other work, or amount of work done for compensation; officer who neglects or refuses to enforce the provisions of this section as related to the dragging of roads or highways</v>
      </c>
      <c r="D2431" s="49" t="str">
        <f t="shared" si="3"/>
        <v>68-534</v>
      </c>
      <c r="E2431" s="11" t="s">
        <v>133</v>
      </c>
      <c r="F2431" s="11">
        <v>3.0</v>
      </c>
      <c r="G2431" s="11">
        <v>3.0</v>
      </c>
      <c r="H2431" s="11">
        <v>3.0</v>
      </c>
      <c r="I2431" s="11">
        <v>3.0</v>
      </c>
    </row>
    <row r="2432">
      <c r="A2432" s="10" t="s">
        <v>8829</v>
      </c>
      <c r="B2432" s="49" t="str">
        <f t="shared" si="1"/>
        <v>Roads &amp; Bridges</v>
      </c>
      <c r="C2432" s="49" t="str">
        <f t="shared" si="2"/>
        <v>Roads &amp; Bridges; County &amp; Township Roads; neglect or refusal of any officer charged with the administration of this act to enforce or comply with the provisions herein</v>
      </c>
      <c r="D2432" s="49" t="str">
        <f t="shared" si="3"/>
        <v>68-557</v>
      </c>
      <c r="E2432" s="11" t="s">
        <v>133</v>
      </c>
      <c r="F2432" s="11">
        <v>3.0</v>
      </c>
      <c r="G2432" s="11">
        <v>3.0</v>
      </c>
      <c r="H2432" s="11">
        <v>3.0</v>
      </c>
      <c r="I2432" s="11">
        <v>3.0</v>
      </c>
    </row>
    <row r="2433">
      <c r="A2433" s="10" t="s">
        <v>8830</v>
      </c>
      <c r="B2433" s="49" t="str">
        <f t="shared" si="1"/>
        <v>Roads &amp; Bridges</v>
      </c>
      <c r="C2433" s="49" t="str">
        <f t="shared" si="2"/>
        <v>Roads &amp; Bridges; County &amp; Township Roads; officer's violation of act or failure to perform duty as required</v>
      </c>
      <c r="D2433" s="49" t="str">
        <f t="shared" si="3"/>
        <v>68-548</v>
      </c>
      <c r="E2433" s="11" t="s">
        <v>133</v>
      </c>
      <c r="F2433" s="11">
        <v>3.0</v>
      </c>
      <c r="G2433" s="11">
        <v>3.0</v>
      </c>
      <c r="H2433" s="11">
        <v>3.0</v>
      </c>
      <c r="I2433" s="11">
        <v>3.0</v>
      </c>
    </row>
    <row r="2434">
      <c r="A2434" s="10" t="s">
        <v>8831</v>
      </c>
      <c r="B2434" s="49" t="str">
        <f t="shared" si="1"/>
        <v>Roads &amp; Bridges</v>
      </c>
      <c r="C2434" s="49" t="str">
        <f t="shared" si="2"/>
        <v>Roads &amp; Bridges; County &amp; Township Roads; penalty for violation of act</v>
      </c>
      <c r="D2434" s="49" t="str">
        <f t="shared" si="3"/>
        <v>68-549</v>
      </c>
      <c r="E2434" s="11" t="s">
        <v>133</v>
      </c>
      <c r="F2434" s="11">
        <v>3.0</v>
      </c>
      <c r="G2434" s="11">
        <v>3.0</v>
      </c>
      <c r="H2434" s="11">
        <v>3.0</v>
      </c>
      <c r="I2434" s="11">
        <v>3.0</v>
      </c>
    </row>
    <row r="2435">
      <c r="A2435" s="10" t="s">
        <v>8832</v>
      </c>
      <c r="B2435" s="49" t="str">
        <f t="shared" si="1"/>
        <v>Roads &amp; Bridges</v>
      </c>
      <c r="C2435" s="49" t="str">
        <f t="shared" si="2"/>
        <v>Roads &amp; Bridges; County &amp; Township Roads; unlawful obstructions, excavations, removal of materials, dumping trash or other materials or plowing of roads</v>
      </c>
      <c r="D2435" s="49" t="str">
        <f t="shared" si="3"/>
        <v>68-545</v>
      </c>
      <c r="E2435" s="11" t="s">
        <v>133</v>
      </c>
      <c r="F2435" s="11">
        <v>3.0</v>
      </c>
      <c r="G2435" s="11">
        <v>3.0</v>
      </c>
      <c r="H2435" s="11">
        <v>3.0</v>
      </c>
      <c r="I2435" s="11">
        <v>3.0</v>
      </c>
    </row>
    <row r="2436">
      <c r="A2436" s="10" t="s">
        <v>8833</v>
      </c>
      <c r="B2436" s="49" t="str">
        <f t="shared" si="1"/>
        <v>Roads &amp; Bridges</v>
      </c>
      <c r="C2436" s="49" t="str">
        <f t="shared" si="2"/>
        <v>Roads &amp; Bridges; Destroy or remove barricades, warning signs, or drive on closed hard-surfaced highway</v>
      </c>
      <c r="D2436" s="49" t="str">
        <f t="shared" si="3"/>
        <v>68-2106</v>
      </c>
      <c r="E2436" s="11" t="s">
        <v>133</v>
      </c>
      <c r="F2436" s="11">
        <v>3.0</v>
      </c>
      <c r="G2436" s="11">
        <v>3.0</v>
      </c>
      <c r="H2436" s="11">
        <v>3.0</v>
      </c>
      <c r="I2436" s="11">
        <v>3.0</v>
      </c>
    </row>
    <row r="2437">
      <c r="A2437" s="10" t="s">
        <v>8834</v>
      </c>
      <c r="B2437" s="49" t="str">
        <f t="shared" si="1"/>
        <v>Roads &amp; Bridges</v>
      </c>
      <c r="C2437" s="49" t="str">
        <f t="shared" si="2"/>
        <v>Roads &amp; Bridges; Fail, neglect or refuse to comply with the provisions of this act</v>
      </c>
      <c r="D2437" s="49" t="str">
        <f t="shared" si="3"/>
        <v>68-2107</v>
      </c>
      <c r="E2437" s="11" t="s">
        <v>133</v>
      </c>
      <c r="F2437" s="11">
        <v>3.0</v>
      </c>
      <c r="G2437" s="11">
        <v>3.0</v>
      </c>
      <c r="H2437" s="11">
        <v>3.0</v>
      </c>
      <c r="I2437" s="11">
        <v>3.0</v>
      </c>
    </row>
    <row r="2438">
      <c r="A2438" s="10" t="s">
        <v>8835</v>
      </c>
      <c r="B2438" s="49" t="str">
        <f t="shared" si="1"/>
        <v>Roads &amp; Bridges</v>
      </c>
      <c r="C2438" s="49" t="str">
        <f t="shared" si="2"/>
        <v>Roads &amp; Bridges; Injure or destroy, or leave open any gate constructed under the provisions of K.S.A. 68-126, at a time when such gate or gates are to remain closed</v>
      </c>
      <c r="D2438" s="49" t="str">
        <f t="shared" si="3"/>
        <v>68-127</v>
      </c>
      <c r="E2438" s="11" t="s">
        <v>133</v>
      </c>
      <c r="F2438" s="11">
        <v>3.0</v>
      </c>
      <c r="G2438" s="11">
        <v>3.0</v>
      </c>
      <c r="H2438" s="11">
        <v>3.0</v>
      </c>
      <c r="I2438" s="11">
        <v>3.0</v>
      </c>
    </row>
    <row r="2439">
      <c r="A2439" s="10" t="s">
        <v>8836</v>
      </c>
      <c r="B2439" s="49" t="str">
        <f t="shared" si="1"/>
        <v>Roads &amp; Bridges</v>
      </c>
      <c r="C2439" s="49" t="str">
        <f t="shared" si="2"/>
        <v>Roads &amp; Bridges; Install, construct, erect, maintain or operate within fifty (50) feet of the right of way of any federal, state or federal and state highway or any turnpike project a flashing or revolving sign, light or reflector which is red or amber in color when lighted or when light rays are focused on it</v>
      </c>
      <c r="D2439" s="49" t="str">
        <f t="shared" si="3"/>
        <v>68-167</v>
      </c>
      <c r="E2439" s="11" t="s">
        <v>133</v>
      </c>
      <c r="F2439" s="11">
        <v>3.0</v>
      </c>
      <c r="G2439" s="11">
        <v>3.0</v>
      </c>
      <c r="H2439" s="11">
        <v>3.0</v>
      </c>
      <c r="I2439" s="11">
        <v>3.0</v>
      </c>
    </row>
    <row r="2440">
      <c r="A2440" s="10" t="s">
        <v>8837</v>
      </c>
      <c r="B2440" s="49" t="str">
        <f t="shared" si="1"/>
        <v>Roads &amp; Bridges</v>
      </c>
      <c r="C2440" s="49" t="str">
        <f t="shared" si="2"/>
        <v>Roads &amp; Bridges; Junkyard &amp; Salvage Control Act; unlawful junkyard maintenance</v>
      </c>
      <c r="D2440" s="49" t="str">
        <f t="shared" si="3"/>
        <v>68-2215</v>
      </c>
      <c r="E2440" s="11" t="s">
        <v>133</v>
      </c>
      <c r="F2440" s="11">
        <v>3.0</v>
      </c>
      <c r="G2440" s="11">
        <v>3.0</v>
      </c>
      <c r="H2440" s="11">
        <v>3.0</v>
      </c>
      <c r="I2440" s="11">
        <v>3.0</v>
      </c>
    </row>
    <row r="2441">
      <c r="A2441" s="10" t="s">
        <v>8838</v>
      </c>
      <c r="B2441" s="49" t="str">
        <f t="shared" si="1"/>
        <v>Roads &amp; Bridges</v>
      </c>
      <c r="C2441" s="49" t="str">
        <f t="shared" si="2"/>
        <v>Roads &amp; Bridges; Move engines or heavy vehicles on bridge or culvert and fail to lay planks required</v>
      </c>
      <c r="D2441" s="49" t="str">
        <f t="shared" si="3"/>
        <v>68-1129</v>
      </c>
      <c r="E2441" s="11" t="s">
        <v>133</v>
      </c>
      <c r="F2441" s="11">
        <v>3.0</v>
      </c>
      <c r="G2441" s="11">
        <v>3.0</v>
      </c>
      <c r="H2441" s="11">
        <v>3.0</v>
      </c>
      <c r="I2441" s="11">
        <v>3.0</v>
      </c>
    </row>
    <row r="2442">
      <c r="A2442" s="10" t="s">
        <v>8839</v>
      </c>
      <c r="B2442" s="49" t="str">
        <f t="shared" si="1"/>
        <v>Roads &amp; Bridges</v>
      </c>
      <c r="C2442" s="49" t="str">
        <f t="shared" si="2"/>
        <v>Roads &amp; Bridges; Penalty for premature opening of bids</v>
      </c>
      <c r="D2442" s="49" t="str">
        <f t="shared" si="3"/>
        <v>68-1115</v>
      </c>
      <c r="E2442" s="11" t="s">
        <v>133</v>
      </c>
      <c r="F2442" s="11">
        <v>3.0</v>
      </c>
      <c r="G2442" s="11">
        <v>3.0</v>
      </c>
      <c r="H2442" s="11">
        <v>3.0</v>
      </c>
      <c r="I2442" s="11">
        <v>3.0</v>
      </c>
    </row>
    <row r="2443">
      <c r="A2443" s="10" t="s">
        <v>8840</v>
      </c>
      <c r="B2443" s="49" t="str">
        <f t="shared" si="1"/>
        <v>Roads &amp; Bridges</v>
      </c>
      <c r="C2443" s="49" t="str">
        <f t="shared" si="2"/>
        <v>Roads &amp; Bridges; Remove, ride or drive upon any portion of sidewalk</v>
      </c>
      <c r="D2443" s="49" t="str">
        <f t="shared" si="3"/>
        <v>68-134</v>
      </c>
      <c r="E2443" s="11" t="s">
        <v>133</v>
      </c>
      <c r="F2443" s="11">
        <v>3.0</v>
      </c>
      <c r="G2443" s="11">
        <v>3.0</v>
      </c>
      <c r="H2443" s="11">
        <v>3.0</v>
      </c>
      <c r="I2443" s="11">
        <v>3.0</v>
      </c>
    </row>
    <row r="2444">
      <c r="A2444" s="10" t="s">
        <v>8841</v>
      </c>
      <c r="B2444" s="49" t="str">
        <f t="shared" si="1"/>
        <v>Roads &amp; Bridges</v>
      </c>
      <c r="C2444" s="49" t="str">
        <f t="shared" si="2"/>
        <v>Roads &amp; Bridges; State Highways; fail or neglect to comply with the provisions of this subsection</v>
      </c>
      <c r="D2444" s="49" t="str">
        <f t="shared" si="3"/>
        <v>68-406(f)</v>
      </c>
      <c r="E2444" s="11" t="s">
        <v>133</v>
      </c>
      <c r="F2444" s="11">
        <v>3.0</v>
      </c>
      <c r="G2444" s="11">
        <v>3.0</v>
      </c>
      <c r="H2444" s="11">
        <v>3.0</v>
      </c>
      <c r="I2444" s="11">
        <v>3.0</v>
      </c>
    </row>
    <row r="2445">
      <c r="A2445" s="10" t="s">
        <v>8842</v>
      </c>
      <c r="B2445" s="49" t="str">
        <f t="shared" si="1"/>
        <v>Roads &amp; Bridges</v>
      </c>
      <c r="C2445" s="49" t="str">
        <f t="shared" si="2"/>
        <v>Roads &amp; Bridges; State Highways; penalty for violation of act</v>
      </c>
      <c r="D2445" s="49" t="str">
        <f t="shared" si="3"/>
        <v>68-433</v>
      </c>
      <c r="E2445" s="11" t="s">
        <v>133</v>
      </c>
      <c r="F2445" s="11">
        <v>3.0</v>
      </c>
      <c r="G2445" s="11">
        <v>3.0</v>
      </c>
      <c r="H2445" s="11">
        <v>3.0</v>
      </c>
      <c r="I2445" s="11">
        <v>3.0</v>
      </c>
    </row>
    <row r="2446">
      <c r="A2446" s="10" t="s">
        <v>8843</v>
      </c>
      <c r="B2446" s="49" t="str">
        <f t="shared" si="1"/>
        <v>Robbery</v>
      </c>
      <c r="C2446" s="49" t="str">
        <f t="shared" si="2"/>
        <v>Robbery; Knowingly take property from person or presence of another by force or by threat of bodily harm</v>
      </c>
      <c r="D2446" s="49" t="str">
        <f t="shared" si="3"/>
        <v>21-5420(a)</v>
      </c>
      <c r="E2446" s="11" t="s">
        <v>133</v>
      </c>
      <c r="F2446" s="11">
        <v>3.0</v>
      </c>
      <c r="G2446" s="11">
        <v>3.0</v>
      </c>
      <c r="H2446" s="11">
        <v>3.0</v>
      </c>
      <c r="I2446" s="11">
        <v>3.0</v>
      </c>
    </row>
    <row r="2447">
      <c r="A2447" s="10" t="s">
        <v>8844</v>
      </c>
      <c r="B2447" s="49" t="str">
        <f t="shared" si="1"/>
        <v>Sabbath</v>
      </c>
      <c r="C2447" s="49" t="str">
        <f t="shared" si="2"/>
        <v>Sabbath; Penalty for procuring adjournment for trial on Saturday</v>
      </c>
      <c r="D2447" s="49" t="str">
        <f t="shared" si="3"/>
        <v>69-103</v>
      </c>
      <c r="E2447" s="11" t="s">
        <v>133</v>
      </c>
      <c r="F2447" s="11">
        <v>3.0</v>
      </c>
      <c r="G2447" s="11">
        <v>3.0</v>
      </c>
      <c r="H2447" s="11">
        <v>3.0</v>
      </c>
      <c r="I2447" s="11">
        <v>3.0</v>
      </c>
    </row>
    <row r="2448">
      <c r="A2448" s="10" t="s">
        <v>8845</v>
      </c>
      <c r="B2448" s="49" t="str">
        <f t="shared" si="1"/>
        <v>Sabbath</v>
      </c>
      <c r="C2448" s="49" t="str">
        <f t="shared" si="2"/>
        <v>Sabbath; Penalty for serving process made returnable on that day</v>
      </c>
      <c r="D2448" s="49" t="str">
        <f t="shared" si="3"/>
        <v>69-102</v>
      </c>
      <c r="E2448" s="11" t="s">
        <v>133</v>
      </c>
      <c r="F2448" s="11">
        <v>3.0</v>
      </c>
      <c r="G2448" s="11">
        <v>3.0</v>
      </c>
      <c r="H2448" s="11">
        <v>3.0</v>
      </c>
      <c r="I2448" s="11">
        <v>3.0</v>
      </c>
    </row>
    <row r="2449">
      <c r="A2449" s="10" t="s">
        <v>8846</v>
      </c>
      <c r="B2449" s="49" t="str">
        <f t="shared" si="1"/>
        <v>Safety Materials</v>
      </c>
      <c r="C2449" s="49" t="str">
        <f t="shared" si="2"/>
        <v>Safety Materials; Knowingly install, cause installation or consent to installation of glazing materials other than safety glazing materials in any hazardous location</v>
      </c>
      <c r="D2449" s="49" t="str">
        <f t="shared" si="3"/>
        <v>65-3803</v>
      </c>
      <c r="E2449" s="11" t="s">
        <v>133</v>
      </c>
      <c r="F2449" s="11">
        <v>3.0</v>
      </c>
      <c r="G2449" s="11">
        <v>3.0</v>
      </c>
      <c r="H2449" s="11">
        <v>3.0</v>
      </c>
      <c r="I2449" s="11">
        <v>3.0</v>
      </c>
    </row>
    <row r="2450">
      <c r="A2450" s="10" t="s">
        <v>8847</v>
      </c>
      <c r="B2450" s="49" t="str">
        <f t="shared" si="1"/>
        <v>Safety Materials</v>
      </c>
      <c r="C2450" s="49" t="str">
        <f t="shared" si="2"/>
        <v>Safety Materials; Safety glazing material labeling required</v>
      </c>
      <c r="D2450" s="49" t="str">
        <f t="shared" si="3"/>
        <v>65-3802(a)</v>
      </c>
      <c r="E2450" s="11" t="s">
        <v>133</v>
      </c>
      <c r="F2450" s="11">
        <v>3.0</v>
      </c>
      <c r="G2450" s="11">
        <v>3.0</v>
      </c>
      <c r="H2450" s="11">
        <v>3.0</v>
      </c>
      <c r="I2450" s="11">
        <v>3.0</v>
      </c>
    </row>
    <row r="2451">
      <c r="A2451" s="10" t="s">
        <v>8848</v>
      </c>
      <c r="B2451" s="49" t="str">
        <f t="shared" si="1"/>
        <v>Sale of Recut or Regrooved Tires</v>
      </c>
      <c r="C2451" s="49" t="str">
        <f t="shared" si="2"/>
        <v>Sale of Recut or Regrooved Tires</v>
      </c>
      <c r="D2451" s="49" t="str">
        <f t="shared" si="3"/>
        <v>21-5834(a)</v>
      </c>
      <c r="E2451" s="11" t="s">
        <v>133</v>
      </c>
      <c r="F2451" s="11">
        <v>3.0</v>
      </c>
      <c r="G2451" s="11">
        <v>3.0</v>
      </c>
      <c r="H2451" s="11">
        <v>3.0</v>
      </c>
      <c r="I2451" s="11">
        <v>3.0</v>
      </c>
    </row>
    <row r="2452">
      <c r="A2452" s="10" t="s">
        <v>8849</v>
      </c>
      <c r="B2452" s="49" t="str">
        <f t="shared" si="1"/>
        <v>Sand &amp; Gravel</v>
      </c>
      <c r="C2452" s="49" t="str">
        <f t="shared" si="2"/>
        <v>Sand &amp; Gravel; Taking materials from rivers and islands belonging to state</v>
      </c>
      <c r="D2452" s="49" t="str">
        <f t="shared" si="3"/>
        <v>70a-101</v>
      </c>
      <c r="E2452" s="11" t="s">
        <v>133</v>
      </c>
      <c r="F2452" s="11">
        <v>3.0</v>
      </c>
      <c r="G2452" s="11">
        <v>3.0</v>
      </c>
      <c r="H2452" s="11">
        <v>3.0</v>
      </c>
      <c r="I2452" s="11">
        <v>3.0</v>
      </c>
    </row>
    <row r="2453">
      <c r="A2453" s="10" t="s">
        <v>8850</v>
      </c>
      <c r="B2453" s="49" t="str">
        <f t="shared" si="1"/>
        <v>Sanitation Controls</v>
      </c>
      <c r="C2453" s="49" t="str">
        <f t="shared" si="2"/>
        <v>Sanitation Controls; Penalty for any violation of code</v>
      </c>
      <c r="D2453" s="49" t="str">
        <f t="shared" si="3"/>
        <v>19-3707(a)</v>
      </c>
      <c r="E2453" s="11" t="s">
        <v>133</v>
      </c>
      <c r="F2453" s="11">
        <v>3.0</v>
      </c>
      <c r="G2453" s="11">
        <v>3.0</v>
      </c>
      <c r="H2453" s="11">
        <v>3.0</v>
      </c>
      <c r="I2453" s="11">
        <v>3.0</v>
      </c>
    </row>
    <row r="2454">
      <c r="A2454" s="10" t="s">
        <v>8851</v>
      </c>
      <c r="B2454" s="49" t="str">
        <f t="shared" si="1"/>
        <v>Sanitation Controls</v>
      </c>
      <c r="C2454" s="49" t="str">
        <f t="shared" si="2"/>
        <v>Sanitation Controls; Violation of licensing resolutions pertaining to septic tank cleaning and hauling of sewage</v>
      </c>
      <c r="D2454" s="49" t="str">
        <f t="shared" si="3"/>
        <v>19-3709</v>
      </c>
      <c r="E2454" s="11" t="s">
        <v>133</v>
      </c>
      <c r="F2454" s="11">
        <v>3.0</v>
      </c>
      <c r="G2454" s="11">
        <v>3.0</v>
      </c>
      <c r="H2454" s="11">
        <v>3.0</v>
      </c>
      <c r="I2454" s="11">
        <v>3.0</v>
      </c>
    </row>
    <row r="2455">
      <c r="A2455" s="10" t="s">
        <v>8852</v>
      </c>
      <c r="B2455" s="49" t="str">
        <f t="shared" si="1"/>
        <v>Savings &amp; Loans Code</v>
      </c>
      <c r="C2455" s="49" t="str">
        <f t="shared" si="2"/>
        <v>Savings &amp; Loans Code; Capital; declaration of dividends</v>
      </c>
      <c r="D2455" s="49" t="str">
        <f t="shared" si="3"/>
        <v>17-5412</v>
      </c>
      <c r="E2455" s="11" t="s">
        <v>133</v>
      </c>
      <c r="F2455" s="11">
        <v>3.0</v>
      </c>
      <c r="G2455" s="11">
        <v>3.0</v>
      </c>
      <c r="H2455" s="11">
        <v>3.0</v>
      </c>
      <c r="I2455" s="11">
        <v>3.0</v>
      </c>
    </row>
    <row r="2456">
      <c r="A2456" s="10" t="s">
        <v>8853</v>
      </c>
      <c r="B2456" s="49" t="str">
        <f t="shared" si="1"/>
        <v>Savings &amp; Loans Code</v>
      </c>
      <c r="C2456" s="49" t="str">
        <f t="shared" si="2"/>
        <v>Savings &amp; Loans Code; Misc.; accept payment when capital impaired</v>
      </c>
      <c r="D2456" s="49" t="str">
        <f t="shared" si="3"/>
        <v>17-5811</v>
      </c>
      <c r="E2456" s="11" t="s">
        <v>133</v>
      </c>
      <c r="F2456" s="11">
        <v>3.0</v>
      </c>
      <c r="G2456" s="11">
        <v>3.0</v>
      </c>
      <c r="H2456" s="11">
        <v>3.0</v>
      </c>
      <c r="I2456" s="11">
        <v>3.0</v>
      </c>
    </row>
    <row r="2457">
      <c r="A2457" s="10" t="s">
        <v>8854</v>
      </c>
      <c r="B2457" s="49" t="str">
        <f t="shared" si="1"/>
        <v>Savings &amp; Loans Code</v>
      </c>
      <c r="C2457" s="49" t="str">
        <f t="shared" si="2"/>
        <v>Savings &amp; Loans Code; Misc.; Fraudulent Acts</v>
      </c>
      <c r="D2457" s="49" t="str">
        <f t="shared" si="3"/>
        <v>17-5812</v>
      </c>
      <c r="E2457" s="11" t="s">
        <v>133</v>
      </c>
      <c r="F2457" s="11">
        <v>3.0</v>
      </c>
      <c r="G2457" s="11">
        <v>3.0</v>
      </c>
      <c r="H2457" s="11">
        <v>3.0</v>
      </c>
      <c r="I2457" s="11">
        <v>3.0</v>
      </c>
    </row>
    <row r="2458">
      <c r="A2458" s="10" t="s">
        <v>8855</v>
      </c>
      <c r="B2458" s="49" t="str">
        <f t="shared" si="1"/>
        <v>School Safety &amp; Security Act</v>
      </c>
      <c r="C2458" s="49" t="str">
        <f t="shared" si="2"/>
        <v>School Safety &amp; Security Act; Willful and knowing failure to make a report; prevent or interfere with the making of a report as required by subsection (b)(1) of K.S.A. 72-89b03</v>
      </c>
      <c r="D2458" s="49" t="str">
        <f t="shared" si="3"/>
        <v>72-89b04(a)</v>
      </c>
      <c r="E2458" s="11" t="s">
        <v>133</v>
      </c>
      <c r="F2458" s="11">
        <v>3.0</v>
      </c>
      <c r="G2458" s="11">
        <v>3.0</v>
      </c>
      <c r="H2458" s="11">
        <v>3.0</v>
      </c>
      <c r="I2458" s="11">
        <v>3.0</v>
      </c>
    </row>
    <row r="2459">
      <c r="A2459" s="10" t="s">
        <v>8856</v>
      </c>
      <c r="B2459" s="49" t="str">
        <f t="shared" si="1"/>
        <v>School Safety &amp; Security Act</v>
      </c>
      <c r="C2459" s="49" t="str">
        <f t="shared" si="2"/>
        <v>School Safety &amp; Security Act; Willful and knowing failure to transmit reports made by school employees to the appropriate state or local law enforcement agency; prevent or interfere with the transmission of reports as required by subsection (b)(1) of K.S.A. 72-89b03</v>
      </c>
      <c r="D2459" s="49" t="str">
        <f t="shared" si="3"/>
        <v>72-89b04(b)</v>
      </c>
      <c r="E2459" s="11" t="s">
        <v>133</v>
      </c>
      <c r="F2459" s="11">
        <v>3.0</v>
      </c>
      <c r="G2459" s="11">
        <v>3.0</v>
      </c>
      <c r="H2459" s="11">
        <v>3.0</v>
      </c>
      <c r="I2459" s="11">
        <v>3.0</v>
      </c>
    </row>
    <row r="2460">
      <c r="A2460" s="10" t="s">
        <v>8857</v>
      </c>
      <c r="B2460" s="49" t="str">
        <f t="shared" si="1"/>
        <v>Schools</v>
      </c>
      <c r="C2460" s="49" t="str">
        <f t="shared" si="2"/>
        <v>Schools; Driver Training; use a driver training motor vehicle for purposes other than instruction</v>
      </c>
      <c r="D2460" s="49" t="str">
        <f t="shared" si="3"/>
        <v>72-5019</v>
      </c>
      <c r="E2460" s="11" t="s">
        <v>133</v>
      </c>
      <c r="F2460" s="11">
        <v>3.0</v>
      </c>
      <c r="G2460" s="11">
        <v>3.0</v>
      </c>
      <c r="H2460" s="11">
        <v>3.0</v>
      </c>
      <c r="I2460" s="11">
        <v>3.0</v>
      </c>
    </row>
    <row r="2461">
      <c r="A2461" s="10" t="s">
        <v>8858</v>
      </c>
      <c r="B2461" s="49" t="str">
        <f t="shared" si="1"/>
        <v>Schools</v>
      </c>
      <c r="C2461" s="49" t="str">
        <f t="shared" si="2"/>
        <v>Schools; Transportation of Students; operate motor vehicle used to transport students in violation of act</v>
      </c>
      <c r="D2461" s="49" t="str">
        <f t="shared" si="3"/>
        <v>72-8314</v>
      </c>
      <c r="E2461" s="11" t="s">
        <v>133</v>
      </c>
      <c r="F2461" s="11">
        <v>3.0</v>
      </c>
      <c r="G2461" s="11">
        <v>3.0</v>
      </c>
      <c r="H2461" s="11">
        <v>3.0</v>
      </c>
      <c r="I2461" s="11">
        <v>3.0</v>
      </c>
    </row>
    <row r="2462">
      <c r="A2462" s="10" t="s">
        <v>8859</v>
      </c>
      <c r="B2462" s="49" t="str">
        <f t="shared" si="1"/>
        <v>Scrap Metal Dealers</v>
      </c>
      <c r="C2462" s="49" t="str">
        <f t="shared" si="2"/>
        <v>Scrap Metal Dealers; Intentional purchase without receipt of required information; records maintained</v>
      </c>
      <c r="D2462" s="49" t="str">
        <f t="shared" si="3"/>
        <v>50-6,111</v>
      </c>
      <c r="E2462" s="11" t="s">
        <v>133</v>
      </c>
      <c r="F2462" s="11">
        <v>3.0</v>
      </c>
      <c r="G2462" s="11">
        <v>3.0</v>
      </c>
      <c r="H2462" s="11">
        <v>3.0</v>
      </c>
      <c r="I2462" s="11">
        <v>3.0</v>
      </c>
    </row>
    <row r="2463">
      <c r="A2463" s="10" t="s">
        <v>8860</v>
      </c>
      <c r="B2463" s="49" t="str">
        <f t="shared" si="1"/>
        <v>Scrap Metal Dealers</v>
      </c>
      <c r="C2463" s="49" t="str">
        <f t="shared" si="2"/>
        <v>Scrap Metal Dealers; Intentional purchase without receipt of required information; records maintained; 2nd violation within 2-yr period</v>
      </c>
      <c r="D2463" s="49" t="str">
        <f t="shared" si="3"/>
        <v>50-6,111</v>
      </c>
      <c r="E2463" s="11" t="s">
        <v>133</v>
      </c>
      <c r="F2463" s="11">
        <v>3.0</v>
      </c>
      <c r="G2463" s="11">
        <v>3.0</v>
      </c>
      <c r="H2463" s="11">
        <v>3.0</v>
      </c>
      <c r="I2463" s="11">
        <v>3.0</v>
      </c>
    </row>
    <row r="2464">
      <c r="A2464" s="10" t="s">
        <v>8861</v>
      </c>
      <c r="B2464" s="49" t="str">
        <f t="shared" si="1"/>
        <v>Scrap Metal Dealers</v>
      </c>
      <c r="C2464" s="49" t="str">
        <f t="shared" si="2"/>
        <v>Scrap Metal Dealers; Intentional purchase without receipt of required information; records maintained; 3rd or subs. violation within 2-yr period</v>
      </c>
      <c r="D2464" s="49" t="str">
        <f t="shared" si="3"/>
        <v>50-6,111</v>
      </c>
      <c r="E2464" s="11" t="s">
        <v>133</v>
      </c>
      <c r="F2464" s="11">
        <v>3.0</v>
      </c>
      <c r="G2464" s="11">
        <v>3.0</v>
      </c>
      <c r="H2464" s="11">
        <v>3.0</v>
      </c>
      <c r="I2464" s="11">
        <v>3.0</v>
      </c>
    </row>
    <row r="2465">
      <c r="A2465" s="10" t="s">
        <v>8862</v>
      </c>
      <c r="B2465" s="49" t="str">
        <f t="shared" si="1"/>
        <v>Scrap Metal Dealers</v>
      </c>
      <c r="C2465" s="49" t="str">
        <f t="shared" si="2"/>
        <v>Scrap Metal Dealers; Intentional sale without receipt of required information</v>
      </c>
      <c r="D2465" s="49" t="str">
        <f t="shared" si="3"/>
        <v>50-6,110</v>
      </c>
      <c r="E2465" s="11" t="s">
        <v>133</v>
      </c>
      <c r="F2465" s="11">
        <v>3.0</v>
      </c>
      <c r="G2465" s="11">
        <v>3.0</v>
      </c>
      <c r="H2465" s="11">
        <v>3.0</v>
      </c>
      <c r="I2465" s="11">
        <v>3.0</v>
      </c>
    </row>
    <row r="2466">
      <c r="A2466" s="10" t="s">
        <v>8863</v>
      </c>
      <c r="B2466" s="49" t="str">
        <f t="shared" si="1"/>
        <v>Scrap Metal Dealers</v>
      </c>
      <c r="C2466" s="49" t="str">
        <f t="shared" si="2"/>
        <v>Scrap Metal Dealers; Intentional sale without receipt of required information; 2nd violation within 2-yr period</v>
      </c>
      <c r="D2466" s="49" t="str">
        <f t="shared" si="3"/>
        <v>50-6,110</v>
      </c>
      <c r="E2466" s="11" t="s">
        <v>133</v>
      </c>
      <c r="F2466" s="11">
        <v>3.0</v>
      </c>
      <c r="G2466" s="11">
        <v>3.0</v>
      </c>
      <c r="H2466" s="11">
        <v>3.0</v>
      </c>
      <c r="I2466" s="11">
        <v>3.0</v>
      </c>
    </row>
    <row r="2467">
      <c r="A2467" s="10" t="s">
        <v>8864</v>
      </c>
      <c r="B2467" s="49" t="str">
        <f t="shared" si="1"/>
        <v>Scrap Metal Dealers</v>
      </c>
      <c r="C2467" s="49" t="str">
        <f t="shared" si="2"/>
        <v>Scrap Metal Dealers; Intentional sale without receipt of required information; 3rd or subs. violation within 2-yr period</v>
      </c>
      <c r="D2467" s="49" t="str">
        <f t="shared" si="3"/>
        <v>50-6,110</v>
      </c>
      <c r="E2467" s="11" t="s">
        <v>133</v>
      </c>
      <c r="F2467" s="11">
        <v>3.0</v>
      </c>
      <c r="G2467" s="11">
        <v>3.0</v>
      </c>
      <c r="H2467" s="11">
        <v>3.0</v>
      </c>
      <c r="I2467" s="11">
        <v>3.0</v>
      </c>
    </row>
    <row r="2468">
      <c r="A2468" s="10" t="s">
        <v>8865</v>
      </c>
      <c r="B2468" s="49" t="str">
        <f t="shared" si="1"/>
        <v>Sec. of Health &amp; Environment, Activities</v>
      </c>
      <c r="C2468" s="49" t="str">
        <f t="shared" si="2"/>
        <v>Sec. of Health &amp; Environment, Activities; Breach in confidentiality of Statewide program for sickle cell anemia testing</v>
      </c>
      <c r="D2468" s="49" t="str">
        <f t="shared" si="3"/>
        <v>65-1,106</v>
      </c>
      <c r="E2468" s="11" t="s">
        <v>133</v>
      </c>
      <c r="F2468" s="11">
        <v>3.0</v>
      </c>
      <c r="G2468" s="11">
        <v>3.0</v>
      </c>
      <c r="H2468" s="11">
        <v>3.0</v>
      </c>
      <c r="I2468" s="11">
        <v>3.0</v>
      </c>
    </row>
    <row r="2469">
      <c r="A2469" s="10" t="s">
        <v>8866</v>
      </c>
      <c r="B2469" s="49" t="str">
        <f t="shared" si="1"/>
        <v>Sec. of Health &amp; Environment, Activities</v>
      </c>
      <c r="C2469" s="49" t="str">
        <f t="shared" si="2"/>
        <v>Sec. of Health &amp; Environment, Activities; Discharge of substances containing mercury into waters of state</v>
      </c>
      <c r="D2469" s="49" t="str">
        <f t="shared" si="3"/>
        <v>65-171j(b)</v>
      </c>
      <c r="E2469" s="11" t="s">
        <v>133</v>
      </c>
      <c r="F2469" s="11">
        <v>3.0</v>
      </c>
      <c r="G2469" s="11">
        <v>3.0</v>
      </c>
      <c r="H2469" s="11">
        <v>3.0</v>
      </c>
      <c r="I2469" s="11">
        <v>3.0</v>
      </c>
    </row>
    <row r="2470">
      <c r="A2470" s="10" t="s">
        <v>8867</v>
      </c>
      <c r="B2470" s="49" t="str">
        <f t="shared" si="1"/>
        <v>Sec. of Health &amp; Environment, Activities</v>
      </c>
      <c r="C2470" s="49" t="str">
        <f t="shared" si="2"/>
        <v>Sec. of Health &amp; Environment, Activities; Duty of physician and others</v>
      </c>
      <c r="D2470" s="49" t="str">
        <f t="shared" si="3"/>
        <v>65-153c</v>
      </c>
      <c r="E2470" s="11" t="s">
        <v>133</v>
      </c>
      <c r="F2470" s="11">
        <v>3.0</v>
      </c>
      <c r="G2470" s="11">
        <v>3.0</v>
      </c>
      <c r="H2470" s="11">
        <v>3.0</v>
      </c>
      <c r="I2470" s="11">
        <v>3.0</v>
      </c>
    </row>
    <row r="2471">
      <c r="A2471" s="10" t="s">
        <v>8868</v>
      </c>
      <c r="B2471" s="49" t="str">
        <f t="shared" si="1"/>
        <v>Sec. of Health &amp; Environment, Activities</v>
      </c>
      <c r="C2471" s="49" t="str">
        <f t="shared" si="2"/>
        <v>Sec. of Health &amp; Environment, Activities; Failure of person testing human breath for law enforcement purposes to comply with procedures and use appropriate equipment</v>
      </c>
      <c r="D2471" s="49" t="str">
        <f t="shared" si="3"/>
        <v>65-1,109(a)</v>
      </c>
      <c r="E2471" s="11" t="s">
        <v>133</v>
      </c>
      <c r="F2471" s="11">
        <v>3.0</v>
      </c>
      <c r="G2471" s="11">
        <v>3.0</v>
      </c>
      <c r="H2471" s="11">
        <v>3.0</v>
      </c>
      <c r="I2471" s="11">
        <v>3.0</v>
      </c>
    </row>
    <row r="2472">
      <c r="A2472" s="10" t="s">
        <v>8869</v>
      </c>
      <c r="B2472" s="49" t="str">
        <f t="shared" si="1"/>
        <v>Sec. of Health &amp; Environment, Activities</v>
      </c>
      <c r="C2472" s="49" t="str">
        <f t="shared" si="2"/>
        <v>Sec. of Health &amp; Environment, Activities; Failure to comply with requirements of secretary</v>
      </c>
      <c r="D2472" s="49" t="str">
        <f t="shared" si="3"/>
        <v>65-169</v>
      </c>
      <c r="E2472" s="11" t="s">
        <v>133</v>
      </c>
      <c r="F2472" s="11">
        <v>3.0</v>
      </c>
      <c r="G2472" s="11">
        <v>3.0</v>
      </c>
      <c r="H2472" s="11">
        <v>3.0</v>
      </c>
      <c r="I2472" s="11">
        <v>3.0</v>
      </c>
    </row>
    <row r="2473">
      <c r="A2473" s="10" t="s">
        <v>8870</v>
      </c>
      <c r="B2473" s="49" t="str">
        <f t="shared" si="1"/>
        <v>Sec. of Health &amp; Environment, Activities</v>
      </c>
      <c r="C2473" s="49" t="str">
        <f t="shared" si="2"/>
        <v>Sec. of Health &amp; Environment, Activities; Inspections; violation of any rules or regulations made to safeguard the public health and to prevent the spread of contagious or infectious diseases</v>
      </c>
      <c r="D2473" s="49" t="str">
        <f t="shared" si="3"/>
        <v>65-173</v>
      </c>
      <c r="E2473" s="11" t="s">
        <v>133</v>
      </c>
      <c r="F2473" s="11">
        <v>3.0</v>
      </c>
      <c r="G2473" s="11">
        <v>3.0</v>
      </c>
      <c r="H2473" s="11">
        <v>3.0</v>
      </c>
      <c r="I2473" s="11">
        <v>3.0</v>
      </c>
    </row>
    <row r="2474">
      <c r="A2474" s="10" t="s">
        <v>8871</v>
      </c>
      <c r="B2474" s="49" t="str">
        <f t="shared" si="1"/>
        <v>Sec. of Health &amp; Environment, Activities</v>
      </c>
      <c r="C2474" s="49" t="str">
        <f t="shared" si="2"/>
        <v>Sec. of Health &amp; Environment, Activities; Newly born infant; treatment of eyes</v>
      </c>
      <c r="D2474" s="49" t="str">
        <f t="shared" si="3"/>
        <v>65-153b</v>
      </c>
      <c r="E2474" s="11" t="s">
        <v>133</v>
      </c>
      <c r="F2474" s="11">
        <v>3.0</v>
      </c>
      <c r="G2474" s="11">
        <v>3.0</v>
      </c>
      <c r="H2474" s="11">
        <v>3.0</v>
      </c>
      <c r="I2474" s="11">
        <v>3.0</v>
      </c>
    </row>
    <row r="2475">
      <c r="A2475" s="10" t="s">
        <v>8872</v>
      </c>
      <c r="B2475" s="49" t="str">
        <f t="shared" si="1"/>
        <v>Sec. of Health &amp; Environment, Activities</v>
      </c>
      <c r="C2475" s="49" t="str">
        <f t="shared" si="2"/>
        <v>Sec. of Health &amp; Environment, Activities; Penalty for unauthorized disclosure of data in violation of the provisions of this act</v>
      </c>
      <c r="D2475" s="49" t="str">
        <f t="shared" si="3"/>
        <v>65-179</v>
      </c>
      <c r="E2475" s="11" t="s">
        <v>133</v>
      </c>
      <c r="F2475" s="11">
        <v>3.0</v>
      </c>
      <c r="G2475" s="11">
        <v>3.0</v>
      </c>
      <c r="H2475" s="11">
        <v>3.0</v>
      </c>
      <c r="I2475" s="11">
        <v>3.0</v>
      </c>
    </row>
    <row r="2476">
      <c r="A2476" s="10" t="s">
        <v>8873</v>
      </c>
      <c r="B2476" s="49" t="str">
        <f t="shared" si="1"/>
        <v>Sec. of Health &amp; Environment, Activities</v>
      </c>
      <c r="C2476" s="49" t="str">
        <f t="shared" si="2"/>
        <v>Sec. of Health &amp; Environment, Activities; Penalty for violating 65-153b to 65-153e</v>
      </c>
      <c r="D2476" s="49" t="str">
        <f t="shared" si="3"/>
        <v>65-153e</v>
      </c>
      <c r="E2476" s="11" t="s">
        <v>133</v>
      </c>
      <c r="F2476" s="11">
        <v>3.0</v>
      </c>
      <c r="G2476" s="11">
        <v>3.0</v>
      </c>
      <c r="H2476" s="11">
        <v>3.0</v>
      </c>
      <c r="I2476" s="11">
        <v>3.0</v>
      </c>
    </row>
    <row r="2477">
      <c r="A2477" s="10" t="s">
        <v>8874</v>
      </c>
      <c r="B2477" s="49" t="str">
        <f t="shared" si="1"/>
        <v>Sec. of Health &amp; Environment, Activities</v>
      </c>
      <c r="C2477" s="49" t="str">
        <f t="shared" si="2"/>
        <v>Sec. of Health &amp; Environment, Activities; Penalty for violations of act or regulations</v>
      </c>
      <c r="D2477" s="49" t="str">
        <f t="shared" si="3"/>
        <v>65-116g</v>
      </c>
      <c r="E2477" s="11" t="s">
        <v>133</v>
      </c>
      <c r="F2477" s="11">
        <v>3.0</v>
      </c>
      <c r="G2477" s="11">
        <v>3.0</v>
      </c>
      <c r="H2477" s="11">
        <v>3.0</v>
      </c>
      <c r="I2477" s="11">
        <v>3.0</v>
      </c>
    </row>
    <row r="2478">
      <c r="A2478" s="10" t="s">
        <v>8875</v>
      </c>
      <c r="B2478" s="49" t="str">
        <f t="shared" si="1"/>
        <v>Sec. of Health &amp; Environment, Activities</v>
      </c>
      <c r="C2478" s="49" t="str">
        <f t="shared" si="2"/>
        <v>Sec. of Health &amp; Environment, Activities; Penalty for willful violation of this act</v>
      </c>
      <c r="D2478" s="49" t="str">
        <f t="shared" si="3"/>
        <v>65-153h</v>
      </c>
      <c r="E2478" s="11" t="s">
        <v>133</v>
      </c>
      <c r="F2478" s="11">
        <v>3.0</v>
      </c>
      <c r="G2478" s="11">
        <v>3.0</v>
      </c>
      <c r="H2478" s="11">
        <v>3.0</v>
      </c>
      <c r="I2478" s="11">
        <v>3.0</v>
      </c>
    </row>
    <row r="2479">
      <c r="A2479" s="10" t="s">
        <v>8876</v>
      </c>
      <c r="B2479" s="49" t="str">
        <f t="shared" si="1"/>
        <v>Sec. of Health &amp; Environment, Activities</v>
      </c>
      <c r="C2479" s="49" t="str">
        <f t="shared" si="2"/>
        <v>Sec. of Health &amp; Environment, Activities; Perform certain tests outside an approved laboratory</v>
      </c>
      <c r="D2479" s="49" t="str">
        <f t="shared" si="3"/>
        <v>65-1,108(a)</v>
      </c>
      <c r="E2479" s="11" t="s">
        <v>133</v>
      </c>
      <c r="F2479" s="11">
        <v>3.0</v>
      </c>
      <c r="G2479" s="11">
        <v>3.0</v>
      </c>
      <c r="H2479" s="11">
        <v>3.0</v>
      </c>
      <c r="I2479" s="11">
        <v>3.0</v>
      </c>
    </row>
    <row r="2480">
      <c r="A2480" s="10" t="s">
        <v>8877</v>
      </c>
      <c r="B2480" s="49" t="str">
        <f t="shared" si="1"/>
        <v>Sec. of Health &amp; Environment, Activities</v>
      </c>
      <c r="C2480" s="49" t="str">
        <f t="shared" si="2"/>
        <v>Sec. of Health &amp; Environment, Activities; Unauthorized disclosure of confidential information obtained pursuant to K.S.A. 65-1,115</v>
      </c>
      <c r="D2480" s="49" t="str">
        <f t="shared" si="3"/>
        <v>65-1,117</v>
      </c>
      <c r="E2480" s="11" t="s">
        <v>133</v>
      </c>
      <c r="F2480" s="11">
        <v>3.0</v>
      </c>
      <c r="G2480" s="11">
        <v>3.0</v>
      </c>
      <c r="H2480" s="11">
        <v>3.0</v>
      </c>
      <c r="I2480" s="11">
        <v>3.0</v>
      </c>
    </row>
    <row r="2481">
      <c r="A2481" s="10" t="s">
        <v>8878</v>
      </c>
      <c r="B2481" s="49" t="str">
        <f t="shared" si="1"/>
        <v>Sec. of Health &amp; Environment, Activities</v>
      </c>
      <c r="C2481" s="49" t="str">
        <f t="shared" si="2"/>
        <v>Sec. of Health &amp; Environment, Activities; Unauthorized disclosure of confidential information obtained through certain tests conducted by approved laboratories</v>
      </c>
      <c r="D2481" s="49" t="str">
        <f t="shared" si="3"/>
        <v>65-1,108a(a)</v>
      </c>
      <c r="E2481" s="11" t="s">
        <v>133</v>
      </c>
      <c r="F2481" s="11">
        <v>3.0</v>
      </c>
      <c r="G2481" s="11">
        <v>3.0</v>
      </c>
      <c r="H2481" s="11">
        <v>3.0</v>
      </c>
      <c r="I2481" s="11">
        <v>3.0</v>
      </c>
    </row>
    <row r="2482">
      <c r="A2482" s="10" t="s">
        <v>8879</v>
      </c>
      <c r="B2482" s="49" t="str">
        <f t="shared" si="1"/>
        <v>Sec. of Health &amp; Environment, Activities</v>
      </c>
      <c r="C2482" s="49" t="str">
        <f t="shared" si="2"/>
        <v>Sec. of Health &amp; Environment, Activities; Unlawful discharge from employment</v>
      </c>
      <c r="D2482" s="49" t="str">
        <f t="shared" si="3"/>
        <v>65-129d</v>
      </c>
      <c r="E2482" s="11" t="s">
        <v>133</v>
      </c>
      <c r="F2482" s="11">
        <v>3.0</v>
      </c>
      <c r="G2482" s="11">
        <v>3.0</v>
      </c>
      <c r="H2482" s="11">
        <v>3.0</v>
      </c>
      <c r="I2482" s="11">
        <v>3.0</v>
      </c>
    </row>
    <row r="2483">
      <c r="A2483" s="10" t="s">
        <v>8880</v>
      </c>
      <c r="B2483" s="49" t="str">
        <f t="shared" si="1"/>
        <v>Sec. of Health &amp; Environment, Activities</v>
      </c>
      <c r="C2483" s="49" t="str">
        <f t="shared" si="2"/>
        <v>Sec. of Health &amp; Environment, Activities; Violate, refuse or neglect to obey rules and regulations pertaining to the prevention, suppression and control of infectious or contagious diseases; leave any isolation area of a hospital or other quarantined area without consent; evade/break quarantine; knowingly conceal a case of infectious or contagious disease</v>
      </c>
      <c r="D2483" s="49" t="str">
        <f t="shared" si="3"/>
        <v>65-129</v>
      </c>
      <c r="E2483" s="11" t="s">
        <v>133</v>
      </c>
      <c r="F2483" s="11">
        <v>3.0</v>
      </c>
      <c r="G2483" s="11">
        <v>3.0</v>
      </c>
      <c r="H2483" s="11">
        <v>3.0</v>
      </c>
      <c r="I2483" s="11">
        <v>3.0</v>
      </c>
    </row>
    <row r="2484">
      <c r="A2484" s="10" t="s">
        <v>8881</v>
      </c>
      <c r="B2484" s="49" t="str">
        <f t="shared" si="1"/>
        <v>Second Amendment Protection Act</v>
      </c>
      <c r="C2484" s="49" t="str">
        <f t="shared" si="2"/>
        <v>Second Amendment Protection Act; U.S. Government agent enforce or attempt to enforce any U.S. laws regarding firearms, accessories or ammunition manufactured and owned in Kansas</v>
      </c>
      <c r="D2484" s="49" t="str">
        <f t="shared" si="3"/>
        <v>50-1207</v>
      </c>
      <c r="E2484" s="11" t="s">
        <v>133</v>
      </c>
      <c r="F2484" s="11">
        <v>3.0</v>
      </c>
      <c r="G2484" s="11">
        <v>3.0</v>
      </c>
      <c r="H2484" s="11">
        <v>3.0</v>
      </c>
      <c r="I2484" s="11">
        <v>3.0</v>
      </c>
    </row>
    <row r="2485">
      <c r="A2485" s="10" t="s">
        <v>8882</v>
      </c>
      <c r="B2485" s="49" t="str">
        <f t="shared" si="1"/>
        <v>Sedition</v>
      </c>
      <c r="C2485" s="49" t="str">
        <f t="shared" si="2"/>
        <v>Sedition; Advocating the overthrow or reformation of the existing form of government of this state by violence or unlawful means</v>
      </c>
      <c r="D2485" s="49" t="str">
        <f t="shared" si="3"/>
        <v>21-5902(a)</v>
      </c>
      <c r="E2485" s="11" t="s">
        <v>133</v>
      </c>
      <c r="F2485" s="11">
        <v>3.0</v>
      </c>
      <c r="G2485" s="11">
        <v>3.0</v>
      </c>
      <c r="H2485" s="11">
        <v>3.0</v>
      </c>
      <c r="I2485" s="11">
        <v>3.0</v>
      </c>
    </row>
    <row r="2486">
      <c r="A2486" s="10" t="s">
        <v>8883</v>
      </c>
      <c r="B2486" s="49" t="str">
        <f t="shared" si="1"/>
        <v>Sell Beverage Containers with Detachable Tabs</v>
      </c>
      <c r="C2486" s="49" t="str">
        <f t="shared" si="2"/>
        <v>Sell Beverage Containers with Detachable Tabs; Knowingly sell or offer for sale such containers; Pertaining to sealed cans containing beer, cereal malt beverages, mineral waters, soda water and similar soft drinks</v>
      </c>
      <c r="D2486" s="49" t="str">
        <f t="shared" si="3"/>
        <v>21-6320(a)</v>
      </c>
      <c r="E2486" s="11" t="s">
        <v>133</v>
      </c>
      <c r="F2486" s="11">
        <v>3.0</v>
      </c>
      <c r="G2486" s="11">
        <v>3.0</v>
      </c>
      <c r="H2486" s="11">
        <v>3.0</v>
      </c>
      <c r="I2486" s="11">
        <v>3.0</v>
      </c>
    </row>
    <row r="2487">
      <c r="A2487" s="10" t="s">
        <v>8884</v>
      </c>
      <c r="B2487" s="49" t="str">
        <f t="shared" si="1"/>
        <v>Selling Sexual Relations</v>
      </c>
      <c r="C2487" s="49" t="str">
        <f t="shared" si="2"/>
        <v>Selling Sexual Relations; Manual or other bodily stimulation of the genitals for hire</v>
      </c>
      <c r="D2487" s="49" t="str">
        <f t="shared" si="3"/>
        <v>21-6419(a)(3)</v>
      </c>
      <c r="E2487" s="11" t="s">
        <v>133</v>
      </c>
      <c r="F2487" s="11">
        <v>3.0</v>
      </c>
      <c r="G2487" s="11">
        <v>3.0</v>
      </c>
      <c r="H2487" s="11">
        <v>3.0</v>
      </c>
      <c r="I2487" s="11">
        <v>3.0</v>
      </c>
    </row>
    <row r="2488">
      <c r="A2488" s="10" t="s">
        <v>8885</v>
      </c>
      <c r="B2488" s="49" t="str">
        <f t="shared" si="1"/>
        <v>Selling Sexual Relations</v>
      </c>
      <c r="C2488" s="49" t="str">
        <f t="shared" si="2"/>
        <v>Selling Sexual Relations; Sexual intercourse for hire</v>
      </c>
      <c r="D2488" s="49" t="str">
        <f t="shared" si="3"/>
        <v>21-6419(a)(1)</v>
      </c>
      <c r="E2488" s="11" t="s">
        <v>133</v>
      </c>
      <c r="F2488" s="11">
        <v>3.0</v>
      </c>
      <c r="G2488" s="11">
        <v>3.0</v>
      </c>
      <c r="H2488" s="11">
        <v>3.0</v>
      </c>
      <c r="I2488" s="11">
        <v>3.0</v>
      </c>
    </row>
    <row r="2489">
      <c r="A2489" s="10" t="s">
        <v>8886</v>
      </c>
      <c r="B2489" s="49" t="str">
        <f t="shared" si="1"/>
        <v>Selling Sexual Relations</v>
      </c>
      <c r="C2489" s="49" t="str">
        <f t="shared" si="2"/>
        <v>Selling Sexual Relations; Sodomy for hire</v>
      </c>
      <c r="D2489" s="49" t="str">
        <f t="shared" si="3"/>
        <v>21-6419(a)(2)</v>
      </c>
      <c r="E2489" s="11" t="s">
        <v>133</v>
      </c>
      <c r="F2489" s="11">
        <v>3.0</v>
      </c>
      <c r="G2489" s="11">
        <v>3.0</v>
      </c>
      <c r="H2489" s="11">
        <v>3.0</v>
      </c>
      <c r="I2489" s="11">
        <v>3.0</v>
      </c>
    </row>
    <row r="2490">
      <c r="A2490" s="10" t="s">
        <v>8887</v>
      </c>
      <c r="B2490" s="49" t="str">
        <f t="shared" si="1"/>
        <v>Sewer Districts</v>
      </c>
      <c r="C2490" s="49" t="str">
        <f t="shared" si="2"/>
        <v>Sewer Districts; Penalty for violation of any rule, regulation, standard, limitation or requirement adopted by the Board of county Commissioners</v>
      </c>
      <c r="D2490" s="49" t="str">
        <f t="shared" si="3"/>
        <v>19-27a02(n)(1)</v>
      </c>
      <c r="E2490" s="11" t="s">
        <v>133</v>
      </c>
      <c r="F2490" s="11">
        <v>3.0</v>
      </c>
      <c r="G2490" s="11">
        <v>3.0</v>
      </c>
      <c r="H2490" s="11">
        <v>3.0</v>
      </c>
      <c r="I2490" s="11">
        <v>3.0</v>
      </c>
    </row>
    <row r="2491">
      <c r="A2491" s="10" t="s">
        <v>8888</v>
      </c>
      <c r="B2491" s="49" t="str">
        <f t="shared" si="1"/>
        <v>Sexual Exploitation of Child</v>
      </c>
      <c r="C2491" s="49" t="str">
        <f t="shared" si="2"/>
        <v>Sexual Exploitation of Child; Commit, attempt, conspire or solicit to commit; Employ child less than 14 to engage in sexually explicit conduct; offender 18 or older</v>
      </c>
      <c r="D2491" s="49" t="str">
        <f t="shared" si="3"/>
        <v>21-5510(a)(1)</v>
      </c>
      <c r="E2491" s="11" t="s">
        <v>133</v>
      </c>
      <c r="F2491" s="11">
        <v>3.0</v>
      </c>
      <c r="G2491" s="11">
        <v>3.0</v>
      </c>
      <c r="H2491" s="11">
        <v>3.0</v>
      </c>
      <c r="I2491" s="11">
        <v>3.0</v>
      </c>
    </row>
    <row r="2492">
      <c r="A2492" s="10" t="s">
        <v>8889</v>
      </c>
      <c r="B2492" s="49" t="str">
        <f t="shared" si="1"/>
        <v>Sexual Exploitation of Child</v>
      </c>
      <c r="C2492" s="49" t="str">
        <f t="shared" si="2"/>
        <v>Sexual Exploitation of Child; Commit, attempt, conspire or solicit to commit; promote performance of child less than 14; offender 18 or older</v>
      </c>
      <c r="D2492" s="49" t="str">
        <f t="shared" si="3"/>
        <v>21-5510(a)(4)</v>
      </c>
      <c r="E2492" s="11" t="s">
        <v>133</v>
      </c>
      <c r="F2492" s="11">
        <v>3.0</v>
      </c>
      <c r="G2492" s="11">
        <v>3.0</v>
      </c>
      <c r="H2492" s="11">
        <v>3.0</v>
      </c>
      <c r="I2492" s="11">
        <v>3.0</v>
      </c>
    </row>
    <row r="2493">
      <c r="A2493" s="10" t="s">
        <v>8890</v>
      </c>
      <c r="B2493" s="49" t="str">
        <f t="shared" si="1"/>
        <v>Sexual Exploitation of Child</v>
      </c>
      <c r="C2493" s="49" t="str">
        <f t="shared" si="2"/>
        <v>Sexual Exploitation of Child; Employ child less than 18, or child offender believes to be less than 18, to engage in sexually explicit conduct</v>
      </c>
      <c r="D2493" s="49" t="str">
        <f t="shared" si="3"/>
        <v>21-5510(a)(1)</v>
      </c>
      <c r="E2493" s="11" t="s">
        <v>133</v>
      </c>
      <c r="F2493" s="11">
        <v>3.0</v>
      </c>
      <c r="G2493" s="11">
        <v>3.0</v>
      </c>
      <c r="H2493" s="11">
        <v>3.0</v>
      </c>
      <c r="I2493" s="11">
        <v>3.0</v>
      </c>
    </row>
    <row r="2494">
      <c r="A2494" s="10" t="s">
        <v>8891</v>
      </c>
      <c r="B2494" s="49" t="str">
        <f t="shared" si="1"/>
        <v>Sexual Exploitation of Child</v>
      </c>
      <c r="C2494" s="49" t="str">
        <f t="shared" si="2"/>
        <v>Sexual Exploitation of Child; Parent, guardian or one with custody, knowingly permit child less than 18 to engage in sexually explicit conduct</v>
      </c>
      <c r="D2494" s="49" t="str">
        <f t="shared" si="3"/>
        <v>21-5510(a)(3)</v>
      </c>
      <c r="E2494" s="11" t="s">
        <v>133</v>
      </c>
      <c r="F2494" s="11">
        <v>3.0</v>
      </c>
      <c r="G2494" s="11">
        <v>3.0</v>
      </c>
      <c r="H2494" s="11">
        <v>3.0</v>
      </c>
      <c r="I2494" s="11">
        <v>3.0</v>
      </c>
    </row>
    <row r="2495">
      <c r="A2495" s="10" t="s">
        <v>8892</v>
      </c>
      <c r="B2495" s="49" t="str">
        <f t="shared" si="1"/>
        <v>Sexual Exploitation of Child</v>
      </c>
      <c r="C2495" s="49" t="str">
        <f t="shared" si="2"/>
        <v>Sexual Exploitation of Child; Possess visual medium of child less than 18 engaging in sexually explicit conduct</v>
      </c>
      <c r="D2495" s="49" t="str">
        <f t="shared" si="3"/>
        <v>21-5510(a)(2)</v>
      </c>
      <c r="E2495" s="11" t="s">
        <v>133</v>
      </c>
      <c r="F2495" s="11">
        <v>3.0</v>
      </c>
      <c r="G2495" s="11">
        <v>3.0</v>
      </c>
      <c r="H2495" s="11">
        <v>3.0</v>
      </c>
      <c r="I2495" s="11">
        <v>3.0</v>
      </c>
    </row>
    <row r="2496">
      <c r="A2496" s="10" t="s">
        <v>8893</v>
      </c>
      <c r="B2496" s="49" t="str">
        <f t="shared" si="1"/>
        <v>Sexual Exploitation of Child</v>
      </c>
      <c r="C2496" s="49" t="str">
        <f t="shared" si="2"/>
        <v>Sexual Exploitation of Child; Promote performance of child less than 18, or child offender believes to be less than 18</v>
      </c>
      <c r="D2496" s="49" t="str">
        <f t="shared" si="3"/>
        <v>21-5510(a)(4)</v>
      </c>
      <c r="E2496" s="11" t="s">
        <v>133</v>
      </c>
      <c r="F2496" s="11">
        <v>3.0</v>
      </c>
      <c r="G2496" s="11">
        <v>3.0</v>
      </c>
      <c r="H2496" s="11">
        <v>3.0</v>
      </c>
      <c r="I2496" s="11">
        <v>3.0</v>
      </c>
    </row>
    <row r="2497">
      <c r="A2497" s="10" t="s">
        <v>8894</v>
      </c>
      <c r="B2497" s="49" t="str">
        <f t="shared" si="1"/>
        <v>Sexually-Oriented Signs - violation of provisions</v>
      </c>
      <c r="C2497" s="49" t="str">
        <f t="shared" si="2"/>
        <v>Sexually-Oriented Signs - violation of provisions</v>
      </c>
      <c r="D2497" s="49" t="str">
        <f t="shared" si="3"/>
        <v>68-2255(b)</v>
      </c>
      <c r="E2497" s="11" t="s">
        <v>133</v>
      </c>
      <c r="F2497" s="11">
        <v>3.0</v>
      </c>
      <c r="G2497" s="11">
        <v>3.0</v>
      </c>
      <c r="H2497" s="11">
        <v>3.0</v>
      </c>
      <c r="I2497" s="11">
        <v>3.0</v>
      </c>
    </row>
    <row r="2498">
      <c r="A2498" s="10" t="s">
        <v>8895</v>
      </c>
      <c r="B2498" s="49" t="str">
        <f t="shared" si="1"/>
        <v>Simulating the Legal Process</v>
      </c>
      <c r="C2498" s="49" t="str">
        <f t="shared" si="2"/>
        <v>Simulating the Legal Process; Distributing any document which simulates, purports to be, or is designed to cause others to believe it to be, a summons, petition, complaint, or other legal process, with the intent to mislead the recipient and cause the recipient to take action in reliance thereon</v>
      </c>
      <c r="D2498" s="49" t="str">
        <f t="shared" si="3"/>
        <v>21-5907(a)(1)</v>
      </c>
      <c r="E2498" s="11" t="s">
        <v>133</v>
      </c>
      <c r="F2498" s="11">
        <v>3.0</v>
      </c>
      <c r="G2498" s="11">
        <v>3.0</v>
      </c>
      <c r="H2498" s="11">
        <v>3.0</v>
      </c>
      <c r="I2498" s="11">
        <v>3.0</v>
      </c>
    </row>
    <row r="2499">
      <c r="A2499" s="10" t="s">
        <v>8896</v>
      </c>
      <c r="B2499" s="49" t="str">
        <f t="shared" si="1"/>
        <v>Simulating the Legal Process</v>
      </c>
      <c r="C2499" s="49" t="str">
        <f t="shared" si="2"/>
        <v>Simulating the Legal Process; Print or distribute any such document in K.S.A. 2011 Supp. 21-5907(a)(1), knowing that it shall be so used</v>
      </c>
      <c r="D2499" s="49" t="str">
        <f t="shared" si="3"/>
        <v>21-5907(a)(2)</v>
      </c>
      <c r="E2499" s="11" t="s">
        <v>133</v>
      </c>
      <c r="F2499" s="11">
        <v>3.0</v>
      </c>
      <c r="G2499" s="11">
        <v>3.0</v>
      </c>
      <c r="H2499" s="11">
        <v>3.0</v>
      </c>
      <c r="I2499" s="11">
        <v>3.0</v>
      </c>
    </row>
    <row r="2500">
      <c r="A2500" s="10" t="s">
        <v>8897</v>
      </c>
      <c r="B2500" s="49" t="str">
        <f t="shared" si="1"/>
        <v>Smoke Detector Act</v>
      </c>
      <c r="C2500" s="49" t="str">
        <f t="shared" si="2"/>
        <v>Smoke Detector Act; Failure to place or maintain a smoke detector as provided in Act</v>
      </c>
      <c r="D2500" s="49" t="str">
        <f t="shared" si="3"/>
        <v>31-163</v>
      </c>
      <c r="E2500" s="11" t="s">
        <v>133</v>
      </c>
      <c r="F2500" s="11">
        <v>3.0</v>
      </c>
      <c r="G2500" s="11">
        <v>3.0</v>
      </c>
      <c r="H2500" s="11">
        <v>3.0</v>
      </c>
      <c r="I2500" s="11">
        <v>3.0</v>
      </c>
    </row>
    <row r="2501">
      <c r="A2501" s="10" t="s">
        <v>8898</v>
      </c>
      <c r="B2501" s="49" t="str">
        <f t="shared" si="1"/>
        <v>Social Workers</v>
      </c>
      <c r="C2501" s="49" t="str">
        <f t="shared" si="2"/>
        <v>Social Workers; Engage in the practice of social work for compensation or hold forth as performing the services of a social worker without such license; Participate in the delivery of social work service without supervision of a person licensed under this act</v>
      </c>
      <c r="D2501" s="49" t="str">
        <f t="shared" si="3"/>
        <v>65-6303(a)</v>
      </c>
      <c r="E2501" s="11" t="s">
        <v>133</v>
      </c>
      <c r="F2501" s="11">
        <v>3.0</v>
      </c>
      <c r="G2501" s="11">
        <v>3.0</v>
      </c>
      <c r="H2501" s="11">
        <v>3.0</v>
      </c>
      <c r="I2501" s="11">
        <v>3.0</v>
      </c>
    </row>
    <row r="2502">
      <c r="A2502" s="10" t="s">
        <v>8899</v>
      </c>
      <c r="B2502" s="49" t="str">
        <f t="shared" si="1"/>
        <v>Social Workers</v>
      </c>
      <c r="C2502" s="49" t="str">
        <f t="shared" si="2"/>
        <v>Social Workers; Knowingly make a false statement in connection with an application under this act</v>
      </c>
      <c r="D2502" s="49" t="str">
        <f t="shared" si="3"/>
        <v>65-6310(b)</v>
      </c>
      <c r="E2502" s="11" t="s">
        <v>133</v>
      </c>
      <c r="F2502" s="11">
        <v>3.0</v>
      </c>
      <c r="G2502" s="11">
        <v>3.0</v>
      </c>
      <c r="H2502" s="11">
        <v>3.0</v>
      </c>
      <c r="I2502" s="11">
        <v>3.0</v>
      </c>
    </row>
    <row r="2503">
      <c r="A2503" s="10" t="s">
        <v>8900</v>
      </c>
      <c r="B2503" s="49" t="str">
        <f t="shared" si="1"/>
        <v>Social Workers</v>
      </c>
      <c r="C2503" s="49" t="str">
        <f t="shared" si="2"/>
        <v>Social Workers; Knowingly making a false statement on any form promulgated by the board</v>
      </c>
      <c r="D2503" s="49" t="str">
        <f t="shared" si="3"/>
        <v>65-6310(c)</v>
      </c>
      <c r="E2503" s="11" t="s">
        <v>133</v>
      </c>
      <c r="F2503" s="11">
        <v>3.0</v>
      </c>
      <c r="G2503" s="11">
        <v>3.0</v>
      </c>
      <c r="H2503" s="11">
        <v>3.0</v>
      </c>
      <c r="I2503" s="11">
        <v>3.0</v>
      </c>
    </row>
    <row r="2504">
      <c r="A2504" s="10" t="s">
        <v>8901</v>
      </c>
      <c r="B2504" s="49" t="str">
        <f t="shared" si="1"/>
        <v>Social Workers</v>
      </c>
      <c r="C2504" s="49" t="str">
        <f t="shared" si="2"/>
        <v>Social Workers; Obtain or attempt to obtain a license or certificate or renewal thereof by bribery or fraudulent representation</v>
      </c>
      <c r="D2504" s="49" t="str">
        <f t="shared" si="3"/>
        <v>65-6310(a)</v>
      </c>
      <c r="E2504" s="11" t="s">
        <v>133</v>
      </c>
      <c r="F2504" s="11">
        <v>3.0</v>
      </c>
      <c r="G2504" s="11">
        <v>3.0</v>
      </c>
      <c r="H2504" s="11">
        <v>3.0</v>
      </c>
      <c r="I2504" s="11">
        <v>3.0</v>
      </c>
    </row>
    <row r="2505">
      <c r="A2505" s="10" t="s">
        <v>8902</v>
      </c>
      <c r="B2505" s="49" t="str">
        <f t="shared" si="1"/>
        <v>Social Workers</v>
      </c>
      <c r="C2505" s="49" t="str">
        <f t="shared" si="2"/>
        <v>Social Workers; Use of title by person not licensed under this act</v>
      </c>
      <c r="D2505" s="49" t="str">
        <f t="shared" si="3"/>
        <v>65-6307(a)</v>
      </c>
      <c r="E2505" s="11" t="s">
        <v>133</v>
      </c>
      <c r="F2505" s="11">
        <v>3.0</v>
      </c>
      <c r="G2505" s="11">
        <v>3.0</v>
      </c>
      <c r="H2505" s="11">
        <v>3.0</v>
      </c>
      <c r="I2505" s="11">
        <v>3.0</v>
      </c>
    </row>
    <row r="2506">
      <c r="A2506" s="10" t="s">
        <v>8903</v>
      </c>
      <c r="B2506" s="49" t="str">
        <f t="shared" si="1"/>
        <v>Social Workers</v>
      </c>
      <c r="C2506" s="49" t="str">
        <f t="shared" si="2"/>
        <v>Social Workers; Violation of limitations on private practice of social work</v>
      </c>
      <c r="D2506" s="49" t="str">
        <f t="shared" si="3"/>
        <v>65-6308(a)</v>
      </c>
      <c r="E2506" s="11" t="s">
        <v>133</v>
      </c>
      <c r="F2506" s="11">
        <v>3.0</v>
      </c>
      <c r="G2506" s="11">
        <v>3.0</v>
      </c>
      <c r="H2506" s="11">
        <v>3.0</v>
      </c>
      <c r="I2506" s="11">
        <v>3.0</v>
      </c>
    </row>
    <row r="2507">
      <c r="A2507" s="10" t="s">
        <v>8904</v>
      </c>
      <c r="B2507" s="49" t="str">
        <f t="shared" si="1"/>
        <v>Soil Amendment Act</v>
      </c>
      <c r="C2507" s="49" t="str">
        <f t="shared" si="2"/>
        <v>Soil Amendment Act; Distribute a soil amendment that is adulterated</v>
      </c>
      <c r="D2507" s="49" t="str">
        <f t="shared" si="3"/>
        <v>2-2808(d)</v>
      </c>
      <c r="E2507" s="11" t="s">
        <v>133</v>
      </c>
      <c r="F2507" s="11">
        <v>3.0</v>
      </c>
      <c r="G2507" s="11">
        <v>3.0</v>
      </c>
      <c r="H2507" s="11">
        <v>3.0</v>
      </c>
      <c r="I2507" s="11">
        <v>3.0</v>
      </c>
    </row>
    <row r="2508">
      <c r="A2508" s="10" t="s">
        <v>8905</v>
      </c>
      <c r="B2508" s="49" t="str">
        <f t="shared" si="1"/>
        <v>Soil Amendment Act</v>
      </c>
      <c r="C2508" s="49" t="str">
        <f t="shared" si="2"/>
        <v>Soil Amendment Act; Distribute a soil amendment that is misbranded</v>
      </c>
      <c r="D2508" s="49" t="str">
        <f t="shared" si="3"/>
        <v>2-2808(c)</v>
      </c>
      <c r="E2508" s="11" t="s">
        <v>133</v>
      </c>
      <c r="F2508" s="11">
        <v>3.0</v>
      </c>
      <c r="G2508" s="11">
        <v>3.0</v>
      </c>
      <c r="H2508" s="11">
        <v>3.0</v>
      </c>
      <c r="I2508" s="11">
        <v>3.0</v>
      </c>
    </row>
    <row r="2509">
      <c r="A2509" s="10" t="s">
        <v>8906</v>
      </c>
      <c r="B2509" s="49" t="str">
        <f t="shared" si="1"/>
        <v>Soil Amendment Act</v>
      </c>
      <c r="C2509" s="49" t="str">
        <f t="shared" si="2"/>
        <v>Soil Amendment Act; Distribute a soil amendment that is not labeled</v>
      </c>
      <c r="D2509" s="49" t="str">
        <f t="shared" si="3"/>
        <v>2-2808(b)</v>
      </c>
      <c r="E2509" s="11" t="s">
        <v>133</v>
      </c>
      <c r="F2509" s="11">
        <v>3.0</v>
      </c>
      <c r="G2509" s="11">
        <v>3.0</v>
      </c>
      <c r="H2509" s="11">
        <v>3.0</v>
      </c>
      <c r="I2509" s="11">
        <v>3.0</v>
      </c>
    </row>
    <row r="2510">
      <c r="A2510" s="10" t="s">
        <v>8907</v>
      </c>
      <c r="B2510" s="49" t="str">
        <f t="shared" si="1"/>
        <v>Soil Amendment Act</v>
      </c>
      <c r="C2510" s="49" t="str">
        <f t="shared" si="2"/>
        <v>Soil Amendment Act; Distribute a soil amendment that is not registered with the secretary</v>
      </c>
      <c r="D2510" s="49" t="str">
        <f t="shared" si="3"/>
        <v>2-2808(a)</v>
      </c>
      <c r="E2510" s="11" t="s">
        <v>133</v>
      </c>
      <c r="F2510" s="11">
        <v>3.0</v>
      </c>
      <c r="G2510" s="11">
        <v>3.0</v>
      </c>
      <c r="H2510" s="11">
        <v>3.0</v>
      </c>
      <c r="I2510" s="11">
        <v>3.0</v>
      </c>
    </row>
    <row r="2511">
      <c r="A2511" s="10" t="s">
        <v>8908</v>
      </c>
      <c r="B2511" s="49" t="str">
        <f t="shared" si="1"/>
        <v>Soil Amendment Act</v>
      </c>
      <c r="C2511" s="49" t="str">
        <f t="shared" si="2"/>
        <v>Soil Amendment Act; Fail to comply with a stop sale, use or removal order</v>
      </c>
      <c r="D2511" s="49" t="str">
        <f t="shared" si="3"/>
        <v>2-2808(e)</v>
      </c>
      <c r="E2511" s="11" t="s">
        <v>133</v>
      </c>
      <c r="F2511" s="11">
        <v>3.0</v>
      </c>
      <c r="G2511" s="11">
        <v>3.0</v>
      </c>
      <c r="H2511" s="11">
        <v>3.0</v>
      </c>
      <c r="I2511" s="11">
        <v>3.0</v>
      </c>
    </row>
    <row r="2512">
      <c r="A2512" s="10" t="s">
        <v>8909</v>
      </c>
      <c r="B2512" s="49" t="str">
        <f t="shared" si="1"/>
        <v>Soldiers, Sailors &amp; Patriotic Emblems</v>
      </c>
      <c r="C2512" s="49" t="str">
        <f t="shared" si="2"/>
        <v>Soldiers, Sailors &amp; Patriotic Emblems; Officers; knowing and willful failure to obey provisions of this act</v>
      </c>
      <c r="D2512" s="49" t="str">
        <f t="shared" si="3"/>
        <v>73-202</v>
      </c>
      <c r="E2512" s="11" t="s">
        <v>133</v>
      </c>
      <c r="F2512" s="11">
        <v>3.0</v>
      </c>
      <c r="G2512" s="11">
        <v>3.0</v>
      </c>
      <c r="H2512" s="11">
        <v>3.0</v>
      </c>
      <c r="I2512" s="11">
        <v>3.0</v>
      </c>
    </row>
    <row r="2513">
      <c r="A2513" s="10" t="s">
        <v>8910</v>
      </c>
      <c r="B2513" s="49" t="str">
        <f t="shared" si="1"/>
        <v>Soldiers, Sailors &amp; Patriotic Emblems</v>
      </c>
      <c r="C2513" s="49" t="str">
        <f t="shared" si="2"/>
        <v>Soldiers, Sailors &amp; Patriotic Emblems; Veterans' Preference; knowing and willful violation of act</v>
      </c>
      <c r="D2513" s="49" t="str">
        <f t="shared" si="3"/>
        <v>73-204</v>
      </c>
      <c r="E2513" s="11" t="s">
        <v>133</v>
      </c>
      <c r="F2513" s="11">
        <v>3.0</v>
      </c>
      <c r="G2513" s="11">
        <v>3.0</v>
      </c>
      <c r="H2513" s="11">
        <v>3.0</v>
      </c>
      <c r="I2513" s="11">
        <v>3.0</v>
      </c>
    </row>
    <row r="2514">
      <c r="A2514" s="10" t="s">
        <v>8911</v>
      </c>
      <c r="B2514" s="49" t="str">
        <f t="shared" si="1"/>
        <v>Soldiers, Sailors &amp; Patriotic Emblems</v>
      </c>
      <c r="C2514" s="49" t="str">
        <f t="shared" si="2"/>
        <v>Soldiers, Sailors &amp; Patriotic Emblems; Violation of K.S.A. 73-705 through 73-710</v>
      </c>
      <c r="D2514" s="49" t="str">
        <f t="shared" si="3"/>
        <v>73-710</v>
      </c>
      <c r="E2514" s="11" t="s">
        <v>133</v>
      </c>
      <c r="F2514" s="11">
        <v>3.0</v>
      </c>
      <c r="G2514" s="11">
        <v>3.0</v>
      </c>
      <c r="H2514" s="11">
        <v>3.0</v>
      </c>
      <c r="I2514" s="11">
        <v>3.0</v>
      </c>
    </row>
    <row r="2515">
      <c r="A2515" s="10" t="s">
        <v>8912</v>
      </c>
      <c r="B2515" s="49" t="str">
        <f t="shared" si="1"/>
        <v>Solid &amp; Hazardous Wastes</v>
      </c>
      <c r="C2515" s="49" t="str">
        <f t="shared" si="2"/>
        <v>Solid &amp; Hazardous Wastes; Add, mix or blend any hazardous waste with fuel oil or any other fuel intended for use by residential consumers or sell such blended fuel to a residential consumer</v>
      </c>
      <c r="D2515" s="49" t="str">
        <f t="shared" si="3"/>
        <v>65-3441(a)(10)</v>
      </c>
      <c r="E2515" s="11" t="s">
        <v>133</v>
      </c>
      <c r="F2515" s="11">
        <v>3.0</v>
      </c>
      <c r="G2515" s="11">
        <v>3.0</v>
      </c>
      <c r="H2515" s="11">
        <v>3.0</v>
      </c>
      <c r="I2515" s="11">
        <v>3.0</v>
      </c>
    </row>
    <row r="2516">
      <c r="A2516" s="10" t="s">
        <v>8913</v>
      </c>
      <c r="B2516" s="49" t="str">
        <f t="shared" si="1"/>
        <v>Solid &amp; Hazardous Wastes</v>
      </c>
      <c r="C2516" s="49" t="str">
        <f t="shared" si="2"/>
        <v>Solid &amp; Hazardous Wastes; Conduct any solid waste burning operations in violation of the provisions of the Kansas air quality act</v>
      </c>
      <c r="D2516" s="49" t="str">
        <f t="shared" si="3"/>
        <v>65-3409(a)(4)</v>
      </c>
      <c r="E2516" s="11" t="s">
        <v>133</v>
      </c>
      <c r="F2516" s="11">
        <v>3.0</v>
      </c>
      <c r="G2516" s="11">
        <v>3.0</v>
      </c>
      <c r="H2516" s="11">
        <v>3.0</v>
      </c>
      <c r="I2516" s="11">
        <v>3.0</v>
      </c>
    </row>
    <row r="2517">
      <c r="A2517" s="10" t="s">
        <v>8914</v>
      </c>
      <c r="B2517" s="49" t="str">
        <f t="shared" si="1"/>
        <v>Solid &amp; Hazardous Wastes</v>
      </c>
      <c r="C2517" s="49" t="str">
        <f t="shared" si="2"/>
        <v>Solid &amp; Hazardous Wastes; Construct, modify or operate a hazardous waste facility without a permit or other required written approval</v>
      </c>
      <c r="D2517" s="49" t="str">
        <f t="shared" si="3"/>
        <v>65-3441(a)(2)</v>
      </c>
      <c r="E2517" s="11" t="s">
        <v>133</v>
      </c>
      <c r="F2517" s="11">
        <v>3.0</v>
      </c>
      <c r="G2517" s="11">
        <v>3.0</v>
      </c>
      <c r="H2517" s="11">
        <v>3.0</v>
      </c>
      <c r="I2517" s="11">
        <v>3.0</v>
      </c>
    </row>
    <row r="2518">
      <c r="A2518" s="10" t="s">
        <v>8915</v>
      </c>
      <c r="B2518" s="49" t="str">
        <f t="shared" si="1"/>
        <v>Solid &amp; Hazardous Wastes</v>
      </c>
      <c r="C2518" s="49" t="str">
        <f t="shared" si="2"/>
        <v>Solid &amp; Hazardous Wastes; Destroy, alter or conceal any record required to be maintained under this act</v>
      </c>
      <c r="D2518" s="49" t="str">
        <f t="shared" si="3"/>
        <v>65-3441(a)(7)</v>
      </c>
      <c r="E2518" s="11" t="s">
        <v>133</v>
      </c>
      <c r="F2518" s="11">
        <v>3.0</v>
      </c>
      <c r="G2518" s="11">
        <v>3.0</v>
      </c>
      <c r="H2518" s="11">
        <v>3.0</v>
      </c>
      <c r="I2518" s="11">
        <v>3.0</v>
      </c>
    </row>
    <row r="2519">
      <c r="A2519" s="10" t="s">
        <v>8916</v>
      </c>
      <c r="B2519" s="49" t="str">
        <f t="shared" si="1"/>
        <v>Solid &amp; Hazardous Wastes</v>
      </c>
      <c r="C2519" s="49" t="str">
        <f t="shared" si="2"/>
        <v>Solid &amp; Hazardous Wastes; Dump or deposit, or permit such, any hazardous waste regulated by this act into any unauthorized facility</v>
      </c>
      <c r="D2519" s="49" t="str">
        <f t="shared" si="3"/>
        <v>65-3441(a)(1)</v>
      </c>
      <c r="E2519" s="11" t="s">
        <v>133</v>
      </c>
      <c r="F2519" s="11">
        <v>3.0</v>
      </c>
      <c r="G2519" s="11">
        <v>3.0</v>
      </c>
      <c r="H2519" s="11">
        <v>3.0</v>
      </c>
      <c r="I2519" s="11">
        <v>3.0</v>
      </c>
    </row>
    <row r="2520">
      <c r="A2520" s="10" t="s">
        <v>8917</v>
      </c>
      <c r="B2520" s="49" t="str">
        <f t="shared" si="1"/>
        <v>Solid &amp; Hazardous Wastes</v>
      </c>
      <c r="C2520" s="49" t="str">
        <f t="shared" si="2"/>
        <v>Solid &amp; Hazardous Wastes; Failure to designate on a manifest a facility authorized to operate under the federal hazardous waste program or under an approved state hazardous waste program</v>
      </c>
      <c r="D2520" s="49" t="str">
        <f t="shared" si="3"/>
        <v>65-3441(a)(8)</v>
      </c>
      <c r="E2520" s="11" t="s">
        <v>133</v>
      </c>
      <c r="F2520" s="11">
        <v>3.0</v>
      </c>
      <c r="G2520" s="11">
        <v>3.0</v>
      </c>
      <c r="H2520" s="11">
        <v>3.0</v>
      </c>
      <c r="I2520" s="11">
        <v>3.0</v>
      </c>
    </row>
    <row r="2521">
      <c r="A2521" s="10" t="s">
        <v>8918</v>
      </c>
      <c r="B2521" s="49" t="str">
        <f t="shared" si="1"/>
        <v>Solid &amp; Hazardous Wastes</v>
      </c>
      <c r="C2521" s="49" t="str">
        <f t="shared" si="2"/>
        <v>Solid &amp; Hazardous Wastes; Knowingly add, mix or blend any hazardous waste with fuel oil or any other fuel intended for use by residential consumers or sell such blended fuel to a residential consumer</v>
      </c>
      <c r="D2521" s="49" t="str">
        <f t="shared" si="3"/>
        <v>65-3441(a)(10)</v>
      </c>
      <c r="E2521" s="11" t="s">
        <v>133</v>
      </c>
      <c r="F2521" s="11">
        <v>3.0</v>
      </c>
      <c r="G2521" s="11">
        <v>3.0</v>
      </c>
      <c r="H2521" s="11">
        <v>3.0</v>
      </c>
      <c r="I2521" s="11">
        <v>3.0</v>
      </c>
    </row>
    <row r="2522">
      <c r="A2522" s="10" t="s">
        <v>8919</v>
      </c>
      <c r="B2522" s="49" t="str">
        <f t="shared" si="1"/>
        <v>Solid &amp; Hazardous Wastes</v>
      </c>
      <c r="C2522" s="49" t="str">
        <f t="shared" si="2"/>
        <v>Solid &amp; Hazardous Wastes; Knowingly construct, modify or operate a hazardous waste facility without a permit or other required written approval</v>
      </c>
      <c r="D2522" s="49" t="str">
        <f t="shared" si="3"/>
        <v>65-3441(a)(2)</v>
      </c>
      <c r="E2522" s="11" t="s">
        <v>133</v>
      </c>
      <c r="F2522" s="11">
        <v>3.0</v>
      </c>
      <c r="G2522" s="11">
        <v>3.0</v>
      </c>
      <c r="H2522" s="11">
        <v>3.0</v>
      </c>
      <c r="I2522" s="11">
        <v>3.0</v>
      </c>
    </row>
    <row r="2523">
      <c r="A2523" s="10" t="s">
        <v>8920</v>
      </c>
      <c r="B2523" s="49" t="str">
        <f t="shared" si="1"/>
        <v>Solid &amp; Hazardous Wastes</v>
      </c>
      <c r="C2523" s="49" t="str">
        <f t="shared" si="2"/>
        <v>Solid &amp; Hazardous Wastes; Knowingly destroy, alter or conceal any record required to be maintained under this act</v>
      </c>
      <c r="D2523" s="49" t="str">
        <f t="shared" si="3"/>
        <v>65-3441(a)(7)</v>
      </c>
      <c r="E2523" s="11" t="s">
        <v>133</v>
      </c>
      <c r="F2523" s="11">
        <v>3.0</v>
      </c>
      <c r="G2523" s="11">
        <v>3.0</v>
      </c>
      <c r="H2523" s="11">
        <v>3.0</v>
      </c>
      <c r="I2523" s="11">
        <v>3.0</v>
      </c>
    </row>
    <row r="2524">
      <c r="A2524" s="10" t="s">
        <v>8921</v>
      </c>
      <c r="B2524" s="49" t="str">
        <f t="shared" si="1"/>
        <v>Solid &amp; Hazardous Wastes</v>
      </c>
      <c r="C2524" s="49" t="str">
        <f t="shared" si="2"/>
        <v>Solid &amp; Hazardous Wastes; Knowingly dump or deposit, or permit such, any hazardous waste regulated by this act into any unauthorized facility</v>
      </c>
      <c r="D2524" s="49" t="str">
        <f t="shared" si="3"/>
        <v>65-3441(a)(1)</v>
      </c>
      <c r="E2524" s="11" t="s">
        <v>133</v>
      </c>
      <c r="F2524" s="11">
        <v>3.0</v>
      </c>
      <c r="G2524" s="11">
        <v>3.0</v>
      </c>
      <c r="H2524" s="11">
        <v>3.0</v>
      </c>
      <c r="I2524" s="11">
        <v>3.0</v>
      </c>
    </row>
    <row r="2525">
      <c r="A2525" s="10" t="s">
        <v>8922</v>
      </c>
      <c r="B2525" s="49" t="str">
        <f t="shared" si="1"/>
        <v>Solid &amp; Hazardous Wastes</v>
      </c>
      <c r="C2525" s="49" t="str">
        <f t="shared" si="2"/>
        <v>Solid &amp; Hazardous Wastes; Knowingly fail to designate on a manifest, a facility authorized to operate under the federal hazardous waste program or under an approved state hazardous waste program</v>
      </c>
      <c r="D2525" s="49" t="str">
        <f t="shared" si="3"/>
        <v>65-3441(a)(8)</v>
      </c>
      <c r="E2525" s="11" t="s">
        <v>133</v>
      </c>
      <c r="F2525" s="11">
        <v>3.0</v>
      </c>
      <c r="G2525" s="11">
        <v>3.0</v>
      </c>
      <c r="H2525" s="11">
        <v>3.0</v>
      </c>
      <c r="I2525" s="11">
        <v>3.0</v>
      </c>
    </row>
    <row r="2526">
      <c r="A2526" s="10" t="s">
        <v>8923</v>
      </c>
      <c r="B2526" s="49" t="str">
        <f t="shared" si="1"/>
        <v>Solid &amp; Hazardous Wastes</v>
      </c>
      <c r="C2526" s="49" t="str">
        <f t="shared" si="2"/>
        <v>Solid &amp; Hazardous Wastes; Knowingly make false material statement or representation in any application, label, manifest, record, report, permit or other document filed, maintained or used in compliance with this act</v>
      </c>
      <c r="D2526" s="49" t="str">
        <f t="shared" si="3"/>
        <v>65-3441(a)(6)</v>
      </c>
      <c r="E2526" s="11" t="s">
        <v>133</v>
      </c>
      <c r="F2526" s="11">
        <v>3.0</v>
      </c>
      <c r="G2526" s="11">
        <v>3.0</v>
      </c>
      <c r="H2526" s="11">
        <v>3.0</v>
      </c>
      <c r="I2526" s="11">
        <v>3.0</v>
      </c>
    </row>
    <row r="2527">
      <c r="A2527" s="10" t="s">
        <v>8924</v>
      </c>
      <c r="B2527" s="49" t="str">
        <f t="shared" si="1"/>
        <v>Solid &amp; Hazardous Wastes</v>
      </c>
      <c r="C2527" s="49" t="str">
        <f t="shared" si="2"/>
        <v>Solid &amp; Hazardous Wastes; Knowingly operate a hazardous waste transfer facility at which hazardous waste is transferred from one or more containers to one or more different containers</v>
      </c>
      <c r="D2527" s="49" t="str">
        <f t="shared" si="3"/>
        <v>65-3441(a)(12)</v>
      </c>
      <c r="E2527" s="11" t="s">
        <v>133</v>
      </c>
      <c r="F2527" s="11">
        <v>3.0</v>
      </c>
      <c r="G2527" s="11">
        <v>3.0</v>
      </c>
      <c r="H2527" s="11">
        <v>3.0</v>
      </c>
      <c r="I2527" s="11">
        <v>3.0</v>
      </c>
    </row>
    <row r="2528">
      <c r="A2528" s="10" t="s">
        <v>8925</v>
      </c>
      <c r="B2528" s="49" t="str">
        <f t="shared" si="1"/>
        <v>Solid &amp; Hazardous Wastes</v>
      </c>
      <c r="C2528" s="49" t="str">
        <f t="shared" si="2"/>
        <v>Solid &amp; Hazardous Wastes; Knowingly refuse or hinder entry, inspection, sampling and the examination or copying of records related to this act by an agent/employee of the secretary after identification of such agent/employee and gives notice of their purpose</v>
      </c>
      <c r="D2528" s="49" t="str">
        <f t="shared" si="3"/>
        <v>65-3441(a)(5)</v>
      </c>
      <c r="E2528" s="11" t="s">
        <v>133</v>
      </c>
      <c r="F2528" s="11">
        <v>3.0</v>
      </c>
      <c r="G2528" s="11">
        <v>3.0</v>
      </c>
      <c r="H2528" s="11">
        <v>3.0</v>
      </c>
      <c r="I2528" s="11">
        <v>3.0</v>
      </c>
    </row>
    <row r="2529">
      <c r="A2529" s="10" t="s">
        <v>8926</v>
      </c>
      <c r="B2529" s="49" t="str">
        <f t="shared" si="1"/>
        <v>Solid &amp; Hazardous Wastes</v>
      </c>
      <c r="C2529" s="49" t="str">
        <f t="shared" si="2"/>
        <v>Solid &amp; Hazardous Wastes; Knowingly store, collect, treat or dispose of hazardous waste contrary to the rules and regulations, standards or orders of the secretary</v>
      </c>
      <c r="D2529" s="49" t="str">
        <f t="shared" si="3"/>
        <v>65-3441(a)(4)</v>
      </c>
      <c r="E2529" s="11" t="s">
        <v>133</v>
      </c>
      <c r="F2529" s="11">
        <v>3.0</v>
      </c>
      <c r="G2529" s="11">
        <v>3.0</v>
      </c>
      <c r="H2529" s="11">
        <v>3.0</v>
      </c>
      <c r="I2529" s="11">
        <v>3.0</v>
      </c>
    </row>
    <row r="2530">
      <c r="A2530" s="10" t="s">
        <v>8927</v>
      </c>
      <c r="B2530" s="49" t="str">
        <f t="shared" si="1"/>
        <v>Solid &amp; Hazardous Wastes</v>
      </c>
      <c r="C2530" s="49" t="str">
        <f t="shared" si="2"/>
        <v>Solid &amp; Hazardous Wastes; Knowingly transport and dispose of, or cause the transportation and disposition of, hazardous waste in a manner contrary to the rules and regulations, standards or orders of the secretary</v>
      </c>
      <c r="D2530" s="49" t="str">
        <f t="shared" si="3"/>
        <v>65-3441(a)(11)</v>
      </c>
      <c r="E2530" s="11" t="s">
        <v>133</v>
      </c>
      <c r="F2530" s="11">
        <v>3.0</v>
      </c>
      <c r="G2530" s="11">
        <v>3.0</v>
      </c>
      <c r="H2530" s="11">
        <v>3.0</v>
      </c>
      <c r="I2530" s="11">
        <v>3.0</v>
      </c>
    </row>
    <row r="2531">
      <c r="A2531" s="10" t="s">
        <v>8928</v>
      </c>
      <c r="B2531" s="49" t="str">
        <f t="shared" si="1"/>
        <v>Solid &amp; Hazardous Wastes</v>
      </c>
      <c r="C2531" s="49" t="str">
        <f t="shared" si="2"/>
        <v>Solid &amp; Hazardous Wastes; Knowingly transport hazardous waste to a facility not authorized to operate under the federal hazardous waste program or under an approved state hazardous waste program</v>
      </c>
      <c r="D2531" s="49" t="str">
        <f t="shared" si="3"/>
        <v>65-3441(a)(9)</v>
      </c>
      <c r="E2531" s="11" t="s">
        <v>133</v>
      </c>
      <c r="F2531" s="11">
        <v>3.0</v>
      </c>
      <c r="G2531" s="11">
        <v>3.0</v>
      </c>
      <c r="H2531" s="11">
        <v>3.0</v>
      </c>
      <c r="I2531" s="11">
        <v>3.0</v>
      </c>
    </row>
    <row r="2532">
      <c r="A2532" s="10" t="s">
        <v>8929</v>
      </c>
      <c r="B2532" s="49" t="str">
        <f t="shared" si="1"/>
        <v>Solid &amp; Hazardous Wastes</v>
      </c>
      <c r="C2532" s="49" t="str">
        <f t="shared" si="2"/>
        <v>Solid &amp; Hazardous Wastes; Knowingly violate any condition of any permit issued by the secretary</v>
      </c>
      <c r="D2532" s="49" t="str">
        <f t="shared" si="3"/>
        <v>65-3441(a)(3)</v>
      </c>
      <c r="E2532" s="11" t="s">
        <v>133</v>
      </c>
      <c r="F2532" s="11">
        <v>3.0</v>
      </c>
      <c r="G2532" s="11">
        <v>3.0</v>
      </c>
      <c r="H2532" s="11">
        <v>3.0</v>
      </c>
      <c r="I2532" s="11">
        <v>3.0</v>
      </c>
    </row>
    <row r="2533">
      <c r="A2533" s="10" t="s">
        <v>8930</v>
      </c>
      <c r="B2533" s="49" t="str">
        <f t="shared" si="1"/>
        <v>Solid &amp; Hazardous Wastes</v>
      </c>
      <c r="C2533" s="49" t="str">
        <f t="shared" si="2"/>
        <v>Solid &amp; Hazardous Wastes; Making false material statement or representation in any application, label, manifest, record, report, permit or other document filed, maintained or used in compliance with this act</v>
      </c>
      <c r="D2533" s="49" t="str">
        <f t="shared" si="3"/>
        <v>65-3441(a)(6)</v>
      </c>
      <c r="E2533" s="11" t="s">
        <v>133</v>
      </c>
      <c r="F2533" s="11">
        <v>3.0</v>
      </c>
      <c r="G2533" s="11">
        <v>3.0</v>
      </c>
      <c r="H2533" s="11">
        <v>3.0</v>
      </c>
      <c r="I2533" s="11">
        <v>3.0</v>
      </c>
    </row>
    <row r="2534">
      <c r="A2534" s="10" t="s">
        <v>8931</v>
      </c>
      <c r="B2534" s="49" t="str">
        <f t="shared" si="1"/>
        <v>Solid &amp; Hazardous Wastes</v>
      </c>
      <c r="C2534" s="49" t="str">
        <f t="shared" si="2"/>
        <v>Solid &amp; Hazardous Wastes; Operate a hazardous waste transfer facility at which hazardous waste is transferred from one or more containers to one or more different containers</v>
      </c>
      <c r="D2534" s="49" t="str">
        <f t="shared" si="3"/>
        <v>65-3441(a)(12)</v>
      </c>
      <c r="E2534" s="11" t="s">
        <v>133</v>
      </c>
      <c r="F2534" s="11">
        <v>3.0</v>
      </c>
      <c r="G2534" s="11">
        <v>3.0</v>
      </c>
      <c r="H2534" s="11">
        <v>3.0</v>
      </c>
      <c r="I2534" s="11">
        <v>3.0</v>
      </c>
    </row>
    <row r="2535">
      <c r="A2535" s="10" t="s">
        <v>8932</v>
      </c>
      <c r="B2535" s="49" t="str">
        <f t="shared" si="1"/>
        <v>Solid &amp; Hazardous Wastes</v>
      </c>
      <c r="C2535" s="49" t="str">
        <f t="shared" si="2"/>
        <v>Solid &amp; Hazardous Wastes; Refuse or hinder entry, inspection, sampling and the examination or copying of records related to the purposes of this act by an identified agent or employee of the secretary after receiving notice of their purpose</v>
      </c>
      <c r="D2535" s="49" t="str">
        <f t="shared" si="3"/>
        <v>65-3409(a)(6)</v>
      </c>
      <c r="E2535" s="11" t="s">
        <v>133</v>
      </c>
      <c r="F2535" s="11">
        <v>3.0</v>
      </c>
      <c r="G2535" s="11">
        <v>3.0</v>
      </c>
      <c r="H2535" s="11">
        <v>3.0</v>
      </c>
      <c r="I2535" s="11">
        <v>3.0</v>
      </c>
    </row>
    <row r="2536">
      <c r="A2536" s="10" t="s">
        <v>8933</v>
      </c>
      <c r="B2536" s="49" t="str">
        <f t="shared" si="1"/>
        <v>Solid &amp; Hazardous Wastes</v>
      </c>
      <c r="C2536" s="49" t="str">
        <f t="shared" si="2"/>
        <v>Solid &amp; Hazardous Wastes; Refuse or hinder entry, inspection, sampling and the examination or copying of records related to this act by an identified agent/employee of the secretary after receiving notice of their purpose</v>
      </c>
      <c r="D2536" s="49" t="str">
        <f t="shared" si="3"/>
        <v>65-3441(a)(5)</v>
      </c>
      <c r="E2536" s="11" t="s">
        <v>133</v>
      </c>
      <c r="F2536" s="11">
        <v>3.0</v>
      </c>
      <c r="G2536" s="11">
        <v>3.0</v>
      </c>
      <c r="H2536" s="11">
        <v>3.0</v>
      </c>
      <c r="I2536" s="11">
        <v>3.0</v>
      </c>
    </row>
    <row r="2537">
      <c r="A2537" s="10" t="s">
        <v>8934</v>
      </c>
      <c r="B2537" s="49" t="str">
        <f t="shared" si="1"/>
        <v>Solid &amp; Hazardous Wastes</v>
      </c>
      <c r="C2537" s="49" t="str">
        <f t="shared" si="2"/>
        <v>Solid &amp; Hazardous Wastes; Store, collect, transport, process, treat or dispose of solid waste contrary to the rules and regulations, standards or orders of the secretary or in such a manner as to create a public nuisance</v>
      </c>
      <c r="D2537" s="49" t="str">
        <f t="shared" si="3"/>
        <v>65-3409(a)(5)</v>
      </c>
      <c r="E2537" s="11" t="s">
        <v>133</v>
      </c>
      <c r="F2537" s="11">
        <v>3.0</v>
      </c>
      <c r="G2537" s="11">
        <v>3.0</v>
      </c>
      <c r="H2537" s="11">
        <v>3.0</v>
      </c>
      <c r="I2537" s="11">
        <v>3.0</v>
      </c>
    </row>
    <row r="2538">
      <c r="A2538" s="10" t="s">
        <v>8935</v>
      </c>
      <c r="B2538" s="49" t="str">
        <f t="shared" si="1"/>
        <v>Solid &amp; Hazardous Wastes</v>
      </c>
      <c r="C2538" s="49" t="str">
        <f t="shared" si="2"/>
        <v>Solid &amp; Hazardous Wastes; Store, collect, treat or dispose of hazardous waste contrary to the rules and regulations, standards or orders of the secretary</v>
      </c>
      <c r="D2538" s="49" t="str">
        <f t="shared" si="3"/>
        <v>65-3441(a)(4)</v>
      </c>
      <c r="E2538" s="11" t="s">
        <v>133</v>
      </c>
      <c r="F2538" s="11">
        <v>3.0</v>
      </c>
      <c r="G2538" s="11">
        <v>3.0</v>
      </c>
      <c r="H2538" s="11">
        <v>3.0</v>
      </c>
      <c r="I2538" s="11">
        <v>3.0</v>
      </c>
    </row>
    <row r="2539">
      <c r="A2539" s="10" t="s">
        <v>8936</v>
      </c>
      <c r="B2539" s="49" t="str">
        <f t="shared" si="1"/>
        <v>Solid &amp; Hazardous Wastes</v>
      </c>
      <c r="C2539" s="49" t="str">
        <f t="shared" si="2"/>
        <v>Solid &amp; Hazardous Wastes; Transport and dispose of, or cause the transportation and disposition of, hazardous waste in a manner contrary to the rules and regulations, standards or orders of the secretary</v>
      </c>
      <c r="D2539" s="49" t="str">
        <f t="shared" si="3"/>
        <v>65-3441(a)(11)</v>
      </c>
      <c r="E2539" s="11" t="s">
        <v>133</v>
      </c>
      <c r="F2539" s="11">
        <v>3.0</v>
      </c>
      <c r="G2539" s="11">
        <v>3.0</v>
      </c>
      <c r="H2539" s="11">
        <v>3.0</v>
      </c>
      <c r="I2539" s="11">
        <v>3.0</v>
      </c>
    </row>
    <row r="2540">
      <c r="A2540" s="10" t="s">
        <v>8937</v>
      </c>
      <c r="B2540" s="49" t="str">
        <f t="shared" si="1"/>
        <v>Solid &amp; Hazardous Wastes</v>
      </c>
      <c r="C2540" s="49" t="str">
        <f t="shared" si="2"/>
        <v>Solid &amp; Hazardous Wastes; Transport hazardous waste to a facility not authorized to operate under the federal hazardous waste program or under an approved state hazardous waste program</v>
      </c>
      <c r="D2540" s="49" t="str">
        <f t="shared" si="3"/>
        <v>65-3441(a)(9)</v>
      </c>
      <c r="E2540" s="11" t="s">
        <v>133</v>
      </c>
      <c r="F2540" s="11">
        <v>3.0</v>
      </c>
      <c r="G2540" s="11">
        <v>3.0</v>
      </c>
      <c r="H2540" s="11">
        <v>3.0</v>
      </c>
      <c r="I2540" s="11">
        <v>3.0</v>
      </c>
    </row>
    <row r="2541">
      <c r="A2541" s="10" t="s">
        <v>8938</v>
      </c>
      <c r="B2541" s="49" t="str">
        <f t="shared" si="1"/>
        <v>Solid &amp; Hazardous Wastes</v>
      </c>
      <c r="C2541" s="49" t="str">
        <f t="shared" si="2"/>
        <v>Solid &amp; Hazardous Wastes; Unauthorized constructing, altering or operating a solid waste processing or disposal facility, or acting as a waste tire transporter or mobile waste tire processor without a permit; violation of the rules and regulations, standards or orders of the secretary</v>
      </c>
      <c r="D2541" s="49" t="str">
        <f t="shared" si="3"/>
        <v>65-3409(a)(2)</v>
      </c>
      <c r="E2541" s="11" t="s">
        <v>133</v>
      </c>
      <c r="F2541" s="11">
        <v>3.0</v>
      </c>
      <c r="G2541" s="11">
        <v>3.0</v>
      </c>
      <c r="H2541" s="11">
        <v>3.0</v>
      </c>
      <c r="I2541" s="11">
        <v>3.0</v>
      </c>
    </row>
    <row r="2542">
      <c r="A2542" s="10" t="s">
        <v>8939</v>
      </c>
      <c r="B2542" s="49" t="str">
        <f t="shared" si="1"/>
        <v>Solid &amp; Hazardous Wastes</v>
      </c>
      <c r="C2542" s="49" t="str">
        <f t="shared" si="2"/>
        <v>Solid &amp; Hazardous Wastes; Unauthorized disposal of any solid waste by open dumping</v>
      </c>
      <c r="D2542" s="49" t="str">
        <f t="shared" si="3"/>
        <v>65-3409(a)(1)</v>
      </c>
      <c r="E2542" s="11" t="s">
        <v>133</v>
      </c>
      <c r="F2542" s="11">
        <v>3.0</v>
      </c>
      <c r="G2542" s="11">
        <v>3.0</v>
      </c>
      <c r="H2542" s="11">
        <v>3.0</v>
      </c>
      <c r="I2542" s="11">
        <v>3.0</v>
      </c>
    </row>
    <row r="2543">
      <c r="A2543" s="10" t="s">
        <v>8940</v>
      </c>
      <c r="B2543" s="49" t="str">
        <f t="shared" si="1"/>
        <v>Solid &amp; Hazardous Wastes</v>
      </c>
      <c r="C2543" s="49" t="str">
        <f t="shared" si="2"/>
        <v>Solid &amp; Hazardous Wastes; Unauthorized division of a solid waste disposal area, which has been issued a permit pursuant to K.S.A. 65-3407, into 2 or more parcels of real property for the purpose of selling or transferring a portion of the permitted area to a new owner</v>
      </c>
      <c r="D2543" s="49" t="str">
        <f t="shared" si="3"/>
        <v>65-3409(a)(8)</v>
      </c>
      <c r="E2543" s="11" t="s">
        <v>133</v>
      </c>
      <c r="F2543" s="11">
        <v>3.0</v>
      </c>
      <c r="G2543" s="11">
        <v>3.0</v>
      </c>
      <c r="H2543" s="11">
        <v>3.0</v>
      </c>
      <c r="I2543" s="11">
        <v>3.0</v>
      </c>
    </row>
    <row r="2544">
      <c r="A2544" s="10" t="s">
        <v>8941</v>
      </c>
      <c r="B2544" s="49" t="str">
        <f t="shared" si="1"/>
        <v>Solid &amp; Hazardous Wastes</v>
      </c>
      <c r="C2544" s="49" t="str">
        <f t="shared" si="2"/>
        <v>Solid &amp; Hazardous Wastes; Unauthorized transfer or expenditure of moneys in a special fund provided for by this section</v>
      </c>
      <c r="D2544" s="49" t="str">
        <f t="shared" si="3"/>
        <v>65-3415f(e)</v>
      </c>
      <c r="E2544" s="11" t="s">
        <v>133</v>
      </c>
      <c r="F2544" s="11">
        <v>3.0</v>
      </c>
      <c r="G2544" s="11">
        <v>3.0</v>
      </c>
      <c r="H2544" s="11">
        <v>3.0</v>
      </c>
      <c r="I2544" s="11">
        <v>3.0</v>
      </c>
    </row>
    <row r="2545">
      <c r="A2545" s="10" t="s">
        <v>8942</v>
      </c>
      <c r="B2545" s="49" t="str">
        <f t="shared" si="1"/>
        <v>Solid &amp; Hazardous Wastes</v>
      </c>
      <c r="C2545" s="49" t="str">
        <f t="shared" si="2"/>
        <v>Solid &amp; Hazardous Wastes; Violate any condition of any permit issued by the secretary</v>
      </c>
      <c r="D2545" s="49" t="str">
        <f t="shared" si="3"/>
        <v>65-3441(a)(3)</v>
      </c>
      <c r="E2545" s="11" t="s">
        <v>133</v>
      </c>
      <c r="F2545" s="11">
        <v>3.0</v>
      </c>
      <c r="G2545" s="11">
        <v>3.0</v>
      </c>
      <c r="H2545" s="11">
        <v>3.0</v>
      </c>
      <c r="I2545" s="11">
        <v>3.0</v>
      </c>
    </row>
    <row r="2546">
      <c r="A2546" s="10" t="s">
        <v>8943</v>
      </c>
      <c r="B2546" s="49" t="str">
        <f t="shared" si="1"/>
        <v>Solid &amp; Hazardous Wastes</v>
      </c>
      <c r="C2546" s="49" t="str">
        <f t="shared" si="2"/>
        <v>Solid &amp; Hazardous Wastes; Violate any condition of any permit issued under K.S.A. 65-3407 or 65-3424b</v>
      </c>
      <c r="D2546" s="49" t="str">
        <f t="shared" si="3"/>
        <v>65-3409(a)(3)</v>
      </c>
      <c r="E2546" s="11" t="s">
        <v>133</v>
      </c>
      <c r="F2546" s="11">
        <v>3.0</v>
      </c>
      <c r="G2546" s="11">
        <v>3.0</v>
      </c>
      <c r="H2546" s="11">
        <v>3.0</v>
      </c>
      <c r="I2546" s="11">
        <v>3.0</v>
      </c>
    </row>
    <row r="2547">
      <c r="A2547" s="10" t="s">
        <v>8944</v>
      </c>
      <c r="B2547" s="49" t="str">
        <f t="shared" si="1"/>
        <v>Solid &amp; Hazardous Wastes</v>
      </c>
      <c r="C2547" s="49" t="str">
        <f t="shared" si="2"/>
        <v>Solid &amp; Hazardous Wastes; Violation of subsection (b) of K.S.A. 65-3424a, subsection (c) of K.S.A. 65-3424b or K.S.A. 65-3424i</v>
      </c>
      <c r="D2547" s="49" t="str">
        <f t="shared" si="3"/>
        <v>65-3409(a)(7)</v>
      </c>
      <c r="E2547" s="11" t="s">
        <v>133</v>
      </c>
      <c r="F2547" s="11">
        <v>3.0</v>
      </c>
      <c r="G2547" s="11">
        <v>3.0</v>
      </c>
      <c r="H2547" s="11">
        <v>3.0</v>
      </c>
      <c r="I2547" s="11">
        <v>3.0</v>
      </c>
    </row>
    <row r="2548">
      <c r="A2548" s="10" t="s">
        <v>8945</v>
      </c>
      <c r="B2548" s="49" t="str">
        <f t="shared" si="1"/>
        <v>Speech-Language Pathologists &amp; Audiologists</v>
      </c>
      <c r="C2548" s="49" t="str">
        <f t="shared" si="2"/>
        <v>Speech-Language Pathologists &amp; Audiologists; Engage in the practice of dispensing and fitting hearing aids without a license or certificate of endorsement</v>
      </c>
      <c r="D2548" s="49" t="str">
        <f t="shared" si="3"/>
        <v>65-6504(b)</v>
      </c>
      <c r="E2548" s="11" t="s">
        <v>133</v>
      </c>
      <c r="F2548" s="11">
        <v>3.0</v>
      </c>
      <c r="G2548" s="11">
        <v>3.0</v>
      </c>
      <c r="H2548" s="11">
        <v>3.0</v>
      </c>
      <c r="I2548" s="11">
        <v>3.0</v>
      </c>
    </row>
    <row r="2549">
      <c r="A2549" s="10" t="s">
        <v>8946</v>
      </c>
      <c r="B2549" s="49" t="str">
        <f t="shared" si="1"/>
        <v>Speech-Language Pathologists &amp; Audiologists</v>
      </c>
      <c r="C2549" s="49" t="str">
        <f t="shared" si="2"/>
        <v>Speech-Language Pathologists &amp; Audiologists; Practice speech-language pathology or audiology without a valid license; hold oneself out as a speech professional without appropriate license</v>
      </c>
      <c r="D2549" s="49" t="str">
        <f t="shared" si="3"/>
        <v>65-6504(a)</v>
      </c>
      <c r="E2549" s="11" t="s">
        <v>133</v>
      </c>
      <c r="F2549" s="11">
        <v>3.0</v>
      </c>
      <c r="G2549" s="11">
        <v>3.0</v>
      </c>
      <c r="H2549" s="11">
        <v>3.0</v>
      </c>
      <c r="I2549" s="11">
        <v>3.0</v>
      </c>
    </row>
    <row r="2550">
      <c r="A2550" s="10" t="s">
        <v>8947</v>
      </c>
      <c r="B2550" s="49" t="str">
        <f t="shared" si="1"/>
        <v>Sports Bribery</v>
      </c>
      <c r="C2550" s="49" t="str">
        <f t="shared" si="2"/>
        <v>Sports Bribery; Confer, offer or agree to confer, benefit upon a sports official</v>
      </c>
      <c r="D2550" s="49" t="str">
        <f t="shared" si="3"/>
        <v>21-6507(a)(2)</v>
      </c>
      <c r="E2550" s="11" t="s">
        <v>133</v>
      </c>
      <c r="F2550" s="11">
        <v>3.0</v>
      </c>
      <c r="G2550" s="11">
        <v>3.0</v>
      </c>
      <c r="H2550" s="11">
        <v>3.0</v>
      </c>
      <c r="I2550" s="11">
        <v>3.0</v>
      </c>
    </row>
    <row r="2551">
      <c r="A2551" s="10" t="s">
        <v>8948</v>
      </c>
      <c r="B2551" s="49" t="str">
        <f t="shared" si="1"/>
        <v>Sports Bribery</v>
      </c>
      <c r="C2551" s="49" t="str">
        <f t="shared" si="2"/>
        <v>Sports Bribery; Confer, offer or agree to confer, benefit upon sports participant</v>
      </c>
      <c r="D2551" s="49" t="str">
        <f t="shared" si="3"/>
        <v>21-6507(a)(1)</v>
      </c>
      <c r="E2551" s="11" t="s">
        <v>133</v>
      </c>
      <c r="F2551" s="11">
        <v>3.0</v>
      </c>
      <c r="G2551" s="11">
        <v>3.0</v>
      </c>
      <c r="H2551" s="11">
        <v>3.0</v>
      </c>
      <c r="I2551" s="11">
        <v>3.0</v>
      </c>
    </row>
    <row r="2552">
      <c r="A2552" s="10" t="s">
        <v>8949</v>
      </c>
      <c r="B2552" s="49" t="str">
        <f t="shared" si="1"/>
        <v>Sports Bribery</v>
      </c>
      <c r="C2552" s="49" t="str">
        <f t="shared" si="2"/>
        <v>Sports Bribery; Sports officials accepting, agreeing to accept or soliciting a sports bribe</v>
      </c>
      <c r="D2552" s="49" t="str">
        <f t="shared" si="3"/>
        <v>21-6507(a)(4)</v>
      </c>
      <c r="E2552" s="11" t="s">
        <v>133</v>
      </c>
      <c r="F2552" s="11">
        <v>3.0</v>
      </c>
      <c r="G2552" s="11">
        <v>3.0</v>
      </c>
      <c r="H2552" s="11">
        <v>3.0</v>
      </c>
      <c r="I2552" s="11">
        <v>3.0</v>
      </c>
    </row>
    <row r="2553">
      <c r="A2553" s="10" t="s">
        <v>8950</v>
      </c>
      <c r="B2553" s="49" t="str">
        <f t="shared" si="1"/>
        <v>Sports Bribery</v>
      </c>
      <c r="C2553" s="49" t="str">
        <f t="shared" si="2"/>
        <v>Sports Bribery; Sports participants accepting, agreeing to accept or soliciting a sports bribe</v>
      </c>
      <c r="D2553" s="49" t="str">
        <f t="shared" si="3"/>
        <v>21-6507(a)(3)</v>
      </c>
      <c r="E2553" s="11" t="s">
        <v>133</v>
      </c>
      <c r="F2553" s="11">
        <v>3.0</v>
      </c>
      <c r="G2553" s="11">
        <v>3.0</v>
      </c>
      <c r="H2553" s="11">
        <v>3.0</v>
      </c>
      <c r="I2553" s="11">
        <v>3.0</v>
      </c>
    </row>
    <row r="2554">
      <c r="A2554" s="10" t="s">
        <v>8951</v>
      </c>
      <c r="B2554" s="49" t="str">
        <f t="shared" si="1"/>
        <v>Stalking</v>
      </c>
      <c r="C2554" s="49" t="str">
        <f t="shared" si="2"/>
        <v>Stalking; After notice of protective order prohibiting contact with a targeted person, recklessly engaging in conduct listed in (f)(1) that violates the order and would cause a reasonable person in targeted person's circumstances to fear for such person's or immediate family's safety and targeted person actually placed in such fear; 1st conviction</v>
      </c>
      <c r="D2554" s="49" t="str">
        <f t="shared" si="3"/>
        <v>21-5427(a)(3)</v>
      </c>
      <c r="E2554" s="11" t="s">
        <v>133</v>
      </c>
      <c r="F2554" s="11">
        <v>3.0</v>
      </c>
      <c r="G2554" s="11">
        <v>3.0</v>
      </c>
      <c r="H2554" s="11">
        <v>3.0</v>
      </c>
      <c r="I2554" s="11">
        <v>3.0</v>
      </c>
    </row>
    <row r="2555">
      <c r="A2555" s="10" t="s">
        <v>8952</v>
      </c>
      <c r="B2555" s="49" t="str">
        <f t="shared" si="1"/>
        <v>Stalking</v>
      </c>
      <c r="C2555" s="49" t="str">
        <f t="shared" si="2"/>
        <v>Stalking; After notice of protective order prohibiting contact with a targeted person, recklessly engaging in conduct listed in (f)(1) that violates the order and would cause a reasonable person in targeted person's circumstances to fear for such person's or immediate family's safety and targeted person actually placed in such fear; 2nd or subs. conviction</v>
      </c>
      <c r="D2555" s="49" t="str">
        <f t="shared" si="3"/>
        <v>21-5427(a)(3)</v>
      </c>
      <c r="E2555" s="11" t="s">
        <v>133</v>
      </c>
      <c r="F2555" s="11">
        <v>3.0</v>
      </c>
      <c r="G2555" s="11">
        <v>3.0</v>
      </c>
      <c r="H2555" s="11">
        <v>3.0</v>
      </c>
      <c r="I2555" s="11">
        <v>3.0</v>
      </c>
    </row>
    <row r="2556">
      <c r="A2556" s="10" t="s">
        <v>8953</v>
      </c>
      <c r="B2556" s="49" t="str">
        <f t="shared" si="1"/>
        <v>Stalking</v>
      </c>
      <c r="C2556" s="49" t="str">
        <f t="shared" si="2"/>
        <v>Stalking; Engaging in a course of conduct targeted at specific person which individual knows will place targeted person in fear for such person's or immediate family member's safety; 1st conviction</v>
      </c>
      <c r="D2556" s="49" t="str">
        <f t="shared" si="3"/>
        <v>21-5427(a)(2)</v>
      </c>
      <c r="E2556" s="11" t="s">
        <v>133</v>
      </c>
      <c r="F2556" s="11">
        <v>3.0</v>
      </c>
      <c r="G2556" s="11">
        <v>3.0</v>
      </c>
      <c r="H2556" s="11">
        <v>3.0</v>
      </c>
      <c r="I2556" s="11">
        <v>3.0</v>
      </c>
    </row>
    <row r="2557">
      <c r="A2557" s="10" t="s">
        <v>8954</v>
      </c>
      <c r="B2557" s="49" t="str">
        <f t="shared" si="1"/>
        <v>Stalking</v>
      </c>
      <c r="C2557" s="49" t="str">
        <f t="shared" si="2"/>
        <v>Stalking; Engaging in a course of conduct targeted at specific person which individual knows will place targeted person in fear for such person's or immediate family member's safety; 2nd or subs. conviction</v>
      </c>
      <c r="D2557" s="49" t="str">
        <f t="shared" si="3"/>
        <v>21-5427(a)(2)</v>
      </c>
      <c r="E2557" s="11" t="s">
        <v>133</v>
      </c>
      <c r="F2557" s="11">
        <v>3.0</v>
      </c>
      <c r="G2557" s="11">
        <v>3.0</v>
      </c>
      <c r="H2557" s="11">
        <v>3.0</v>
      </c>
      <c r="I2557" s="11">
        <v>3.0</v>
      </c>
    </row>
    <row r="2558">
      <c r="A2558" s="10" t="s">
        <v>8955</v>
      </c>
      <c r="B2558" s="49" t="str">
        <f t="shared" si="1"/>
        <v>Stalking</v>
      </c>
      <c r="C2558" s="49" t="str">
        <f t="shared" si="2"/>
        <v>Stalking; Recklessly engaging in a course of conduct targeted at specific person which would cause a reasonable person in the targeted person's circumstances to fear for such person's or immediate family member's safety and targeted person actually placed in such fear; 1st conviction</v>
      </c>
      <c r="D2558" s="49" t="str">
        <f t="shared" si="3"/>
        <v>21-5427(a)(1)</v>
      </c>
      <c r="E2558" s="11" t="s">
        <v>133</v>
      </c>
      <c r="F2558" s="11">
        <v>3.0</v>
      </c>
      <c r="G2558" s="11">
        <v>3.0</v>
      </c>
      <c r="H2558" s="11">
        <v>3.0</v>
      </c>
      <c r="I2558" s="11">
        <v>3.0</v>
      </c>
    </row>
    <row r="2559">
      <c r="A2559" s="10" t="s">
        <v>8956</v>
      </c>
      <c r="B2559" s="49" t="str">
        <f t="shared" si="1"/>
        <v>Stalking</v>
      </c>
      <c r="C2559" s="49" t="str">
        <f t="shared" si="2"/>
        <v>Stalking; Recklessly engaging in a course of conduct targeted at specific person which would cause a reasonable person in the targeted person's circumstances to fear for such person's or immediate family member's safety and targeted person actually placed in such fear; 2nd or subs. conviction</v>
      </c>
      <c r="D2559" s="49" t="str">
        <f t="shared" si="3"/>
        <v>21-5427(a)(1)</v>
      </c>
      <c r="E2559" s="11" t="s">
        <v>133</v>
      </c>
      <c r="F2559" s="11">
        <v>3.0</v>
      </c>
      <c r="G2559" s="11">
        <v>3.0</v>
      </c>
      <c r="H2559" s="11">
        <v>3.0</v>
      </c>
      <c r="I2559" s="11">
        <v>3.0</v>
      </c>
    </row>
    <row r="2560">
      <c r="A2560" s="10" t="s">
        <v>8957</v>
      </c>
      <c r="B2560" s="49" t="str">
        <f t="shared" si="1"/>
        <v>State Board of Technical Professionals</v>
      </c>
      <c r="C2560" s="49" t="str">
        <f t="shared" si="2"/>
        <v>State Board of Technical Professionals; Any other violation of provisions of this act</v>
      </c>
      <c r="D2560" s="49" t="str">
        <f t="shared" si="3"/>
        <v>74-7029(a)(8)</v>
      </c>
      <c r="E2560" s="11" t="s">
        <v>133</v>
      </c>
      <c r="F2560" s="11">
        <v>3.0</v>
      </c>
      <c r="G2560" s="11">
        <v>3.0</v>
      </c>
      <c r="H2560" s="11">
        <v>3.0</v>
      </c>
      <c r="I2560" s="11">
        <v>3.0</v>
      </c>
    </row>
    <row r="2561">
      <c r="A2561" s="10" t="s">
        <v>8958</v>
      </c>
      <c r="B2561" s="49" t="str">
        <f t="shared" si="1"/>
        <v>State Board of Technical Professionals</v>
      </c>
      <c r="C2561" s="49" t="str">
        <f t="shared" si="2"/>
        <v>State Board of Technical Professionals; Falsely advertise as a licensed practitioner or as the holder of a certificate of authorization</v>
      </c>
      <c r="D2561" s="49" t="str">
        <f t="shared" si="3"/>
        <v>74-7029(a)(6)</v>
      </c>
      <c r="E2561" s="11" t="s">
        <v>133</v>
      </c>
      <c r="F2561" s="11">
        <v>3.0</v>
      </c>
      <c r="G2561" s="11">
        <v>3.0</v>
      </c>
      <c r="H2561" s="11">
        <v>3.0</v>
      </c>
      <c r="I2561" s="11">
        <v>3.0</v>
      </c>
    </row>
    <row r="2562">
      <c r="A2562" s="10" t="s">
        <v>8959</v>
      </c>
      <c r="B2562" s="49" t="str">
        <f t="shared" si="1"/>
        <v>State Board of Technical Professionals</v>
      </c>
      <c r="C2562" s="49" t="str">
        <f t="shared" si="2"/>
        <v>State Board of Technical Professionals; Falsely impersonate any other practitioner of like or different name</v>
      </c>
      <c r="D2562" s="49" t="str">
        <f t="shared" si="3"/>
        <v>74-7029(a)(3)</v>
      </c>
      <c r="E2562" s="11" t="s">
        <v>133</v>
      </c>
      <c r="F2562" s="11">
        <v>3.0</v>
      </c>
      <c r="G2562" s="11">
        <v>3.0</v>
      </c>
      <c r="H2562" s="11">
        <v>3.0</v>
      </c>
      <c r="I2562" s="11">
        <v>3.0</v>
      </c>
    </row>
    <row r="2563">
      <c r="A2563" s="10" t="s">
        <v>8960</v>
      </c>
      <c r="B2563" s="49" t="str">
        <f t="shared" si="1"/>
        <v>State Board of Technical Professionals</v>
      </c>
      <c r="C2563" s="49" t="str">
        <f t="shared" si="2"/>
        <v>State Board of Technical Professionals; Give false or forged evidence to the board or any member thereof in obtaining a license or certificate of authorization</v>
      </c>
      <c r="D2563" s="49" t="str">
        <f t="shared" si="3"/>
        <v>74-7029(a)(4)</v>
      </c>
      <c r="E2563" s="11" t="s">
        <v>133</v>
      </c>
      <c r="F2563" s="11">
        <v>3.0</v>
      </c>
      <c r="G2563" s="11">
        <v>3.0</v>
      </c>
      <c r="H2563" s="11">
        <v>3.0</v>
      </c>
      <c r="I2563" s="11">
        <v>3.0</v>
      </c>
    </row>
    <row r="2564">
      <c r="A2564" s="10" t="s">
        <v>8961</v>
      </c>
      <c r="B2564" s="49" t="str">
        <f t="shared" si="1"/>
        <v>State Board of Technical Professionals</v>
      </c>
      <c r="C2564" s="49" t="str">
        <f t="shared" si="2"/>
        <v>State Board of Technical Professionals; Practice, offer to practice, or hold oneself out as entitled to practice any technical profession without being duly licensed or holding a certificate of authorization issued under K.S.A. 74-7036</v>
      </c>
      <c r="D2564" s="49" t="str">
        <f t="shared" si="3"/>
        <v>74-7029(a)(1)</v>
      </c>
      <c r="E2564" s="11" t="s">
        <v>133</v>
      </c>
      <c r="F2564" s="11">
        <v>3.0</v>
      </c>
      <c r="G2564" s="11">
        <v>3.0</v>
      </c>
      <c r="H2564" s="11">
        <v>3.0</v>
      </c>
      <c r="I2564" s="11">
        <v>3.0</v>
      </c>
    </row>
    <row r="2565">
      <c r="A2565" s="10" t="s">
        <v>8962</v>
      </c>
      <c r="B2565" s="49" t="str">
        <f t="shared" si="1"/>
        <v>State Board of Technical Professionals</v>
      </c>
      <c r="C2565" s="49" t="str">
        <f t="shared" si="2"/>
        <v>State Board of Technical Professionals; Present or attempt to use, as such person's own, the license, certificate of authorization or seal of another</v>
      </c>
      <c r="D2565" s="49" t="str">
        <f t="shared" si="3"/>
        <v>74-7029(a)(2)</v>
      </c>
      <c r="E2565" s="11" t="s">
        <v>133</v>
      </c>
      <c r="F2565" s="11">
        <v>3.0</v>
      </c>
      <c r="G2565" s="11">
        <v>3.0</v>
      </c>
      <c r="H2565" s="11">
        <v>3.0</v>
      </c>
      <c r="I2565" s="11">
        <v>3.0</v>
      </c>
    </row>
    <row r="2566">
      <c r="A2566" s="10" t="s">
        <v>8963</v>
      </c>
      <c r="B2566" s="49" t="str">
        <f t="shared" si="1"/>
        <v>State Board of Technical Professionals</v>
      </c>
      <c r="C2566" s="49" t="str">
        <f t="shared" si="2"/>
        <v>State Board of Technical Professionals; Unauthorized use of any title or description intended to convey the impression that a person is a licensed practitioner or holds a certificate of authorization</v>
      </c>
      <c r="D2566" s="49" t="str">
        <f t="shared" si="3"/>
        <v>74-7029(a)(7)</v>
      </c>
      <c r="E2566" s="11" t="s">
        <v>133</v>
      </c>
      <c r="F2566" s="11">
        <v>3.0</v>
      </c>
      <c r="G2566" s="11">
        <v>3.0</v>
      </c>
      <c r="H2566" s="11">
        <v>3.0</v>
      </c>
      <c r="I2566" s="11">
        <v>3.0</v>
      </c>
    </row>
    <row r="2567">
      <c r="A2567" s="10" t="s">
        <v>8964</v>
      </c>
      <c r="B2567" s="49" t="str">
        <f t="shared" si="1"/>
        <v>State Board of Technical Professionals</v>
      </c>
      <c r="C2567" s="49" t="str">
        <f t="shared" si="2"/>
        <v>State Board of Technical Professionals; Use or attempt to use a license or certificate of authorization that has expired or been suspended or revoked</v>
      </c>
      <c r="D2567" s="49" t="str">
        <f t="shared" si="3"/>
        <v>74-7029(a)(5)</v>
      </c>
      <c r="E2567" s="11" t="s">
        <v>133</v>
      </c>
      <c r="F2567" s="11">
        <v>3.0</v>
      </c>
      <c r="G2567" s="11">
        <v>3.0</v>
      </c>
      <c r="H2567" s="11">
        <v>3.0</v>
      </c>
      <c r="I2567" s="11">
        <v>3.0</v>
      </c>
    </row>
    <row r="2568">
      <c r="A2568" s="10" t="s">
        <v>8965</v>
      </c>
      <c r="B2568" s="49" t="str">
        <f t="shared" si="1"/>
        <v>State Corporation Commission</v>
      </c>
      <c r="C2568" s="49" t="str">
        <f t="shared" si="2"/>
        <v>State Corporation Commission; Commission required to make rules and regulations governing registration and fees for certain vehicles used temporarily</v>
      </c>
      <c r="D2568" s="49" t="str">
        <f t="shared" si="3"/>
        <v>66-1,140(a)</v>
      </c>
      <c r="E2568" s="11" t="s">
        <v>133</v>
      </c>
      <c r="F2568" s="11">
        <v>3.0</v>
      </c>
      <c r="G2568" s="11">
        <v>3.0</v>
      </c>
      <c r="H2568" s="11">
        <v>3.0</v>
      </c>
      <c r="I2568" s="11">
        <v>3.0</v>
      </c>
    </row>
    <row r="2569">
      <c r="A2569" s="10" t="s">
        <v>8966</v>
      </c>
      <c r="B2569" s="49" t="str">
        <f t="shared" si="1"/>
        <v>State Corporation Commission</v>
      </c>
      <c r="C2569" s="49" t="str">
        <f t="shared" si="2"/>
        <v>State Corporation Commission; Commission required to make rules and regulations governing vehicles entering state on occasional trips</v>
      </c>
      <c r="D2569" s="49" t="str">
        <f t="shared" si="3"/>
        <v>66-1,140(b)</v>
      </c>
      <c r="E2569" s="11" t="s">
        <v>133</v>
      </c>
      <c r="F2569" s="11">
        <v>3.0</v>
      </c>
      <c r="G2569" s="11">
        <v>3.0</v>
      </c>
      <c r="H2569" s="11">
        <v>3.0</v>
      </c>
      <c r="I2569" s="11">
        <v>3.0</v>
      </c>
    </row>
    <row r="2570">
      <c r="A2570" s="10" t="s">
        <v>8967</v>
      </c>
      <c r="B2570" s="49" t="str">
        <f t="shared" si="1"/>
        <v>State Corporation Commission</v>
      </c>
      <c r="C2570" s="49" t="str">
        <f t="shared" si="2"/>
        <v>State Corporation Commission; Destruction of pipeline signs or markers</v>
      </c>
      <c r="D2570" s="49" t="str">
        <f t="shared" si="3"/>
        <v>66-1,157d(a)</v>
      </c>
      <c r="E2570" s="11" t="s">
        <v>133</v>
      </c>
      <c r="F2570" s="11">
        <v>3.0</v>
      </c>
      <c r="G2570" s="11">
        <v>3.0</v>
      </c>
      <c r="H2570" s="11">
        <v>3.0</v>
      </c>
      <c r="I2570" s="11">
        <v>3.0</v>
      </c>
    </row>
    <row r="2571">
      <c r="A2571" s="10" t="s">
        <v>8968</v>
      </c>
      <c r="B2571" s="49" t="str">
        <f t="shared" si="1"/>
        <v>State Corporation Commission</v>
      </c>
      <c r="C2571" s="49" t="str">
        <f t="shared" si="2"/>
        <v>State Corporation Commission; Fail to comply with form of application requirements</v>
      </c>
      <c r="D2571" s="49" t="str">
        <f t="shared" si="3"/>
        <v>66-1,139(d)</v>
      </c>
      <c r="E2571" s="11" t="s">
        <v>133</v>
      </c>
      <c r="F2571" s="11">
        <v>3.0</v>
      </c>
      <c r="G2571" s="11">
        <v>3.0</v>
      </c>
      <c r="H2571" s="11">
        <v>3.0</v>
      </c>
      <c r="I2571" s="11">
        <v>3.0</v>
      </c>
    </row>
    <row r="2572">
      <c r="A2572" s="10" t="s">
        <v>8969</v>
      </c>
      <c r="B2572" s="49" t="str">
        <f t="shared" si="1"/>
        <v>State Corporation Commission</v>
      </c>
      <c r="C2572" s="49" t="str">
        <f t="shared" si="2"/>
        <v>State Corporation Commission; Intentionally violate any provision of the system of priorities for the allocation of available energy resources or for the curtailment of the consumption of such energy resources, or both, during any energy resources emergency proclaimed by the governor</v>
      </c>
      <c r="D2572" s="49" t="str">
        <f t="shared" si="3"/>
        <v>74-621</v>
      </c>
      <c r="E2572" s="11" t="s">
        <v>133</v>
      </c>
      <c r="F2572" s="11">
        <v>3.0</v>
      </c>
      <c r="G2572" s="11">
        <v>3.0</v>
      </c>
      <c r="H2572" s="11">
        <v>3.0</v>
      </c>
      <c r="I2572" s="11">
        <v>3.0</v>
      </c>
    </row>
    <row r="2573">
      <c r="A2573" s="10" t="s">
        <v>8970</v>
      </c>
      <c r="B2573" s="49" t="str">
        <f t="shared" si="1"/>
        <v>State Corporation Commission</v>
      </c>
      <c r="C2573" s="49" t="str">
        <f t="shared" si="2"/>
        <v>State Corporation Commission; Intrastate carriers as defined by K.S.A. 8-126 required to register with corporation commission</v>
      </c>
      <c r="D2573" s="49" t="str">
        <f t="shared" si="3"/>
        <v>66-1,139(b)</v>
      </c>
      <c r="E2573" s="11" t="s">
        <v>133</v>
      </c>
      <c r="F2573" s="11">
        <v>3.0</v>
      </c>
      <c r="G2573" s="11">
        <v>3.0</v>
      </c>
      <c r="H2573" s="11">
        <v>3.0</v>
      </c>
      <c r="I2573" s="11">
        <v>3.0</v>
      </c>
    </row>
    <row r="2574">
      <c r="A2574" s="10" t="s">
        <v>8971</v>
      </c>
      <c r="B2574" s="49" t="str">
        <f t="shared" si="1"/>
        <v>State Corporation Commission</v>
      </c>
      <c r="C2574" s="49" t="str">
        <f t="shared" si="2"/>
        <v>State Corporation Commission; Penalty for failure to comply with order</v>
      </c>
      <c r="D2574" s="49" t="str">
        <f t="shared" si="3"/>
        <v>66-195</v>
      </c>
      <c r="E2574" s="11" t="s">
        <v>133</v>
      </c>
      <c r="F2574" s="11">
        <v>3.0</v>
      </c>
      <c r="G2574" s="11">
        <v>3.0</v>
      </c>
      <c r="H2574" s="11">
        <v>3.0</v>
      </c>
      <c r="I2574" s="11">
        <v>3.0</v>
      </c>
    </row>
    <row r="2575">
      <c r="A2575" s="10" t="s">
        <v>8972</v>
      </c>
      <c r="B2575" s="49" t="str">
        <f t="shared" si="1"/>
        <v>State Corporation Commission</v>
      </c>
      <c r="C2575" s="49" t="str">
        <f t="shared" si="2"/>
        <v>State Corporation Commission; Registration and payment of regulatory fees required</v>
      </c>
      <c r="D2575" s="49" t="str">
        <f t="shared" si="3"/>
        <v>66-1,139(c)</v>
      </c>
      <c r="E2575" s="11" t="s">
        <v>133</v>
      </c>
      <c r="F2575" s="11">
        <v>3.0</v>
      </c>
      <c r="G2575" s="11">
        <v>3.0</v>
      </c>
      <c r="H2575" s="11">
        <v>3.0</v>
      </c>
      <c r="I2575" s="11">
        <v>3.0</v>
      </c>
    </row>
    <row r="2576">
      <c r="A2576" s="10" t="s">
        <v>8973</v>
      </c>
      <c r="B2576" s="49" t="str">
        <f t="shared" si="1"/>
        <v>State Corporation Commission</v>
      </c>
      <c r="C2576" s="49" t="str">
        <f t="shared" si="2"/>
        <v>State Corporation Commission; Registration of interstate carriers in base state required pursuant to 49 U.S.C. 14504</v>
      </c>
      <c r="D2576" s="49" t="str">
        <f t="shared" si="3"/>
        <v>66-1,139(a)</v>
      </c>
      <c r="E2576" s="11" t="s">
        <v>133</v>
      </c>
      <c r="F2576" s="11">
        <v>3.0</v>
      </c>
      <c r="G2576" s="11">
        <v>3.0</v>
      </c>
      <c r="H2576" s="11">
        <v>3.0</v>
      </c>
      <c r="I2576" s="11">
        <v>3.0</v>
      </c>
    </row>
    <row r="2577">
      <c r="A2577" s="10" t="s">
        <v>8974</v>
      </c>
      <c r="B2577" s="49" t="str">
        <f t="shared" si="1"/>
        <v>State Corporation Commission</v>
      </c>
      <c r="C2577" s="49" t="str">
        <f t="shared" si="2"/>
        <v>State Corporation Commission; Remittance of moneys, requirements</v>
      </c>
      <c r="D2577" s="49" t="str">
        <f t="shared" si="3"/>
        <v>66-1,139(e)</v>
      </c>
      <c r="E2577" s="11" t="s">
        <v>133</v>
      </c>
      <c r="F2577" s="11">
        <v>3.0</v>
      </c>
      <c r="G2577" s="11">
        <v>3.0</v>
      </c>
      <c r="H2577" s="11">
        <v>3.0</v>
      </c>
      <c r="I2577" s="11">
        <v>3.0</v>
      </c>
    </row>
    <row r="2578">
      <c r="A2578" s="10" t="s">
        <v>8975</v>
      </c>
      <c r="B2578" s="49" t="str">
        <f t="shared" si="1"/>
        <v>State Corporation Commission</v>
      </c>
      <c r="C2578" s="49" t="str">
        <f t="shared" si="2"/>
        <v>State Corporation Commission; Superintendent of the highway patrol designated as issuing agent, required to acknowledge special registrations</v>
      </c>
      <c r="D2578" s="49" t="str">
        <f t="shared" si="3"/>
        <v>66-1,140(c)</v>
      </c>
      <c r="E2578" s="11" t="s">
        <v>133</v>
      </c>
      <c r="F2578" s="11">
        <v>3.0</v>
      </c>
      <c r="G2578" s="11">
        <v>3.0</v>
      </c>
      <c r="H2578" s="11">
        <v>3.0</v>
      </c>
      <c r="I2578" s="11">
        <v>3.0</v>
      </c>
    </row>
    <row r="2579">
      <c r="A2579" s="10" t="s">
        <v>8976</v>
      </c>
      <c r="B2579" s="49" t="str">
        <f t="shared" si="1"/>
        <v>State Corporation Commission</v>
      </c>
      <c r="C2579" s="49" t="str">
        <f t="shared" si="2"/>
        <v>State Corporation Commission; Unlawful securities</v>
      </c>
      <c r="D2579" s="49" t="str">
        <f t="shared" si="3"/>
        <v>66-126</v>
      </c>
      <c r="E2579" s="11" t="s">
        <v>133</v>
      </c>
      <c r="F2579" s="11">
        <v>3.0</v>
      </c>
      <c r="G2579" s="11">
        <v>3.0</v>
      </c>
      <c r="H2579" s="11">
        <v>3.0</v>
      </c>
      <c r="I2579" s="11">
        <v>3.0</v>
      </c>
    </row>
    <row r="2580">
      <c r="A2580" s="10" t="s">
        <v>8977</v>
      </c>
      <c r="B2580" s="49" t="str">
        <f t="shared" si="1"/>
        <v>State Corporation Commission</v>
      </c>
      <c r="C2580" s="49" t="str">
        <f t="shared" si="2"/>
        <v>State Corporation Commission; Violation of act except K.S.A. 66-1,111 or 66-1,128</v>
      </c>
      <c r="D2580" s="49" t="str">
        <f t="shared" si="3"/>
        <v>66-1,130(a)</v>
      </c>
      <c r="E2580" s="11" t="s">
        <v>133</v>
      </c>
      <c r="F2580" s="11">
        <v>3.0</v>
      </c>
      <c r="G2580" s="11">
        <v>3.0</v>
      </c>
      <c r="H2580" s="11">
        <v>3.0</v>
      </c>
      <c r="I2580" s="11">
        <v>3.0</v>
      </c>
    </row>
    <row r="2581">
      <c r="A2581" s="10" t="s">
        <v>8978</v>
      </c>
      <c r="B2581" s="49" t="str">
        <f t="shared" si="1"/>
        <v>State Corporation Commission</v>
      </c>
      <c r="C2581" s="49" t="str">
        <f t="shared" si="2"/>
        <v>State Corporation Commission; Violation of act relating to certificate, license, permit or report; failure to comply with certain commission orders</v>
      </c>
      <c r="D2581" s="49" t="str">
        <f t="shared" si="3"/>
        <v>66-1,126</v>
      </c>
      <c r="E2581" s="11" t="s">
        <v>133</v>
      </c>
      <c r="F2581" s="11">
        <v>3.0</v>
      </c>
      <c r="G2581" s="11">
        <v>3.0</v>
      </c>
      <c r="H2581" s="11">
        <v>3.0</v>
      </c>
      <c r="I2581" s="11">
        <v>3.0</v>
      </c>
    </row>
    <row r="2582">
      <c r="A2582" s="10" t="s">
        <v>8979</v>
      </c>
      <c r="B2582" s="49" t="str">
        <f t="shared" si="1"/>
        <v>State Corporation Commission</v>
      </c>
      <c r="C2582" s="49" t="str">
        <f t="shared" si="2"/>
        <v>State Corporation Commission; Violation of Motor Carrier Safety Rules and Regulations, K.S.A. 66-1,129 as specified in Subsection (b)(2) of K.S.A. 66-1,130</v>
      </c>
      <c r="D2582" s="49" t="str">
        <f t="shared" si="3"/>
        <v>66-1,130(b)(2)</v>
      </c>
      <c r="E2582" s="11" t="s">
        <v>133</v>
      </c>
      <c r="F2582" s="11">
        <v>3.0</v>
      </c>
      <c r="G2582" s="11">
        <v>3.0</v>
      </c>
      <c r="H2582" s="11">
        <v>3.0</v>
      </c>
      <c r="I2582" s="11">
        <v>3.0</v>
      </c>
    </row>
    <row r="2583">
      <c r="A2583" s="10" t="s">
        <v>8980</v>
      </c>
      <c r="B2583" s="49" t="str">
        <f t="shared" si="1"/>
        <v>State Corporation Commission</v>
      </c>
      <c r="C2583" s="49" t="str">
        <f t="shared" si="2"/>
        <v>State Corporation Commission; Willfully obstruct commission, or any member thereof, in the performance of the commission's duties</v>
      </c>
      <c r="D2583" s="49" t="str">
        <f t="shared" si="3"/>
        <v>66-150</v>
      </c>
      <c r="E2583" s="11" t="s">
        <v>133</v>
      </c>
      <c r="F2583" s="11">
        <v>3.0</v>
      </c>
      <c r="G2583" s="11">
        <v>3.0</v>
      </c>
      <c r="H2583" s="11">
        <v>3.0</v>
      </c>
      <c r="I2583" s="11">
        <v>3.0</v>
      </c>
    </row>
    <row r="2584">
      <c r="A2584" s="10" t="s">
        <v>8981</v>
      </c>
      <c r="B2584" s="49" t="str">
        <f t="shared" si="1"/>
        <v>State Fair</v>
      </c>
      <c r="C2584" s="49" t="str">
        <f t="shared" si="2"/>
        <v>State Fair; Holding/conducting a state fair in Kansas or any exhibition or display of any livestock or agricultural products under a designation, publicity or advertisement as a state fair</v>
      </c>
      <c r="D2584" s="49" t="str">
        <f t="shared" si="3"/>
        <v>2-201</v>
      </c>
      <c r="E2584" s="11" t="s">
        <v>133</v>
      </c>
      <c r="F2584" s="11">
        <v>3.0</v>
      </c>
      <c r="G2584" s="11">
        <v>3.0</v>
      </c>
      <c r="H2584" s="11">
        <v>3.0</v>
      </c>
      <c r="I2584" s="11">
        <v>3.0</v>
      </c>
    </row>
    <row r="2585">
      <c r="A2585" s="10" t="s">
        <v>8982</v>
      </c>
      <c r="B2585" s="49" t="str">
        <f t="shared" si="1"/>
        <v>State Gov. Ethics</v>
      </c>
      <c r="C2585" s="49" t="str">
        <f t="shared" si="2"/>
        <v>State Gov. Ethics; Advertising to influence legislative action; broadcast by any radio/ television station any paid advertisement promoting/opposing action or nonaction by the legislature on any legislative matter without including that such was an advertisement, together with the name of the chairperson of the organization or other individual responsible for such</v>
      </c>
      <c r="D2585" s="49" t="str">
        <f t="shared" si="3"/>
        <v>46-287(b)</v>
      </c>
      <c r="E2585" s="11" t="s">
        <v>133</v>
      </c>
      <c r="F2585" s="11">
        <v>3.0</v>
      </c>
      <c r="G2585" s="11">
        <v>3.0</v>
      </c>
      <c r="H2585" s="11">
        <v>3.0</v>
      </c>
      <c r="I2585" s="11">
        <v>3.0</v>
      </c>
    </row>
    <row r="2586">
      <c r="A2586" s="10" t="s">
        <v>8983</v>
      </c>
      <c r="B2586" s="49" t="str">
        <f t="shared" si="1"/>
        <v>State Gov. Ethics</v>
      </c>
      <c r="C2586" s="49" t="str">
        <f t="shared" si="2"/>
        <v>State Gov. Ethics; Advertising to influence legislative action; Publishing in any newspaper, periodical, insert, or flyer any paid advertisement promoting/opposing action or nonaction by the legislature on any legislative matter without the word "advertisement" or the abbreviation "adv." together with the name of the chairperson of the organization or other individual responsible for such</v>
      </c>
      <c r="D2586" s="49" t="str">
        <f t="shared" si="3"/>
        <v>46-287(a)</v>
      </c>
      <c r="E2586" s="11" t="s">
        <v>133</v>
      </c>
      <c r="F2586" s="11">
        <v>3.0</v>
      </c>
      <c r="G2586" s="11">
        <v>3.0</v>
      </c>
      <c r="H2586" s="11">
        <v>3.0</v>
      </c>
      <c r="I2586" s="11">
        <v>3.0</v>
      </c>
    </row>
    <row r="2587">
      <c r="A2587" s="10" t="s">
        <v>8984</v>
      </c>
      <c r="B2587" s="49" t="str">
        <f t="shared" si="1"/>
        <v>State Gov. Ethics</v>
      </c>
      <c r="C2587" s="49" t="str">
        <f t="shared" si="2"/>
        <v>State Gov. Ethics; Giving false lobbying information; intentionally making a false or incomplete report under K.S.A. 46-268 and 46-269</v>
      </c>
      <c r="D2587" s="49" t="str">
        <f t="shared" si="3"/>
        <v>46-275(2)</v>
      </c>
      <c r="E2587" s="11" t="s">
        <v>133</v>
      </c>
      <c r="F2587" s="11">
        <v>3.0</v>
      </c>
      <c r="G2587" s="11">
        <v>3.0</v>
      </c>
      <c r="H2587" s="11">
        <v>3.0</v>
      </c>
      <c r="I2587" s="11">
        <v>3.0</v>
      </c>
    </row>
    <row r="2588">
      <c r="A2588" s="10" t="s">
        <v>8985</v>
      </c>
      <c r="B2588" s="49" t="str">
        <f t="shared" si="1"/>
        <v>State Gov. Ethics</v>
      </c>
      <c r="C2588" s="49" t="str">
        <f t="shared" si="2"/>
        <v>State Gov. Ethics; Giving false lobbying information; intentionally making a false or incomplete statement on any registration paper under K.S.A. 46-265</v>
      </c>
      <c r="D2588" s="49" t="str">
        <f t="shared" si="3"/>
        <v>46-275(1)</v>
      </c>
      <c r="E2588" s="11" t="s">
        <v>133</v>
      </c>
      <c r="F2588" s="11">
        <v>3.0</v>
      </c>
      <c r="G2588" s="11">
        <v>3.0</v>
      </c>
      <c r="H2588" s="11">
        <v>3.0</v>
      </c>
      <c r="I2588" s="11">
        <v>3.0</v>
      </c>
    </row>
    <row r="2589">
      <c r="A2589" s="10" t="s">
        <v>8986</v>
      </c>
      <c r="B2589" s="49" t="str">
        <f t="shared" si="1"/>
        <v>State Gov. Ethics</v>
      </c>
      <c r="C2589" s="49" t="str">
        <f t="shared" si="2"/>
        <v>State Gov. Ethics; Intentionally fail to file a disclosure statement as required by this section</v>
      </c>
      <c r="D2589" s="49" t="str">
        <f t="shared" si="3"/>
        <v>46-239(g)(1)</v>
      </c>
      <c r="E2589" s="11" t="s">
        <v>133</v>
      </c>
      <c r="F2589" s="11">
        <v>3.0</v>
      </c>
      <c r="G2589" s="11">
        <v>3.0</v>
      </c>
      <c r="H2589" s="11">
        <v>3.0</v>
      </c>
      <c r="I2589" s="11">
        <v>3.0</v>
      </c>
    </row>
    <row r="2590">
      <c r="A2590" s="10" t="s">
        <v>8987</v>
      </c>
      <c r="B2590" s="49" t="str">
        <f t="shared" si="1"/>
        <v>State Gov. Ethics</v>
      </c>
      <c r="C2590" s="49" t="str">
        <f t="shared" si="2"/>
        <v>State Gov. Ethics; Intentionally fail to file a statement of substantial interests as required</v>
      </c>
      <c r="D2590" s="49" t="str">
        <f t="shared" si="3"/>
        <v>46-251(a)</v>
      </c>
      <c r="E2590" s="11" t="s">
        <v>133</v>
      </c>
      <c r="F2590" s="11">
        <v>3.0</v>
      </c>
      <c r="G2590" s="11">
        <v>3.0</v>
      </c>
      <c r="H2590" s="11">
        <v>3.0</v>
      </c>
      <c r="I2590" s="11">
        <v>3.0</v>
      </c>
    </row>
    <row r="2591">
      <c r="A2591" s="10" t="s">
        <v>8988</v>
      </c>
      <c r="B2591" s="49" t="str">
        <f t="shared" si="1"/>
        <v>State Gov. Ethics</v>
      </c>
      <c r="C2591" s="49" t="str">
        <f t="shared" si="2"/>
        <v>State Gov. Ethics; Intentionally file a disclosure statement containing material misrepresentation or false or fraudulent statement</v>
      </c>
      <c r="D2591" s="49" t="str">
        <f t="shared" si="3"/>
        <v>46-239(g)(2)</v>
      </c>
      <c r="E2591" s="11" t="s">
        <v>133</v>
      </c>
      <c r="F2591" s="11">
        <v>3.0</v>
      </c>
      <c r="G2591" s="11">
        <v>3.0</v>
      </c>
      <c r="H2591" s="11">
        <v>3.0</v>
      </c>
      <c r="I2591" s="11">
        <v>3.0</v>
      </c>
    </row>
    <row r="2592">
      <c r="A2592" s="10" t="s">
        <v>8989</v>
      </c>
      <c r="B2592" s="49" t="str">
        <f t="shared" si="1"/>
        <v>State Gov. Ethics</v>
      </c>
      <c r="C2592" s="49" t="str">
        <f t="shared" si="2"/>
        <v>State Gov. Ethics; Intentionally file a statement of substantial interests that contains any false statement</v>
      </c>
      <c r="D2592" s="49" t="str">
        <f t="shared" si="3"/>
        <v>46-251(b)</v>
      </c>
      <c r="E2592" s="11" t="s">
        <v>133</v>
      </c>
      <c r="F2592" s="11">
        <v>3.0</v>
      </c>
      <c r="G2592" s="11">
        <v>3.0</v>
      </c>
      <c r="H2592" s="11">
        <v>3.0</v>
      </c>
      <c r="I2592" s="11">
        <v>3.0</v>
      </c>
    </row>
    <row r="2593">
      <c r="A2593" s="10" t="s">
        <v>8990</v>
      </c>
      <c r="B2593" s="49" t="str">
        <f t="shared" si="1"/>
        <v>State Gov. Ethics</v>
      </c>
      <c r="C2593" s="49" t="str">
        <f t="shared" si="2"/>
        <v>State Gov. Ethics; Unlawful lobbying; lobbying when a current report under K.S.A. 46-268 and 46-269, has not been filed and is past due</v>
      </c>
      <c r="D2593" s="49" t="str">
        <f t="shared" si="3"/>
        <v>46-274(2)</v>
      </c>
      <c r="E2593" s="11" t="s">
        <v>133</v>
      </c>
      <c r="F2593" s="11">
        <v>3.0</v>
      </c>
      <c r="G2593" s="11">
        <v>3.0</v>
      </c>
      <c r="H2593" s="11">
        <v>3.0</v>
      </c>
      <c r="I2593" s="11">
        <v>3.0</v>
      </c>
    </row>
    <row r="2594">
      <c r="A2594" s="10" t="s">
        <v>8991</v>
      </c>
      <c r="B2594" s="49" t="str">
        <f t="shared" si="1"/>
        <v>State Gov. Ethics</v>
      </c>
      <c r="C2594" s="49" t="str">
        <f t="shared" si="2"/>
        <v>State Gov. Ethics; Unlawful lobbying; lobbying without being registered</v>
      </c>
      <c r="D2594" s="49" t="str">
        <f t="shared" si="3"/>
        <v>46-274(1)</v>
      </c>
      <c r="E2594" s="11" t="s">
        <v>133</v>
      </c>
      <c r="F2594" s="11">
        <v>3.0</v>
      </c>
      <c r="G2594" s="11">
        <v>3.0</v>
      </c>
      <c r="H2594" s="11">
        <v>3.0</v>
      </c>
      <c r="I2594" s="11">
        <v>3.0</v>
      </c>
    </row>
    <row r="2595">
      <c r="A2595" s="10" t="s">
        <v>8992</v>
      </c>
      <c r="B2595" s="49" t="str">
        <f t="shared" si="1"/>
        <v>State Gov. Ethics</v>
      </c>
      <c r="C2595" s="49" t="str">
        <f t="shared" si="2"/>
        <v>State Gov. Ethics; Violation of a provision of this section or confidentiality provision of K.S.A. 46-256</v>
      </c>
      <c r="D2595" s="49" t="str">
        <f t="shared" si="3"/>
        <v>46-259</v>
      </c>
      <c r="E2595" s="11" t="s">
        <v>133</v>
      </c>
      <c r="F2595" s="11">
        <v>3.0</v>
      </c>
      <c r="G2595" s="11">
        <v>3.0</v>
      </c>
      <c r="H2595" s="11">
        <v>3.0</v>
      </c>
      <c r="I2595" s="11">
        <v>3.0</v>
      </c>
    </row>
    <row r="2596">
      <c r="A2596" s="10" t="s">
        <v>8993</v>
      </c>
      <c r="B2596" s="49" t="str">
        <f t="shared" si="1"/>
        <v>State Gov. Ethics</v>
      </c>
      <c r="C2596" s="49" t="str">
        <f t="shared" si="2"/>
        <v>State Gov. Ethics; Violation of any provision of K.S.A. 46-232, 46-233, 46-235 to 46-238, 46-240, 46-241, 46-242, 46-267 and 46-271 to 46-273, inclusive, and K.S.A. 46-286</v>
      </c>
      <c r="D2596" s="49" t="str">
        <f t="shared" si="3"/>
        <v>46-276</v>
      </c>
      <c r="E2596" s="11" t="s">
        <v>133</v>
      </c>
      <c r="F2596" s="11">
        <v>3.0</v>
      </c>
      <c r="G2596" s="11">
        <v>3.0</v>
      </c>
      <c r="H2596" s="11">
        <v>3.0</v>
      </c>
      <c r="I2596" s="11">
        <v>3.0</v>
      </c>
    </row>
    <row r="2597">
      <c r="A2597" s="10" t="s">
        <v>8994</v>
      </c>
      <c r="B2597" s="49" t="str">
        <f t="shared" si="1"/>
        <v>State Institutions for the Intellectually Disabled</v>
      </c>
      <c r="C2597" s="49" t="str">
        <f t="shared" si="2"/>
        <v>State Institutions for the Intellectually Disabled; Willful deprivation of any of the rights protected by this section</v>
      </c>
      <c r="D2597" s="49" t="str">
        <f t="shared" si="3"/>
        <v>76-12b10(a)</v>
      </c>
      <c r="E2597" s="11" t="s">
        <v>133</v>
      </c>
      <c r="F2597" s="11">
        <v>3.0</v>
      </c>
      <c r="G2597" s="11">
        <v>3.0</v>
      </c>
      <c r="H2597" s="11">
        <v>3.0</v>
      </c>
      <c r="I2597" s="11">
        <v>3.0</v>
      </c>
    </row>
    <row r="2598">
      <c r="A2598" s="10" t="s">
        <v>8995</v>
      </c>
      <c r="B2598" s="49" t="str">
        <f t="shared" si="1"/>
        <v>State Lottery</v>
      </c>
      <c r="C2598" s="49" t="str">
        <f t="shared" si="2"/>
        <v>State Lottery; Conflict of interest; holder of license issued by KS racing and gaming commission prohibited from serving as executive director or as a member of commission or being employed by KS lottery</v>
      </c>
      <c r="D2598" s="49" t="str">
        <f t="shared" si="3"/>
        <v>74-8716(d)</v>
      </c>
      <c r="E2598" s="11" t="s">
        <v>133</v>
      </c>
      <c r="F2598" s="11">
        <v>3.0</v>
      </c>
      <c r="G2598" s="11">
        <v>3.0</v>
      </c>
      <c r="H2598" s="11">
        <v>3.0</v>
      </c>
      <c r="I2598" s="11">
        <v>3.0</v>
      </c>
    </row>
    <row r="2599">
      <c r="A2599" s="10" t="s">
        <v>8996</v>
      </c>
      <c r="B2599" s="49" t="str">
        <f t="shared" si="1"/>
        <v>State Lottery</v>
      </c>
      <c r="C2599" s="49" t="str">
        <f t="shared" si="2"/>
        <v>State Lottery; Conflict of interest; persons prohibited from serving as executive director; interest holders or certain prior employees</v>
      </c>
      <c r="D2599" s="49" t="str">
        <f t="shared" si="3"/>
        <v>74-8716(c)</v>
      </c>
      <c r="E2599" s="11" t="s">
        <v>133</v>
      </c>
      <c r="F2599" s="11">
        <v>3.0</v>
      </c>
      <c r="G2599" s="11">
        <v>3.0</v>
      </c>
      <c r="H2599" s="11">
        <v>3.0</v>
      </c>
      <c r="I2599" s="11">
        <v>3.0</v>
      </c>
    </row>
    <row r="2600">
      <c r="A2600" s="10" t="s">
        <v>8997</v>
      </c>
      <c r="B2600" s="49" t="str">
        <f t="shared" si="1"/>
        <v>State Lottery</v>
      </c>
      <c r="C2600" s="49" t="str">
        <f t="shared" si="2"/>
        <v>State Lottery; Conflict of interest; prohibited acts of executive director, a member of the commission or any employee of the Kansas lottery, or any person residing in the household thereof; accepting certain items or services</v>
      </c>
      <c r="D2600" s="49" t="str">
        <f t="shared" si="3"/>
        <v>74-8716(a)(2)</v>
      </c>
      <c r="E2600" s="11" t="s">
        <v>133</v>
      </c>
      <c r="F2600" s="11">
        <v>3.0</v>
      </c>
      <c r="G2600" s="11">
        <v>3.0</v>
      </c>
      <c r="H2600" s="11">
        <v>3.0</v>
      </c>
      <c r="I2600" s="11">
        <v>3.0</v>
      </c>
    </row>
    <row r="2601">
      <c r="A2601" s="10" t="s">
        <v>8998</v>
      </c>
      <c r="B2601" s="49" t="str">
        <f t="shared" si="1"/>
        <v>State Lottery</v>
      </c>
      <c r="C2601" s="49" t="str">
        <f t="shared" si="2"/>
        <v>State Lottery; Conflict of interest; prohibited acts of executive director, a member of the commission or any employee of the Kansas lottery, or any person residing in the household thereof; having interest in certain businesses</v>
      </c>
      <c r="D2601" s="49" t="str">
        <f t="shared" si="3"/>
        <v>74-8716(a)(1)</v>
      </c>
      <c r="E2601" s="11" t="s">
        <v>133</v>
      </c>
      <c r="F2601" s="11">
        <v>3.0</v>
      </c>
      <c r="G2601" s="11">
        <v>3.0</v>
      </c>
      <c r="H2601" s="11">
        <v>3.0</v>
      </c>
      <c r="I2601" s="11">
        <v>3.0</v>
      </c>
    </row>
    <row r="2602">
      <c r="A2602" s="10" t="s">
        <v>8999</v>
      </c>
      <c r="B2602" s="49" t="str">
        <f t="shared" si="1"/>
        <v>State Lottery</v>
      </c>
      <c r="C2602" s="49" t="str">
        <f t="shared" si="2"/>
        <v>State Lottery; Conflict of interest; prohibited acts of lottery retailer, applicant for lottery retailer or person contracting or seeking to contract with the state to supply gaming equipment, materials, tickets or consulting services for use in the lottery; offering certain items or services</v>
      </c>
      <c r="D2602" s="49" t="str">
        <f t="shared" si="3"/>
        <v>74-8716(b)</v>
      </c>
      <c r="E2602" s="11" t="s">
        <v>133</v>
      </c>
      <c r="F2602" s="11">
        <v>3.0</v>
      </c>
      <c r="G2602" s="11">
        <v>3.0</v>
      </c>
      <c r="H2602" s="11">
        <v>3.0</v>
      </c>
      <c r="I2602" s="11">
        <v>3.0</v>
      </c>
    </row>
    <row r="2603">
      <c r="A2603" s="10" t="s">
        <v>9000</v>
      </c>
      <c r="B2603" s="49" t="str">
        <f t="shared" si="1"/>
        <v>State Lottery</v>
      </c>
      <c r="C2603" s="49" t="str">
        <f t="shared" si="2"/>
        <v>State Lottery; Conflict of interest; unauthorized acceptance of compensation, gifts, etc. from licensee pursuant to KS parimutuel racing act</v>
      </c>
      <c r="D2603" s="49" t="str">
        <f t="shared" si="3"/>
        <v>74-8716(g)</v>
      </c>
      <c r="E2603" s="11" t="s">
        <v>133</v>
      </c>
      <c r="F2603" s="11">
        <v>3.0</v>
      </c>
      <c r="G2603" s="11">
        <v>3.0</v>
      </c>
      <c r="H2603" s="11">
        <v>3.0</v>
      </c>
      <c r="I2603" s="11">
        <v>3.0</v>
      </c>
    </row>
    <row r="2604">
      <c r="A2604" s="10" t="s">
        <v>9001</v>
      </c>
      <c r="B2604" s="49" t="str">
        <f t="shared" si="1"/>
        <v>State Lottery</v>
      </c>
      <c r="C2604" s="49" t="str">
        <f t="shared" si="2"/>
        <v>State Lottery; Conflict of interest; unauthorized acceptance of compensation, gifts, etc. from lottery facility manager and agents thereof</v>
      </c>
      <c r="D2604" s="49" t="str">
        <f t="shared" si="3"/>
        <v>74-8716(f)</v>
      </c>
      <c r="E2604" s="11" t="s">
        <v>133</v>
      </c>
      <c r="F2604" s="11">
        <v>3.0</v>
      </c>
      <c r="G2604" s="11">
        <v>3.0</v>
      </c>
      <c r="H2604" s="11">
        <v>3.0</v>
      </c>
      <c r="I2604" s="11">
        <v>3.0</v>
      </c>
    </row>
    <row r="2605">
      <c r="A2605" s="10" t="s">
        <v>9002</v>
      </c>
      <c r="B2605" s="49" t="str">
        <f t="shared" si="1"/>
        <v>State Lottery</v>
      </c>
      <c r="C2605" s="49" t="str">
        <f t="shared" si="2"/>
        <v>State Lottery; Conflict of interest; unauthorized financial interest in race horse or jockey or greyhound</v>
      </c>
      <c r="D2605" s="49" t="str">
        <f t="shared" si="3"/>
        <v>74-8716(e)</v>
      </c>
      <c r="E2605" s="11" t="s">
        <v>133</v>
      </c>
      <c r="F2605" s="11">
        <v>3.0</v>
      </c>
      <c r="G2605" s="11">
        <v>3.0</v>
      </c>
      <c r="H2605" s="11">
        <v>3.0</v>
      </c>
      <c r="I2605" s="11">
        <v>3.0</v>
      </c>
    </row>
    <row r="2606">
      <c r="A2606" s="10" t="s">
        <v>9003</v>
      </c>
      <c r="B2606" s="49" t="str">
        <f t="shared" si="1"/>
        <v>State Lottery</v>
      </c>
      <c r="C2606" s="49" t="str">
        <f t="shared" si="2"/>
        <v>State Lottery; Forgery of lottery ticket</v>
      </c>
      <c r="D2606" s="49" t="str">
        <f t="shared" si="3"/>
        <v>74-8717(a)</v>
      </c>
      <c r="E2606" s="11" t="s">
        <v>133</v>
      </c>
      <c r="F2606" s="11">
        <v>3.0</v>
      </c>
      <c r="G2606" s="11">
        <v>3.0</v>
      </c>
      <c r="H2606" s="11">
        <v>3.0</v>
      </c>
      <c r="I2606" s="11">
        <v>3.0</v>
      </c>
    </row>
    <row r="2607">
      <c r="A2607" s="10" t="s">
        <v>9004</v>
      </c>
      <c r="B2607" s="49" t="str">
        <f t="shared" si="1"/>
        <v>State Lottery</v>
      </c>
      <c r="C2607" s="49" t="str">
        <f t="shared" si="2"/>
        <v>State Lottery; Sell a lottery ticket at retail by electronic mail, the internet or telephone; 1st offense</v>
      </c>
      <c r="D2607" s="49" t="str">
        <f t="shared" si="3"/>
        <v>74-8718(a)(4)</v>
      </c>
      <c r="E2607" s="11" t="s">
        <v>133</v>
      </c>
      <c r="F2607" s="11">
        <v>3.0</v>
      </c>
      <c r="G2607" s="11">
        <v>3.0</v>
      </c>
      <c r="H2607" s="11">
        <v>3.0</v>
      </c>
      <c r="I2607" s="11">
        <v>3.0</v>
      </c>
    </row>
    <row r="2608">
      <c r="A2608" s="10" t="s">
        <v>9005</v>
      </c>
      <c r="B2608" s="49" t="str">
        <f t="shared" si="1"/>
        <v>State Lottery</v>
      </c>
      <c r="C2608" s="49" t="str">
        <f t="shared" si="2"/>
        <v>State Lottery; Sell a lottery ticket at retail by electronic mail, the internet or telephone; 2nd or subs. offense</v>
      </c>
      <c r="D2608" s="49" t="str">
        <f t="shared" si="3"/>
        <v>74-8718(a)(4)</v>
      </c>
      <c r="E2608" s="11" t="s">
        <v>133</v>
      </c>
      <c r="F2608" s="11">
        <v>3.0</v>
      </c>
      <c r="G2608" s="11">
        <v>3.0</v>
      </c>
      <c r="H2608" s="11">
        <v>3.0</v>
      </c>
      <c r="I2608" s="11">
        <v>3.0</v>
      </c>
    </row>
    <row r="2609">
      <c r="A2609" s="10" t="s">
        <v>9006</v>
      </c>
      <c r="B2609" s="49" t="str">
        <f t="shared" si="1"/>
        <v>State Lottery</v>
      </c>
      <c r="C2609" s="49" t="str">
        <f t="shared" si="2"/>
        <v>State Lottery; Sell a lottery ticket or share at a price other than that fixed by rules and regulations adopted pursuant to this act; 1st offense</v>
      </c>
      <c r="D2609" s="49" t="str">
        <f t="shared" si="3"/>
        <v>74-8718(a)(1)</v>
      </c>
      <c r="E2609" s="11" t="s">
        <v>133</v>
      </c>
      <c r="F2609" s="11">
        <v>3.0</v>
      </c>
      <c r="G2609" s="11">
        <v>3.0</v>
      </c>
      <c r="H2609" s="11">
        <v>3.0</v>
      </c>
      <c r="I2609" s="11">
        <v>3.0</v>
      </c>
    </row>
    <row r="2610">
      <c r="A2610" s="10" t="s">
        <v>9007</v>
      </c>
      <c r="B2610" s="49" t="str">
        <f t="shared" si="1"/>
        <v>State Lottery</v>
      </c>
      <c r="C2610" s="49" t="str">
        <f t="shared" si="2"/>
        <v>State Lottery; Sell a lottery ticket or share at a price other than that fixed by rules and regulations adopted pursuant to this act; 2nd or subs. offense</v>
      </c>
      <c r="D2610" s="49" t="str">
        <f t="shared" si="3"/>
        <v>74-8718(a)(1)</v>
      </c>
      <c r="E2610" s="11" t="s">
        <v>133</v>
      </c>
      <c r="F2610" s="11">
        <v>3.0</v>
      </c>
      <c r="G2610" s="11">
        <v>3.0</v>
      </c>
      <c r="H2610" s="11">
        <v>3.0</v>
      </c>
      <c r="I2610" s="11">
        <v>3.0</v>
      </c>
    </row>
    <row r="2611">
      <c r="A2611" s="10" t="s">
        <v>9008</v>
      </c>
      <c r="B2611" s="49" t="str">
        <f t="shared" si="1"/>
        <v>State Lottery</v>
      </c>
      <c r="C2611" s="49" t="str">
        <f t="shared" si="2"/>
        <v>State Lottery; Sell a lottery ticket or share by any person other than a lottery retailer authorized by the Kansas lottery; 1st offense</v>
      </c>
      <c r="D2611" s="49" t="str">
        <f t="shared" si="3"/>
        <v>74-8718(a)(2)</v>
      </c>
      <c r="E2611" s="11" t="s">
        <v>133</v>
      </c>
      <c r="F2611" s="11">
        <v>3.0</v>
      </c>
      <c r="G2611" s="11">
        <v>3.0</v>
      </c>
      <c r="H2611" s="11">
        <v>3.0</v>
      </c>
      <c r="I2611" s="11">
        <v>3.0</v>
      </c>
    </row>
    <row r="2612">
      <c r="A2612" s="10" t="s">
        <v>9009</v>
      </c>
      <c r="B2612" s="49" t="str">
        <f t="shared" si="1"/>
        <v>State Lottery</v>
      </c>
      <c r="C2612" s="49" t="str">
        <f t="shared" si="2"/>
        <v>State Lottery; Sell a lottery ticket or share by any person other than a lottery retailer authorized by the Kansas lottery; 2nd or subs. offense</v>
      </c>
      <c r="D2612" s="49" t="str">
        <f t="shared" si="3"/>
        <v>74-8718(a)(2)</v>
      </c>
      <c r="E2612" s="11" t="s">
        <v>133</v>
      </c>
      <c r="F2612" s="11">
        <v>3.0</v>
      </c>
      <c r="G2612" s="11">
        <v>3.0</v>
      </c>
      <c r="H2612" s="11">
        <v>3.0</v>
      </c>
      <c r="I2612" s="11">
        <v>3.0</v>
      </c>
    </row>
    <row r="2613">
      <c r="A2613" s="10" t="s">
        <v>9010</v>
      </c>
      <c r="B2613" s="49" t="str">
        <f t="shared" si="1"/>
        <v>State Lottery</v>
      </c>
      <c r="C2613" s="49" t="str">
        <f t="shared" si="2"/>
        <v>State Lottery; Sell a lottery ticket or share to any person known to be under 18 yrs of age; 1st offense</v>
      </c>
      <c r="D2613" s="49" t="str">
        <f t="shared" si="3"/>
        <v>74-8718(a)(3)</v>
      </c>
      <c r="E2613" s="11" t="s">
        <v>133</v>
      </c>
      <c r="F2613" s="11">
        <v>3.0</v>
      </c>
      <c r="G2613" s="11">
        <v>3.0</v>
      </c>
      <c r="H2613" s="11">
        <v>3.0</v>
      </c>
      <c r="I2613" s="11">
        <v>3.0</v>
      </c>
    </row>
    <row r="2614">
      <c r="A2614" s="10" t="s">
        <v>9011</v>
      </c>
      <c r="B2614" s="49" t="str">
        <f t="shared" si="1"/>
        <v>State Lottery</v>
      </c>
      <c r="C2614" s="49" t="str">
        <f t="shared" si="2"/>
        <v>State Lottery; Sell a lottery ticket or share to any person known to be under 18 yrs of age; 2nd or subs. offense</v>
      </c>
      <c r="D2614" s="49" t="str">
        <f t="shared" si="3"/>
        <v>74-8718(a)(3)</v>
      </c>
      <c r="E2614" s="11" t="s">
        <v>133</v>
      </c>
      <c r="F2614" s="11">
        <v>3.0</v>
      </c>
      <c r="G2614" s="11">
        <v>3.0</v>
      </c>
      <c r="H2614" s="11">
        <v>3.0</v>
      </c>
      <c r="I2614" s="11">
        <v>3.0</v>
      </c>
    </row>
    <row r="2615">
      <c r="A2615" s="10" t="s">
        <v>9012</v>
      </c>
      <c r="B2615" s="49" t="str">
        <f t="shared" si="1"/>
        <v>State Lottery</v>
      </c>
      <c r="C2615" s="49" t="str">
        <f t="shared" si="2"/>
        <v>State Lottery; Unlawful for a person who resides in the same household as persons described by subsection (a)(1) or (2) of K.S.A. 74-8719 to purchase lottery ticket or share in winnings; 1st offense</v>
      </c>
      <c r="D2615" s="49" t="str">
        <f t="shared" si="3"/>
        <v>74-8719(a)(4)</v>
      </c>
      <c r="E2615" s="11" t="s">
        <v>133</v>
      </c>
      <c r="F2615" s="11">
        <v>3.0</v>
      </c>
      <c r="G2615" s="11">
        <v>3.0</v>
      </c>
      <c r="H2615" s="11">
        <v>3.0</v>
      </c>
      <c r="I2615" s="11">
        <v>3.0</v>
      </c>
    </row>
    <row r="2616">
      <c r="A2616" s="10" t="s">
        <v>9013</v>
      </c>
      <c r="B2616" s="49" t="str">
        <f t="shared" si="1"/>
        <v>State Lottery</v>
      </c>
      <c r="C2616" s="49" t="str">
        <f t="shared" si="2"/>
        <v>State Lottery; Unlawful for a person who resides in the same household as persons described by subsection (a)(1) or (2) of K.S.A. 74-8719 to purchase lottery ticket or share in winnings; 2nd or subs. offense</v>
      </c>
      <c r="D2616" s="49" t="str">
        <f t="shared" si="3"/>
        <v>74-8719(a)(4)</v>
      </c>
      <c r="E2616" s="11" t="s">
        <v>133</v>
      </c>
      <c r="F2616" s="11">
        <v>3.0</v>
      </c>
      <c r="G2616" s="11">
        <v>3.0</v>
      </c>
      <c r="H2616" s="11">
        <v>3.0</v>
      </c>
      <c r="I2616" s="11">
        <v>3.0</v>
      </c>
    </row>
    <row r="2617">
      <c r="A2617" s="10" t="s">
        <v>9014</v>
      </c>
      <c r="B2617" s="49" t="str">
        <f t="shared" si="1"/>
        <v>State Lottery</v>
      </c>
      <c r="C2617" s="49" t="str">
        <f t="shared" si="2"/>
        <v>State Lottery; Unlawful for an officer or employee of a vendor contracting with the Kansas lottery to supply gaming equipment or tickets to the Kansas lottery to purchase lottery ticket or share in winnings; 1st offense</v>
      </c>
      <c r="D2617" s="49" t="str">
        <f t="shared" si="3"/>
        <v>74-8719(a)(2)</v>
      </c>
      <c r="E2617" s="11" t="s">
        <v>133</v>
      </c>
      <c r="F2617" s="11">
        <v>3.0</v>
      </c>
      <c r="G2617" s="11">
        <v>3.0</v>
      </c>
      <c r="H2617" s="11">
        <v>3.0</v>
      </c>
      <c r="I2617" s="11">
        <v>3.0</v>
      </c>
    </row>
    <row r="2618">
      <c r="A2618" s="10" t="s">
        <v>9015</v>
      </c>
      <c r="B2618" s="49" t="str">
        <f t="shared" si="1"/>
        <v>State Lottery</v>
      </c>
      <c r="C2618" s="49" t="str">
        <f t="shared" si="2"/>
        <v>State Lottery; Unlawful for an officer or employee of a vendor contracting with the Kansas lottery to supply gaming equipment or tickets to the Kansas lottery to purchase lottery ticket or share in winnings; 2nd or subs. offense</v>
      </c>
      <c r="D2618" s="49" t="str">
        <f t="shared" si="3"/>
        <v>74-8719(a)(2)</v>
      </c>
      <c r="E2618" s="11" t="s">
        <v>133</v>
      </c>
      <c r="F2618" s="11">
        <v>3.0</v>
      </c>
      <c r="G2618" s="11">
        <v>3.0</v>
      </c>
      <c r="H2618" s="11">
        <v>3.0</v>
      </c>
      <c r="I2618" s="11">
        <v>3.0</v>
      </c>
    </row>
    <row r="2619">
      <c r="A2619" s="10" t="s">
        <v>9016</v>
      </c>
      <c r="B2619" s="49" t="str">
        <f t="shared" si="1"/>
        <v>State Lottery</v>
      </c>
      <c r="C2619" s="49" t="str">
        <f t="shared" si="2"/>
        <v>State Lottery; Unlawful for certain relatives of persons described by subsection (a)(1) or (2) of K.S.A. 74-8719 to purchase lottery ticket or share in winnings; 1st offense</v>
      </c>
      <c r="D2619" s="49" t="str">
        <f t="shared" si="3"/>
        <v>74-8719(a)(3)</v>
      </c>
      <c r="E2619" s="11" t="s">
        <v>133</v>
      </c>
      <c r="F2619" s="11">
        <v>3.0</v>
      </c>
      <c r="G2619" s="11">
        <v>3.0</v>
      </c>
      <c r="H2619" s="11">
        <v>3.0</v>
      </c>
      <c r="I2619" s="11">
        <v>3.0</v>
      </c>
    </row>
    <row r="2620">
      <c r="A2620" s="10" t="s">
        <v>9017</v>
      </c>
      <c r="B2620" s="49" t="str">
        <f t="shared" si="1"/>
        <v>State Lottery</v>
      </c>
      <c r="C2620" s="49" t="str">
        <f t="shared" si="2"/>
        <v>State Lottery; Unlawful for certain relatives of persons described by subsection (a)(1) or (2) of K.S.A. 74-8719 to purchase lottery ticket or share in winnings; 2nd or subs. offense</v>
      </c>
      <c r="D2620" s="49" t="str">
        <f t="shared" si="3"/>
        <v>74-8719(a)(3)</v>
      </c>
      <c r="E2620" s="11" t="s">
        <v>133</v>
      </c>
      <c r="F2620" s="11">
        <v>3.0</v>
      </c>
      <c r="G2620" s="11">
        <v>3.0</v>
      </c>
      <c r="H2620" s="11">
        <v>3.0</v>
      </c>
      <c r="I2620" s="11">
        <v>3.0</v>
      </c>
    </row>
    <row r="2621">
      <c r="A2621" s="10" t="s">
        <v>9018</v>
      </c>
      <c r="B2621" s="49" t="str">
        <f t="shared" si="1"/>
        <v>State Lottery</v>
      </c>
      <c r="C2621" s="49" t="str">
        <f t="shared" si="2"/>
        <v>State Lottery; Unlawful for the executive director, a member of the commission or an employee of the Kansas lottery to purchase lottery ticket or share in winnings; 1st offense</v>
      </c>
      <c r="D2621" s="49" t="str">
        <f t="shared" si="3"/>
        <v>74-8719(a)(1)</v>
      </c>
      <c r="E2621" s="11" t="s">
        <v>133</v>
      </c>
      <c r="F2621" s="11">
        <v>3.0</v>
      </c>
      <c r="G2621" s="11">
        <v>3.0</v>
      </c>
      <c r="H2621" s="11">
        <v>3.0</v>
      </c>
      <c r="I2621" s="11">
        <v>3.0</v>
      </c>
    </row>
    <row r="2622">
      <c r="A2622" s="10" t="s">
        <v>9019</v>
      </c>
      <c r="B2622" s="49" t="str">
        <f t="shared" si="1"/>
        <v>State Lottery</v>
      </c>
      <c r="C2622" s="49" t="str">
        <f t="shared" si="2"/>
        <v>State Lottery; Unlawful for the executive director, a member of the commission or an employee of the Kansas lottery to purchase lottery ticket or share in winnings; 2nd or subs. offense</v>
      </c>
      <c r="D2622" s="49" t="str">
        <f t="shared" si="3"/>
        <v>74-8719(a)(1)</v>
      </c>
      <c r="E2622" s="11" t="s">
        <v>133</v>
      </c>
      <c r="F2622" s="11">
        <v>3.0</v>
      </c>
      <c r="G2622" s="11">
        <v>3.0</v>
      </c>
      <c r="H2622" s="11">
        <v>3.0</v>
      </c>
      <c r="I2622" s="11">
        <v>3.0</v>
      </c>
    </row>
    <row r="2623">
      <c r="A2623" s="10" t="s">
        <v>9020</v>
      </c>
      <c r="B2623" s="49" t="str">
        <f t="shared" si="1"/>
        <v>Storage Tank Act</v>
      </c>
      <c r="C2623" s="49" t="str">
        <f t="shared" si="2"/>
        <v>Storage Tank Act; Construct, install, modify or operate a storage tank without required permit or other written approval or otherwise be in violation of rules/regulations, standards or orders of the secretary</v>
      </c>
      <c r="D2623" s="49" t="str">
        <f t="shared" si="3"/>
        <v>65-34,109(b)(1)</v>
      </c>
      <c r="E2623" s="11" t="s">
        <v>133</v>
      </c>
      <c r="F2623" s="11">
        <v>3.0</v>
      </c>
      <c r="G2623" s="11">
        <v>3.0</v>
      </c>
      <c r="H2623" s="11">
        <v>3.0</v>
      </c>
      <c r="I2623" s="11">
        <v>3.0</v>
      </c>
    </row>
    <row r="2624">
      <c r="A2624" s="10" t="s">
        <v>9021</v>
      </c>
      <c r="B2624" s="49" t="str">
        <f t="shared" si="1"/>
        <v>Storage Tank Act</v>
      </c>
      <c r="C2624" s="49" t="str">
        <f t="shared" si="2"/>
        <v>Storage Tank Act; Deposit, store or dispense any regulated substance into any noncompliant storage tank after written notice such storage tanks are noncompliant</v>
      </c>
      <c r="D2624" s="49" t="str">
        <f t="shared" si="3"/>
        <v>65-34,109(b)(6)</v>
      </c>
      <c r="E2624" s="11" t="s">
        <v>133</v>
      </c>
      <c r="F2624" s="11">
        <v>3.0</v>
      </c>
      <c r="G2624" s="11">
        <v>3.0</v>
      </c>
      <c r="H2624" s="11">
        <v>3.0</v>
      </c>
      <c r="I2624" s="11">
        <v>3.0</v>
      </c>
    </row>
    <row r="2625">
      <c r="A2625" s="10" t="s">
        <v>9022</v>
      </c>
      <c r="B2625" s="49" t="str">
        <f t="shared" si="1"/>
        <v>Storage Tank Act</v>
      </c>
      <c r="C2625" s="49" t="str">
        <f t="shared" si="2"/>
        <v>Storage Tank Act; Knowingly allow a release, fail to report a release or fail to take corrective action in response to a release of a regulated substance in violation of this act, rules and regulations</v>
      </c>
      <c r="D2625" s="49" t="str">
        <f t="shared" si="3"/>
        <v>65-34,109(b)(5)</v>
      </c>
      <c r="E2625" s="11" t="s">
        <v>133</v>
      </c>
      <c r="F2625" s="11">
        <v>3.0</v>
      </c>
      <c r="G2625" s="11">
        <v>3.0</v>
      </c>
      <c r="H2625" s="11">
        <v>3.0</v>
      </c>
      <c r="I2625" s="11">
        <v>3.0</v>
      </c>
    </row>
    <row r="2626">
      <c r="A2626" s="10" t="s">
        <v>9023</v>
      </c>
      <c r="B2626" s="49" t="str">
        <f t="shared" si="1"/>
        <v>Storage Tank Act</v>
      </c>
      <c r="C2626" s="49" t="str">
        <f t="shared" si="2"/>
        <v>Storage Tank Act; Knowingly destroy, alter or conceal any record required to be maintained by this act or rules and regulations promulgated hereunder</v>
      </c>
      <c r="D2626" s="49" t="str">
        <f t="shared" si="3"/>
        <v>65-34,109(b)(4)</v>
      </c>
      <c r="E2626" s="11" t="s">
        <v>133</v>
      </c>
      <c r="F2626" s="11">
        <v>3.0</v>
      </c>
      <c r="G2626" s="11">
        <v>3.0</v>
      </c>
      <c r="H2626" s="11">
        <v>3.0</v>
      </c>
      <c r="I2626" s="11">
        <v>3.0</v>
      </c>
    </row>
    <row r="2627">
      <c r="A2627" s="10" t="s">
        <v>9024</v>
      </c>
      <c r="B2627" s="49" t="str">
        <f t="shared" si="1"/>
        <v>Storage Tank Act</v>
      </c>
      <c r="C2627" s="49" t="str">
        <f t="shared" si="2"/>
        <v>Storage Tank Act; Knowingly make any false material statement or representation in any application, record, report, permit or other document filed, maintained or used for compliance with this act</v>
      </c>
      <c r="D2627" s="49" t="str">
        <f t="shared" si="3"/>
        <v>65-34,109(b)(3)</v>
      </c>
      <c r="E2627" s="11" t="s">
        <v>133</v>
      </c>
      <c r="F2627" s="11">
        <v>3.0</v>
      </c>
      <c r="G2627" s="11">
        <v>3.0</v>
      </c>
      <c r="H2627" s="11">
        <v>3.0</v>
      </c>
      <c r="I2627" s="11">
        <v>3.0</v>
      </c>
    </row>
    <row r="2628">
      <c r="A2628" s="10" t="s">
        <v>9025</v>
      </c>
      <c r="B2628" s="49" t="str">
        <f t="shared" si="1"/>
        <v>Storage Tank Act</v>
      </c>
      <c r="C2628" s="49" t="str">
        <f t="shared" si="2"/>
        <v>Storage Tank Act; Licensure of tank installers and contractors required</v>
      </c>
      <c r="D2628" s="49" t="str">
        <f t="shared" si="3"/>
        <v>65-34,110(a)</v>
      </c>
      <c r="E2628" s="11" t="s">
        <v>133</v>
      </c>
      <c r="F2628" s="11">
        <v>3.0</v>
      </c>
      <c r="G2628" s="11">
        <v>3.0</v>
      </c>
      <c r="H2628" s="11">
        <v>3.0</v>
      </c>
      <c r="I2628" s="11">
        <v>3.0</v>
      </c>
    </row>
    <row r="2629">
      <c r="A2629" s="10" t="s">
        <v>9026</v>
      </c>
      <c r="B2629" s="49" t="str">
        <f t="shared" si="1"/>
        <v>Storage Tank Act</v>
      </c>
      <c r="C2629" s="49" t="str">
        <f t="shared" si="2"/>
        <v>Storage Tank Act; Prevent or hinder an authorized person agent from entering/inspecting/sampling at a facility on which a storage tank is located or from copying certain records</v>
      </c>
      <c r="D2629" s="49" t="str">
        <f t="shared" si="3"/>
        <v>65-34,109(b)(2)</v>
      </c>
      <c r="E2629" s="11" t="s">
        <v>133</v>
      </c>
      <c r="F2629" s="11">
        <v>3.0</v>
      </c>
      <c r="G2629" s="11">
        <v>3.0</v>
      </c>
      <c r="H2629" s="11">
        <v>3.0</v>
      </c>
      <c r="I2629" s="11">
        <v>3.0</v>
      </c>
    </row>
    <row r="2630">
      <c r="A2630" s="10" t="s">
        <v>9027</v>
      </c>
      <c r="B2630" s="49" t="str">
        <f t="shared" si="1"/>
        <v>Storage Tank Act</v>
      </c>
      <c r="C2630" s="49" t="str">
        <f t="shared" si="2"/>
        <v>Storage Tank Act; Unlawful to deposit, store or dispense, or permit anyone to deposit, store or dispense, any regulated substance into any noncompliant storage tank</v>
      </c>
      <c r="D2630" s="49" t="str">
        <f t="shared" si="3"/>
        <v>65-34,109(a)</v>
      </c>
      <c r="E2630" s="11" t="s">
        <v>133</v>
      </c>
      <c r="F2630" s="11">
        <v>3.0</v>
      </c>
      <c r="G2630" s="11">
        <v>3.0</v>
      </c>
      <c r="H2630" s="11">
        <v>3.0</v>
      </c>
      <c r="I2630" s="11">
        <v>3.0</v>
      </c>
    </row>
    <row r="2631">
      <c r="A2631" s="10" t="s">
        <v>9028</v>
      </c>
      <c r="B2631" s="49" t="str">
        <f t="shared" si="1"/>
        <v>Tampering with a Landmark</v>
      </c>
      <c r="C2631" s="49" t="str">
        <f t="shared" si="2"/>
        <v>Tampering with a Landmark; Alter, remove, damage or destroy any public land survey corner or accessory in noncompliance with K.S.A. 58-2011</v>
      </c>
      <c r="D2631" s="49" t="str">
        <f t="shared" si="3"/>
        <v>21-5816(a)(5)</v>
      </c>
      <c r="E2631" s="11" t="s">
        <v>133</v>
      </c>
      <c r="F2631" s="11">
        <v>3.0</v>
      </c>
      <c r="G2631" s="11">
        <v>3.0</v>
      </c>
      <c r="H2631" s="11">
        <v>3.0</v>
      </c>
      <c r="I2631" s="11">
        <v>3.0</v>
      </c>
    </row>
    <row r="2632">
      <c r="A2632" s="10" t="s">
        <v>9029</v>
      </c>
      <c r="B2632" s="49" t="str">
        <f t="shared" si="1"/>
        <v>Tampering with a Landmark</v>
      </c>
      <c r="C2632" s="49" t="str">
        <f t="shared" si="2"/>
        <v>Tampering with a Landmark; Cut down or remove any tree, post or other monument bearing marks made for such purpose, with intent to destroy the designating marks</v>
      </c>
      <c r="D2632" s="49" t="str">
        <f t="shared" si="3"/>
        <v>21-5816(a)(3)</v>
      </c>
      <c r="E2632" s="11" t="s">
        <v>133</v>
      </c>
      <c r="F2632" s="11">
        <v>3.0</v>
      </c>
      <c r="G2632" s="11">
        <v>3.0</v>
      </c>
      <c r="H2632" s="11">
        <v>3.0</v>
      </c>
      <c r="I2632" s="11">
        <v>3.0</v>
      </c>
    </row>
    <row r="2633">
      <c r="A2633" s="10" t="s">
        <v>9030</v>
      </c>
      <c r="B2633" s="49" t="str">
        <f t="shared" si="1"/>
        <v>Tampering with a Landmark</v>
      </c>
      <c r="C2633" s="49" t="str">
        <f t="shared" si="2"/>
        <v>Tampering with a Landmark; Deface or alter any inscription on any such marker or monument</v>
      </c>
      <c r="D2633" s="49" t="str">
        <f t="shared" si="3"/>
        <v>21-5816(a)(4)</v>
      </c>
      <c r="E2633" s="11" t="s">
        <v>133</v>
      </c>
      <c r="F2633" s="11">
        <v>3.0</v>
      </c>
      <c r="G2633" s="11">
        <v>3.0</v>
      </c>
      <c r="H2633" s="11">
        <v>3.0</v>
      </c>
      <c r="I2633" s="11">
        <v>3.0</v>
      </c>
    </row>
    <row r="2634">
      <c r="A2634" s="10" t="s">
        <v>9031</v>
      </c>
      <c r="B2634" s="49" t="str">
        <f t="shared" si="1"/>
        <v>Tampering with a Landmark</v>
      </c>
      <c r="C2634" s="49" t="str">
        <f t="shared" si="2"/>
        <v>Tampering with a Landmark; Deface or alter marks upon any tree, post or other monument, made for the purpose of designating any point on such boundary</v>
      </c>
      <c r="D2634" s="49" t="str">
        <f t="shared" si="3"/>
        <v>21-5816(a)(2)</v>
      </c>
      <c r="E2634" s="11" t="s">
        <v>133</v>
      </c>
      <c r="F2634" s="11">
        <v>3.0</v>
      </c>
      <c r="G2634" s="11">
        <v>3.0</v>
      </c>
      <c r="H2634" s="11">
        <v>3.0</v>
      </c>
      <c r="I2634" s="11">
        <v>3.0</v>
      </c>
    </row>
    <row r="2635">
      <c r="A2635" s="10" t="s">
        <v>9032</v>
      </c>
      <c r="B2635" s="49" t="str">
        <f t="shared" si="1"/>
        <v>Tampering with a Landmark</v>
      </c>
      <c r="C2635" s="49" t="str">
        <f t="shared" si="2"/>
        <v>Tampering with a Landmark; Remove any monument of stone or other durable material, established or created for the purpose of designating the corner of or any other point upon the boundary of any lot or tract of land, or of the state, or any legal subdivision thereof</v>
      </c>
      <c r="D2635" s="49" t="str">
        <f t="shared" si="3"/>
        <v>21-5816(a)(1)</v>
      </c>
      <c r="E2635" s="11" t="s">
        <v>133</v>
      </c>
      <c r="F2635" s="11">
        <v>3.0</v>
      </c>
      <c r="G2635" s="11">
        <v>3.0</v>
      </c>
      <c r="H2635" s="11">
        <v>3.0</v>
      </c>
      <c r="I2635" s="11">
        <v>3.0</v>
      </c>
    </row>
    <row r="2636">
      <c r="A2636" s="10" t="s">
        <v>9033</v>
      </c>
      <c r="B2636" s="49" t="str">
        <f t="shared" si="1"/>
        <v>Tampering with a Pipeline</v>
      </c>
      <c r="C2636" s="49" t="str">
        <f t="shared" si="2"/>
        <v>Tampering with a Pipeline; Intentional and unauthorized alteration of or interference with any part of a pipeline</v>
      </c>
      <c r="D2636" s="49" t="str">
        <f t="shared" si="3"/>
        <v>21-5818(a)</v>
      </c>
      <c r="E2636" s="11" t="s">
        <v>133</v>
      </c>
      <c r="F2636" s="11">
        <v>3.0</v>
      </c>
      <c r="G2636" s="11">
        <v>3.0</v>
      </c>
      <c r="H2636" s="11">
        <v>3.0</v>
      </c>
      <c r="I2636" s="11">
        <v>3.0</v>
      </c>
    </row>
    <row r="2637">
      <c r="A2637" s="10" t="s">
        <v>9034</v>
      </c>
      <c r="B2637" s="49" t="str">
        <f t="shared" si="1"/>
        <v>Tampering with a Public Notice</v>
      </c>
      <c r="C2637" s="49" t="str">
        <f t="shared" si="2"/>
        <v>Tampering with a Public Notice; Knowingly and without authority alter, destroy, deface, remove or conceal a public notice posted according to law</v>
      </c>
      <c r="D2637" s="49" t="str">
        <f t="shared" si="3"/>
        <v>21-5921(a)</v>
      </c>
      <c r="E2637" s="11" t="s">
        <v>133</v>
      </c>
      <c r="F2637" s="11">
        <v>3.0</v>
      </c>
      <c r="G2637" s="11">
        <v>3.0</v>
      </c>
      <c r="H2637" s="11">
        <v>3.0</v>
      </c>
      <c r="I2637" s="11">
        <v>3.0</v>
      </c>
    </row>
    <row r="2638">
      <c r="A2638" s="10" t="s">
        <v>9035</v>
      </c>
      <c r="B2638" s="49" t="str">
        <f t="shared" si="1"/>
        <v>Tampering with a Public Record</v>
      </c>
      <c r="C2638" s="49" t="str">
        <f t="shared" si="2"/>
        <v>Tampering with a Public Record; Knowingly and without authority alter, destroy, deface, remove or conceal a public record</v>
      </c>
      <c r="D2638" s="49" t="str">
        <f t="shared" si="3"/>
        <v>21-5920(a)</v>
      </c>
      <c r="E2638" s="11" t="s">
        <v>133</v>
      </c>
      <c r="F2638" s="11">
        <v>3.0</v>
      </c>
      <c r="G2638" s="11">
        <v>3.0</v>
      </c>
      <c r="H2638" s="11">
        <v>3.0</v>
      </c>
      <c r="I2638" s="11">
        <v>3.0</v>
      </c>
    </row>
    <row r="2639">
      <c r="A2639" s="10" t="s">
        <v>9036</v>
      </c>
      <c r="B2639" s="49" t="str">
        <f t="shared" si="1"/>
        <v>Tampering with a Sports contest</v>
      </c>
      <c r="C2639" s="49" t="str">
        <f t="shared" si="2"/>
        <v>Tampering with a Sports contest</v>
      </c>
      <c r="D2639" s="49" t="str">
        <f t="shared" si="3"/>
        <v>21-6508(a)</v>
      </c>
      <c r="E2639" s="11" t="s">
        <v>133</v>
      </c>
      <c r="F2639" s="11">
        <v>3.0</v>
      </c>
      <c r="G2639" s="11">
        <v>3.0</v>
      </c>
      <c r="H2639" s="11">
        <v>3.0</v>
      </c>
      <c r="I2639" s="11">
        <v>3.0</v>
      </c>
    </row>
    <row r="2640">
      <c r="A2640" s="10" t="s">
        <v>9037</v>
      </c>
      <c r="B2640" s="49" t="str">
        <f t="shared" si="1"/>
        <v>Tampering with a Traffic Signal</v>
      </c>
      <c r="C2640" s="49" t="str">
        <f t="shared" si="2"/>
        <v>Tampering with a Traffic Signal; Knowingly manipulate, alter, destroy or remove</v>
      </c>
      <c r="D2640" s="49" t="str">
        <f t="shared" si="3"/>
        <v>21-5817(a)</v>
      </c>
      <c r="E2640" s="11" t="s">
        <v>133</v>
      </c>
      <c r="F2640" s="11">
        <v>3.0</v>
      </c>
      <c r="G2640" s="11">
        <v>3.0</v>
      </c>
      <c r="H2640" s="11">
        <v>3.0</v>
      </c>
      <c r="I2640" s="11">
        <v>3.0</v>
      </c>
    </row>
    <row r="2641">
      <c r="A2641" s="10" t="s">
        <v>9038</v>
      </c>
      <c r="B2641" s="49" t="str">
        <f t="shared" si="1"/>
        <v>Tampering with Electronic Monitoring Equipment</v>
      </c>
      <c r="C2641" s="49" t="str">
        <f t="shared" si="2"/>
        <v>Tampering with Electronic Monitoring Equipment; Knowingly and without authorization</v>
      </c>
      <c r="D2641" s="49" t="str">
        <f t="shared" si="3"/>
        <v>21-6322(a)</v>
      </c>
      <c r="E2641" s="11" t="s">
        <v>133</v>
      </c>
      <c r="F2641" s="11">
        <v>3.0</v>
      </c>
      <c r="G2641" s="11">
        <v>3.0</v>
      </c>
      <c r="H2641" s="11">
        <v>3.0</v>
      </c>
      <c r="I2641" s="11">
        <v>3.0</v>
      </c>
    </row>
    <row r="2642">
      <c r="A2642" s="10" t="s">
        <v>9039</v>
      </c>
      <c r="B2642" s="49" t="str">
        <f t="shared" si="1"/>
        <v>Tax</v>
      </c>
      <c r="C2642" s="49" t="str">
        <f t="shared" si="2"/>
        <v>Tax; Banks, Banking Businesses, Trust Companies &amp; Savings &amp; Loan Assoc.; unlawful disclosure of information obtained under article 11, chapter 79 of the K.S.A.'s; unlawful employment for employees administering tax under article 11, chapter 79 of the K.S.A.'s</v>
      </c>
      <c r="D2642" s="49" t="str">
        <f t="shared" si="3"/>
        <v>79-1119(b)</v>
      </c>
      <c r="E2642" s="11" t="s">
        <v>133</v>
      </c>
      <c r="F2642" s="11">
        <v>3.0</v>
      </c>
      <c r="G2642" s="11">
        <v>3.0</v>
      </c>
      <c r="H2642" s="11">
        <v>3.0</v>
      </c>
      <c r="I2642" s="11">
        <v>3.0</v>
      </c>
    </row>
    <row r="2643">
      <c r="A2643" s="10" t="s">
        <v>9040</v>
      </c>
      <c r="B2643" s="49" t="str">
        <f t="shared" si="1"/>
        <v>Tax</v>
      </c>
      <c r="C2643" s="49" t="str">
        <f t="shared" si="2"/>
        <v>Tax; Income Tax; Fail to pay any tax or to make, render or sign any return, or to supply any information, within the time required by or under the provisions of this act, if done with fraudulent intent</v>
      </c>
      <c r="D2643" s="49" t="str">
        <f t="shared" si="3"/>
        <v>79-3228(e)</v>
      </c>
      <c r="E2643" s="11" t="s">
        <v>133</v>
      </c>
      <c r="F2643" s="11">
        <v>3.0</v>
      </c>
      <c r="G2643" s="11">
        <v>3.0</v>
      </c>
      <c r="H2643" s="11">
        <v>3.0</v>
      </c>
      <c r="I2643" s="11">
        <v>3.0</v>
      </c>
    </row>
    <row r="2644">
      <c r="A2644" s="10" t="s">
        <v>9041</v>
      </c>
      <c r="B2644" s="49" t="str">
        <f t="shared" si="1"/>
        <v>Tax</v>
      </c>
      <c r="C2644" s="49" t="str">
        <f t="shared" si="2"/>
        <v>Tax; Income Tax; Intentional failure of employer, payer, person or organization deducting and withholding tax to furnish a statement to an employee or payee as required</v>
      </c>
      <c r="D2644" s="49" t="str">
        <f t="shared" si="3"/>
        <v>79-3299</v>
      </c>
      <c r="E2644" s="11" t="s">
        <v>133</v>
      </c>
      <c r="F2644" s="11">
        <v>3.0</v>
      </c>
      <c r="G2644" s="11">
        <v>3.0</v>
      </c>
      <c r="H2644" s="11">
        <v>3.0</v>
      </c>
      <c r="I2644" s="11">
        <v>3.0</v>
      </c>
    </row>
    <row r="2645">
      <c r="A2645" s="10" t="s">
        <v>9042</v>
      </c>
      <c r="B2645" s="49" t="str">
        <f t="shared" si="1"/>
        <v>Tax</v>
      </c>
      <c r="C2645" s="49" t="str">
        <f t="shared" si="2"/>
        <v>Tax; Income Tax; Unauthorized disclosure of information obtained under the Kansas income tax act; unlawful employment for employees administering tax under provisions of the Kansas Income Tax Act</v>
      </c>
      <c r="D2645" s="49" t="str">
        <f t="shared" si="3"/>
        <v>79-3234(b)</v>
      </c>
      <c r="E2645" s="11" t="s">
        <v>133</v>
      </c>
      <c r="F2645" s="11">
        <v>3.0</v>
      </c>
      <c r="G2645" s="11">
        <v>3.0</v>
      </c>
      <c r="H2645" s="11">
        <v>3.0</v>
      </c>
      <c r="I2645" s="11">
        <v>3.0</v>
      </c>
    </row>
    <row r="2646">
      <c r="A2646" s="10" t="s">
        <v>9043</v>
      </c>
      <c r="B2646" s="49" t="str">
        <f t="shared" si="1"/>
        <v>Tax</v>
      </c>
      <c r="C2646" s="49" t="str">
        <f t="shared" si="2"/>
        <v>Tax; Income Tax; Unauthorized disclosure of information to certain specified entities and individual</v>
      </c>
      <c r="D2646" s="49" t="str">
        <f t="shared" si="3"/>
        <v>79-3234(c)</v>
      </c>
      <c r="E2646" s="11" t="s">
        <v>133</v>
      </c>
      <c r="F2646" s="11">
        <v>3.0</v>
      </c>
      <c r="G2646" s="11">
        <v>3.0</v>
      </c>
      <c r="H2646" s="11">
        <v>3.0</v>
      </c>
      <c r="I2646" s="11">
        <v>3.0</v>
      </c>
    </row>
    <row r="2647">
      <c r="A2647" s="10" t="s">
        <v>9044</v>
      </c>
      <c r="B2647" s="49" t="str">
        <f t="shared" si="1"/>
        <v>Tax</v>
      </c>
      <c r="C2647" s="49" t="str">
        <f t="shared" si="2"/>
        <v>Tax; Judicial Foreclosure &amp; Sale of Real Estate By County; willful certification to the director of accounts and reports any amount for which the county is not entitled to credit by any county treasurer</v>
      </c>
      <c r="D2647" s="49" t="str">
        <f t="shared" si="3"/>
        <v>79-2808</v>
      </c>
      <c r="E2647" s="11" t="s">
        <v>133</v>
      </c>
      <c r="F2647" s="11">
        <v>3.0</v>
      </c>
      <c r="G2647" s="11">
        <v>3.0</v>
      </c>
      <c r="H2647" s="11">
        <v>3.0</v>
      </c>
      <c r="I2647" s="11">
        <v>3.0</v>
      </c>
    </row>
    <row r="2648">
      <c r="A2648" s="10" t="s">
        <v>9045</v>
      </c>
      <c r="B2648" s="49" t="str">
        <f t="shared" si="1"/>
        <v>Tax</v>
      </c>
      <c r="C2648" s="49" t="str">
        <f t="shared" si="2"/>
        <v>Tax; Levied and collected pursuant to K.S.A. 12-1693; unauthorized disclosure of confidential information in monthly reports by a city or county officer or employee</v>
      </c>
      <c r="D2648" s="49" t="str">
        <f t="shared" si="3"/>
        <v>12-1694(d)</v>
      </c>
      <c r="E2648" s="11" t="s">
        <v>133</v>
      </c>
      <c r="F2648" s="11">
        <v>3.0</v>
      </c>
      <c r="G2648" s="11">
        <v>3.0</v>
      </c>
      <c r="H2648" s="11">
        <v>3.0</v>
      </c>
      <c r="I2648" s="11">
        <v>3.0</v>
      </c>
    </row>
    <row r="2649">
      <c r="A2649" s="10" t="s">
        <v>9046</v>
      </c>
      <c r="B2649" s="49" t="str">
        <f t="shared" si="1"/>
        <v>Tax</v>
      </c>
      <c r="C2649" s="49" t="str">
        <f t="shared" si="2"/>
        <v>Tax; Levied and collected pursuant to K.S.A. 12-1697; unauthorized disclosure of confidential information in monthly reports by a city or county officer or employee</v>
      </c>
      <c r="D2649" s="49" t="str">
        <f t="shared" si="3"/>
        <v>12-1698(d)</v>
      </c>
      <c r="E2649" s="11" t="s">
        <v>133</v>
      </c>
      <c r="F2649" s="11">
        <v>3.0</v>
      </c>
      <c r="G2649" s="11">
        <v>3.0</v>
      </c>
      <c r="H2649" s="11">
        <v>3.0</v>
      </c>
      <c r="I2649" s="11">
        <v>3.0</v>
      </c>
    </row>
    <row r="2650">
      <c r="A2650" s="10" t="s">
        <v>9047</v>
      </c>
      <c r="B2650" s="49" t="str">
        <f t="shared" si="1"/>
        <v>Tax</v>
      </c>
      <c r="C2650" s="49" t="str">
        <f t="shared" si="2"/>
        <v>Tax; Limitations on Tax Levies; penalty for violation of act by officer</v>
      </c>
      <c r="D2650" s="49" t="str">
        <f t="shared" si="3"/>
        <v>79-1966</v>
      </c>
      <c r="E2650" s="11" t="s">
        <v>133</v>
      </c>
      <c r="F2650" s="11">
        <v>3.0</v>
      </c>
      <c r="G2650" s="11">
        <v>3.0</v>
      </c>
      <c r="H2650" s="11">
        <v>3.0</v>
      </c>
      <c r="I2650" s="11">
        <v>3.0</v>
      </c>
    </row>
    <row r="2651">
      <c r="A2651" s="10" t="s">
        <v>9048</v>
      </c>
      <c r="B2651" s="49" t="str">
        <f t="shared" si="1"/>
        <v>Tax</v>
      </c>
      <c r="C2651" s="49" t="str">
        <f t="shared" si="2"/>
        <v>Tax; Merchants, Manufacturers, Motor Vehicle Dealers &amp; Certain Contractors; fail to register as required; fail to execute the bond before beginning the performance of any contract; violation of any other provision of this act</v>
      </c>
      <c r="D2651" s="49" t="str">
        <f t="shared" si="3"/>
        <v>79-1015</v>
      </c>
      <c r="E2651" s="11" t="s">
        <v>133</v>
      </c>
      <c r="F2651" s="11">
        <v>3.0</v>
      </c>
      <c r="G2651" s="11">
        <v>3.0</v>
      </c>
      <c r="H2651" s="11">
        <v>3.0</v>
      </c>
      <c r="I2651" s="11">
        <v>3.0</v>
      </c>
    </row>
    <row r="2652">
      <c r="A2652" s="10" t="s">
        <v>9049</v>
      </c>
      <c r="B2652" s="49" t="str">
        <f t="shared" si="1"/>
        <v>Tax</v>
      </c>
      <c r="C2652" s="49" t="str">
        <f t="shared" si="2"/>
        <v>Tax; Property Valuation, Equalizing Assessments, Appraisers &amp; Assessment of Property; Failure of officer to list or properly value, assess or equalize property for taxation</v>
      </c>
      <c r="D2652" s="49" t="str">
        <f t="shared" si="3"/>
        <v>79-1426</v>
      </c>
      <c r="E2652" s="11" t="s">
        <v>133</v>
      </c>
      <c r="F2652" s="11">
        <v>3.0</v>
      </c>
      <c r="G2652" s="11">
        <v>3.0</v>
      </c>
      <c r="H2652" s="11">
        <v>3.0</v>
      </c>
      <c r="I2652" s="11">
        <v>3.0</v>
      </c>
    </row>
    <row r="2653">
      <c r="A2653" s="10" t="s">
        <v>9050</v>
      </c>
      <c r="B2653" s="49" t="str">
        <f t="shared" si="1"/>
        <v>Tax</v>
      </c>
      <c r="C2653" s="49" t="str">
        <f t="shared" si="2"/>
        <v>Tax; Property Valuation, Equalizing Assessments, Appraisers &amp; Assessment of Property; Falsifying the value of real estate transferred</v>
      </c>
      <c r="D2653" s="49" t="str">
        <f t="shared" si="3"/>
        <v>79-1437g</v>
      </c>
      <c r="E2653" s="11" t="s">
        <v>133</v>
      </c>
      <c r="F2653" s="11">
        <v>3.0</v>
      </c>
      <c r="G2653" s="11">
        <v>3.0</v>
      </c>
      <c r="H2653" s="11">
        <v>3.0</v>
      </c>
      <c r="I2653" s="11">
        <v>3.0</v>
      </c>
    </row>
    <row r="2654">
      <c r="A2654" s="10" t="s">
        <v>9051</v>
      </c>
      <c r="B2654" s="49" t="str">
        <f t="shared" si="1"/>
        <v>Tax</v>
      </c>
      <c r="C2654" s="49" t="str">
        <f t="shared" si="2"/>
        <v>Tax; Property Valuation, Equalizing Assessments, Appraisers &amp; Assessment of Property; Fraudulent listing or evasion by taxpayer</v>
      </c>
      <c r="D2654" s="49" t="str">
        <f t="shared" si="3"/>
        <v>79-1420</v>
      </c>
      <c r="E2654" s="11" t="s">
        <v>133</v>
      </c>
      <c r="F2654" s="11">
        <v>3.0</v>
      </c>
      <c r="G2654" s="11">
        <v>3.0</v>
      </c>
      <c r="H2654" s="11">
        <v>3.0</v>
      </c>
      <c r="I2654" s="11">
        <v>3.0</v>
      </c>
    </row>
    <row r="2655">
      <c r="A2655" s="10" t="s">
        <v>9052</v>
      </c>
      <c r="B2655" s="49" t="str">
        <f t="shared" si="1"/>
        <v>Tax</v>
      </c>
      <c r="C2655" s="49" t="str">
        <f t="shared" si="2"/>
        <v>Tax; Property Valuation, Equalizing Assessments, Appraisers &amp; Assessment of Property; Penalty for neglect of duty by county appraiser or employee</v>
      </c>
      <c r="D2655" s="49" t="str">
        <f t="shared" si="3"/>
        <v>79-1473</v>
      </c>
      <c r="E2655" s="11" t="s">
        <v>133</v>
      </c>
      <c r="F2655" s="11">
        <v>3.0</v>
      </c>
      <c r="G2655" s="11">
        <v>3.0</v>
      </c>
      <c r="H2655" s="11">
        <v>3.0</v>
      </c>
      <c r="I2655" s="11">
        <v>3.0</v>
      </c>
    </row>
    <row r="2656">
      <c r="A2656" s="10" t="s">
        <v>9053</v>
      </c>
      <c r="B2656" s="49" t="str">
        <f t="shared" si="1"/>
        <v>Tax</v>
      </c>
      <c r="C2656" s="49" t="str">
        <f t="shared" si="2"/>
        <v>Tax; Property Valuation, Equalizing Assessments, Appraisers &amp; Assessment of Property; Willfully refuse to answer questions and interrogatories and take and subscribe the oath</v>
      </c>
      <c r="D2656" s="49" t="str">
        <f t="shared" si="3"/>
        <v>79-1408</v>
      </c>
      <c r="E2656" s="11" t="s">
        <v>133</v>
      </c>
      <c r="F2656" s="11">
        <v>3.0</v>
      </c>
      <c r="G2656" s="11">
        <v>3.0</v>
      </c>
      <c r="H2656" s="11">
        <v>3.0</v>
      </c>
      <c r="I2656" s="11">
        <v>3.0</v>
      </c>
    </row>
    <row r="2657">
      <c r="A2657" s="10" t="s">
        <v>9054</v>
      </c>
      <c r="B2657" s="49" t="str">
        <f t="shared" si="1"/>
        <v>Taxation</v>
      </c>
      <c r="C2657" s="49" t="str">
        <f t="shared" si="2"/>
        <v>Taxation; Income Tax; willfully sign a fraudulent return</v>
      </c>
      <c r="D2657" s="49" t="str">
        <f t="shared" si="3"/>
        <v>79-3228(f)</v>
      </c>
      <c r="E2657" s="11" t="s">
        <v>133</v>
      </c>
      <c r="F2657" s="11">
        <v>3.0</v>
      </c>
      <c r="G2657" s="11">
        <v>3.0</v>
      </c>
      <c r="H2657" s="11">
        <v>3.0</v>
      </c>
      <c r="I2657" s="11">
        <v>3.0</v>
      </c>
    </row>
    <row r="2658">
      <c r="A2658" s="10" t="s">
        <v>9055</v>
      </c>
      <c r="B2658" s="49" t="str">
        <f t="shared" si="1"/>
        <v>Taxation</v>
      </c>
      <c r="C2658" s="49" t="str">
        <f t="shared" si="2"/>
        <v>Taxation; Marijuana &amp; Controlled substances; dealer distributing or possessing marijuana or controlled substances without affixing the appropriate stamps, labels or other indicia</v>
      </c>
      <c r="D2658" s="49" t="str">
        <f t="shared" si="3"/>
        <v>79-5208</v>
      </c>
      <c r="E2658" s="11" t="s">
        <v>133</v>
      </c>
      <c r="F2658" s="11">
        <v>3.0</v>
      </c>
      <c r="G2658" s="11">
        <v>3.0</v>
      </c>
      <c r="H2658" s="11">
        <v>3.0</v>
      </c>
      <c r="I2658" s="11">
        <v>3.0</v>
      </c>
    </row>
    <row r="2659">
      <c r="A2659" s="10" t="s">
        <v>9056</v>
      </c>
      <c r="B2659" s="49" t="str">
        <f t="shared" si="1"/>
        <v>Taxation</v>
      </c>
      <c r="C2659" s="49" t="str">
        <f t="shared" si="2"/>
        <v>Taxation; Motor Vehicle Fuel Taxes; Aid and abet in violations contained in paragraphs (1) through (8)</v>
      </c>
      <c r="D2659" s="49" t="str">
        <f t="shared" si="3"/>
        <v>79-3464e(a)(9)</v>
      </c>
      <c r="E2659" s="11" t="s">
        <v>133</v>
      </c>
      <c r="F2659" s="11">
        <v>3.0</v>
      </c>
      <c r="G2659" s="11">
        <v>3.0</v>
      </c>
      <c r="H2659" s="11">
        <v>3.0</v>
      </c>
      <c r="I2659" s="11">
        <v>3.0</v>
      </c>
    </row>
    <row r="2660">
      <c r="A2660" s="10" t="s">
        <v>9057</v>
      </c>
      <c r="B2660" s="49" t="str">
        <f t="shared" si="1"/>
        <v>Taxation</v>
      </c>
      <c r="C2660" s="49" t="str">
        <f t="shared" si="2"/>
        <v>Taxation; Motor Vehicle Fuel Taxes; aid and abet in violations contained in paragraphs (10) through (17)</v>
      </c>
      <c r="D2660" s="49" t="str">
        <f t="shared" si="3"/>
        <v>79-3464e(a)(18)</v>
      </c>
      <c r="E2660" s="11" t="s">
        <v>133</v>
      </c>
      <c r="F2660" s="11">
        <v>3.0</v>
      </c>
      <c r="G2660" s="11">
        <v>3.0</v>
      </c>
      <c r="H2660" s="11">
        <v>3.0</v>
      </c>
      <c r="I2660" s="11">
        <v>3.0</v>
      </c>
    </row>
    <row r="2661">
      <c r="A2661" s="10" t="s">
        <v>9058</v>
      </c>
      <c r="B2661" s="49" t="str">
        <f t="shared" si="1"/>
        <v>Taxation</v>
      </c>
      <c r="C2661" s="49" t="str">
        <f t="shared" si="2"/>
        <v>Taxation; Motor Vehicle Fuel Taxes; deliver or accept delivery of any motor fuel with  intent to evade the obligation of collecting, remitting or accounting for motor fuel tax to this state, knowing that such fuel was intended to be delivered to a tax exempt entity or to a location outside the state of Kansas</v>
      </c>
      <c r="D2661" s="49" t="str">
        <f t="shared" si="3"/>
        <v>79-3464e(a)(15)</v>
      </c>
      <c r="E2661" s="11" t="s">
        <v>133</v>
      </c>
      <c r="F2661" s="11">
        <v>3.0</v>
      </c>
      <c r="G2661" s="11">
        <v>3.0</v>
      </c>
      <c r="H2661" s="11">
        <v>3.0</v>
      </c>
      <c r="I2661" s="11">
        <v>3.0</v>
      </c>
    </row>
    <row r="2662">
      <c r="A2662" s="10" t="s">
        <v>9059</v>
      </c>
      <c r="B2662" s="49" t="str">
        <f t="shared" si="1"/>
        <v>Taxation</v>
      </c>
      <c r="C2662" s="49" t="str">
        <f t="shared" si="2"/>
        <v>Taxation; Motor Vehicle Fuel Taxes; Fail, neglect or refuse to keep and maintain or to make fully and freely accessible during business hours to certain people, all books, papers and records as required</v>
      </c>
      <c r="D2662" s="49" t="str">
        <f t="shared" si="3"/>
        <v>79-3464e(a)(4)</v>
      </c>
      <c r="E2662" s="11" t="s">
        <v>133</v>
      </c>
      <c r="F2662" s="11">
        <v>3.0</v>
      </c>
      <c r="G2662" s="11">
        <v>3.0</v>
      </c>
      <c r="H2662" s="11">
        <v>3.0</v>
      </c>
      <c r="I2662" s="11">
        <v>3.0</v>
      </c>
    </row>
    <row r="2663">
      <c r="A2663" s="10" t="s">
        <v>9060</v>
      </c>
      <c r="B2663" s="49" t="str">
        <f t="shared" si="1"/>
        <v>Taxation</v>
      </c>
      <c r="C2663" s="49" t="str">
        <f t="shared" si="2"/>
        <v>Taxation; Motor Vehicle Fuel Taxes; Fail, neglect or refuse to pay the director, any tax, taxes, interest or penalties for which such person is liable, within the time required</v>
      </c>
      <c r="D2663" s="49" t="str">
        <f t="shared" si="3"/>
        <v>79-3464e(a)(3)</v>
      </c>
      <c r="E2663" s="11" t="s">
        <v>133</v>
      </c>
      <c r="F2663" s="11">
        <v>3.0</v>
      </c>
      <c r="G2663" s="11">
        <v>3.0</v>
      </c>
      <c r="H2663" s="11">
        <v>3.0</v>
      </c>
      <c r="I2663" s="11">
        <v>3.0</v>
      </c>
    </row>
    <row r="2664">
      <c r="A2664" s="10" t="s">
        <v>9061</v>
      </c>
      <c r="B2664" s="49" t="str">
        <f t="shared" si="1"/>
        <v>Taxation</v>
      </c>
      <c r="C2664" s="49" t="str">
        <f t="shared" si="2"/>
        <v>Taxation; Motor Vehicle Fuel Taxes; Fail, neglect or refuse to render to the director at the director's office, any report or statement required, within the time required</v>
      </c>
      <c r="D2664" s="49" t="str">
        <f t="shared" si="3"/>
        <v>79-3464e(a)(2)</v>
      </c>
      <c r="E2664" s="11" t="s">
        <v>133</v>
      </c>
      <c r="F2664" s="11">
        <v>3.0</v>
      </c>
      <c r="G2664" s="11">
        <v>3.0</v>
      </c>
      <c r="H2664" s="11">
        <v>3.0</v>
      </c>
      <c r="I2664" s="11">
        <v>3.0</v>
      </c>
    </row>
    <row r="2665">
      <c r="A2665" s="10" t="s">
        <v>9062</v>
      </c>
      <c r="B2665" s="49" t="str">
        <f t="shared" si="1"/>
        <v>Taxation</v>
      </c>
      <c r="C2665" s="49" t="str">
        <f t="shared" si="2"/>
        <v>Taxation; Motor Vehicle Fuel Taxes; falsify, forge or alter any documents associated with the use, sale, manufacture or delivery of any motor fuels</v>
      </c>
      <c r="D2665" s="49" t="str">
        <f t="shared" si="3"/>
        <v>79-3464e(a)(14)</v>
      </c>
      <c r="E2665" s="11" t="s">
        <v>133</v>
      </c>
      <c r="F2665" s="11">
        <v>3.0</v>
      </c>
      <c r="G2665" s="11">
        <v>3.0</v>
      </c>
      <c r="H2665" s="11">
        <v>3.0</v>
      </c>
      <c r="I2665" s="11">
        <v>3.0</v>
      </c>
    </row>
    <row r="2666">
      <c r="A2666" s="10" t="s">
        <v>9063</v>
      </c>
      <c r="B2666" s="49" t="str">
        <f t="shared" si="1"/>
        <v>Taxation</v>
      </c>
      <c r="C2666" s="49" t="str">
        <f t="shared" si="2"/>
        <v>Taxation; Motor Vehicle Fuel Taxes; falsify, forge or willfully conceal any required books, papers, or records</v>
      </c>
      <c r="D2666" s="49" t="str">
        <f t="shared" si="3"/>
        <v>79-3464e(a)(10)</v>
      </c>
      <c r="E2666" s="11" t="s">
        <v>133</v>
      </c>
      <c r="F2666" s="11">
        <v>3.0</v>
      </c>
      <c r="G2666" s="11">
        <v>3.0</v>
      </c>
      <c r="H2666" s="11">
        <v>3.0</v>
      </c>
      <c r="I2666" s="11">
        <v>3.0</v>
      </c>
    </row>
    <row r="2667">
      <c r="A2667" s="10" t="s">
        <v>9064</v>
      </c>
      <c r="B2667" s="49" t="str">
        <f t="shared" si="1"/>
        <v>Taxation</v>
      </c>
      <c r="C2667" s="49" t="str">
        <f t="shared" si="2"/>
        <v>Taxation; Motor Vehicle Fuel Taxes; knowingly make any false/forged application for a refund permit or claim for refund; knowingly make any false statement in application for a refund permit, or in any claim for a refund</v>
      </c>
      <c r="D2667" s="49" t="str">
        <f t="shared" si="3"/>
        <v>79-3464e(a)(12)</v>
      </c>
      <c r="E2667" s="11" t="s">
        <v>133</v>
      </c>
      <c r="F2667" s="11">
        <v>3.0</v>
      </c>
      <c r="G2667" s="11">
        <v>3.0</v>
      </c>
      <c r="H2667" s="11">
        <v>3.0</v>
      </c>
      <c r="I2667" s="11">
        <v>3.0</v>
      </c>
    </row>
    <row r="2668">
      <c r="A2668" s="10" t="s">
        <v>9065</v>
      </c>
      <c r="B2668" s="49" t="str">
        <f t="shared" si="1"/>
        <v>Taxation</v>
      </c>
      <c r="C2668" s="49" t="str">
        <f t="shared" si="2"/>
        <v>Taxation; Motor Vehicle Fuel Taxes; knowingly submit a false or forged application for licensure</v>
      </c>
      <c r="D2668" s="49" t="str">
        <f t="shared" si="3"/>
        <v>79-3464e(a)(11)</v>
      </c>
      <c r="E2668" s="11" t="s">
        <v>133</v>
      </c>
      <c r="F2668" s="11">
        <v>3.0</v>
      </c>
      <c r="G2668" s="11">
        <v>3.0</v>
      </c>
      <c r="H2668" s="11">
        <v>3.0</v>
      </c>
      <c r="I2668" s="11">
        <v>3.0</v>
      </c>
    </row>
    <row r="2669">
      <c r="A2669" s="10" t="s">
        <v>9066</v>
      </c>
      <c r="B2669" s="49" t="str">
        <f t="shared" si="1"/>
        <v>Taxation</v>
      </c>
      <c r="C2669" s="49" t="str">
        <f t="shared" si="2"/>
        <v>Taxation; Motor Vehicle Fuel Taxes; Penalty for violation of act</v>
      </c>
      <c r="D2669" s="49" t="str">
        <f t="shared" si="3"/>
        <v>79-34,103</v>
      </c>
      <c r="E2669" s="11" t="s">
        <v>133</v>
      </c>
      <c r="F2669" s="11">
        <v>3.0</v>
      </c>
      <c r="G2669" s="11">
        <v>3.0</v>
      </c>
      <c r="H2669" s="11">
        <v>3.0</v>
      </c>
      <c r="I2669" s="11">
        <v>3.0</v>
      </c>
    </row>
    <row r="2670">
      <c r="A2670" s="10" t="s">
        <v>9067</v>
      </c>
      <c r="B2670" s="49" t="str">
        <f t="shared" si="1"/>
        <v>Taxation</v>
      </c>
      <c r="C2670" s="49" t="str">
        <f t="shared" si="2"/>
        <v>Taxation; Motor Vehicle Fuel Taxes; Present, or cause to be presented, to the director for credit, or for refund, any false, forged or altered invoice of refund</v>
      </c>
      <c r="D2670" s="49" t="str">
        <f t="shared" si="3"/>
        <v>79-3464e(a)(13)</v>
      </c>
      <c r="E2670" s="11" t="s">
        <v>133</v>
      </c>
      <c r="F2670" s="11">
        <v>3.0</v>
      </c>
      <c r="G2670" s="11">
        <v>3.0</v>
      </c>
      <c r="H2670" s="11">
        <v>3.0</v>
      </c>
      <c r="I2670" s="11">
        <v>3.0</v>
      </c>
    </row>
    <row r="2671">
      <c r="A2671" s="10" t="s">
        <v>9068</v>
      </c>
      <c r="B2671" s="49" t="str">
        <f t="shared" si="1"/>
        <v>Taxation</v>
      </c>
      <c r="C2671" s="49" t="str">
        <f t="shared" si="2"/>
        <v>Taxation; Motor Vehicle Fuel Taxes; Sell or hold for sale dyed fuel that such person knows or has reason to know will not be used for a nontaxable purpose</v>
      </c>
      <c r="D2671" s="49" t="str">
        <f t="shared" si="3"/>
        <v>79-3464e(a)(7)</v>
      </c>
      <c r="E2671" s="11" t="s">
        <v>133</v>
      </c>
      <c r="F2671" s="11">
        <v>3.0</v>
      </c>
      <c r="G2671" s="11">
        <v>3.0</v>
      </c>
      <c r="H2671" s="11">
        <v>3.0</v>
      </c>
      <c r="I2671" s="11">
        <v>3.0</v>
      </c>
    </row>
    <row r="2672">
      <c r="A2672" s="10" t="s">
        <v>9069</v>
      </c>
      <c r="B2672" s="49" t="str">
        <f t="shared" si="1"/>
        <v>Taxation</v>
      </c>
      <c r="C2672" s="49" t="str">
        <f t="shared" si="2"/>
        <v>Taxation; Motor Vehicle Fuel Taxes; Sell, receive or transport motor fuels without proper and correct manifests</v>
      </c>
      <c r="D2672" s="49" t="str">
        <f t="shared" si="3"/>
        <v>79-3464e(a)(6)</v>
      </c>
      <c r="E2672" s="11" t="s">
        <v>133</v>
      </c>
      <c r="F2672" s="11">
        <v>3.0</v>
      </c>
      <c r="G2672" s="11">
        <v>3.0</v>
      </c>
      <c r="H2672" s="11">
        <v>3.0</v>
      </c>
      <c r="I2672" s="11">
        <v>3.0</v>
      </c>
    </row>
    <row r="2673">
      <c r="A2673" s="10" t="s">
        <v>9070</v>
      </c>
      <c r="B2673" s="49" t="str">
        <f t="shared" si="1"/>
        <v>Taxation</v>
      </c>
      <c r="C2673" s="49" t="str">
        <f t="shared" si="2"/>
        <v>Taxation; Motor Vehicle Fuel Taxes; Use any motor fuels purchased as exempt in a taxable manner</v>
      </c>
      <c r="D2673" s="49" t="str">
        <f t="shared" si="3"/>
        <v>79-3464e(a)(5)</v>
      </c>
      <c r="E2673" s="11" t="s">
        <v>133</v>
      </c>
      <c r="F2673" s="11">
        <v>3.0</v>
      </c>
      <c r="G2673" s="11">
        <v>3.0</v>
      </c>
      <c r="H2673" s="11">
        <v>3.0</v>
      </c>
      <c r="I2673" s="11">
        <v>3.0</v>
      </c>
    </row>
    <row r="2674">
      <c r="A2674" s="10" t="s">
        <v>9071</v>
      </c>
      <c r="B2674" s="49" t="str">
        <f t="shared" si="1"/>
        <v>Taxation</v>
      </c>
      <c r="C2674" s="49" t="str">
        <f t="shared" si="2"/>
        <v>Taxation; Motor Vehicle Fuel Taxes; use dyed fuel other than for a nontaxable use</v>
      </c>
      <c r="D2674" s="49" t="str">
        <f t="shared" si="3"/>
        <v>79-3464e(a)(16)</v>
      </c>
      <c r="E2674" s="11" t="s">
        <v>133</v>
      </c>
      <c r="F2674" s="11">
        <v>3.0</v>
      </c>
      <c r="G2674" s="11">
        <v>3.0</v>
      </c>
      <c r="H2674" s="11">
        <v>3.0</v>
      </c>
      <c r="I2674" s="11">
        <v>3.0</v>
      </c>
    </row>
    <row r="2675">
      <c r="A2675" s="10" t="s">
        <v>9072</v>
      </c>
      <c r="B2675" s="49" t="str">
        <f t="shared" si="1"/>
        <v>Taxation</v>
      </c>
      <c r="C2675" s="49" t="str">
        <f t="shared" si="2"/>
        <v>Taxation; Motor Vehicle Fuel Taxes; Use, sell, manufacture or deliver any motor-vehicle fuels or special fuels at any place without having a valid, unsuspended and unrevoked license</v>
      </c>
      <c r="D2675" s="49" t="str">
        <f t="shared" si="3"/>
        <v>79-3464e(a)(1)</v>
      </c>
      <c r="E2675" s="11" t="s">
        <v>133</v>
      </c>
      <c r="F2675" s="11">
        <v>3.0</v>
      </c>
      <c r="G2675" s="11">
        <v>3.0</v>
      </c>
      <c r="H2675" s="11">
        <v>3.0</v>
      </c>
      <c r="I2675" s="11">
        <v>3.0</v>
      </c>
    </row>
    <row r="2676">
      <c r="A2676" s="10" t="s">
        <v>9073</v>
      </c>
      <c r="B2676" s="49" t="str">
        <f t="shared" si="1"/>
        <v>Taxation</v>
      </c>
      <c r="C2676" s="49" t="str">
        <f t="shared" si="2"/>
        <v>Taxation; Motor Vehicle Fuel Taxes; Violate any other provision of this act not specified in this section</v>
      </c>
      <c r="D2676" s="49" t="str">
        <f t="shared" si="3"/>
        <v>79-3464e(a)(8)</v>
      </c>
      <c r="E2676" s="11" t="s">
        <v>133</v>
      </c>
      <c r="F2676" s="11">
        <v>3.0</v>
      </c>
      <c r="G2676" s="11">
        <v>3.0</v>
      </c>
      <c r="H2676" s="11">
        <v>3.0</v>
      </c>
      <c r="I2676" s="11">
        <v>3.0</v>
      </c>
    </row>
    <row r="2677">
      <c r="A2677" s="10" t="s">
        <v>9074</v>
      </c>
      <c r="B2677" s="49" t="str">
        <f t="shared" si="1"/>
        <v>Taxation</v>
      </c>
      <c r="C2677" s="49" t="str">
        <f t="shared" si="2"/>
        <v>Taxation; Motor Vehicle Fuel Taxes; willfully alter/attempt to alter, the strength or composition of any dye in any dyed fuel</v>
      </c>
      <c r="D2677" s="49" t="str">
        <f t="shared" si="3"/>
        <v>79-3464e(a)(17)</v>
      </c>
      <c r="E2677" s="11" t="s">
        <v>133</v>
      </c>
      <c r="F2677" s="11">
        <v>3.0</v>
      </c>
      <c r="G2677" s="11">
        <v>3.0</v>
      </c>
      <c r="H2677" s="11">
        <v>3.0</v>
      </c>
      <c r="I2677" s="11">
        <v>3.0</v>
      </c>
    </row>
    <row r="2678">
      <c r="A2678" s="10" t="s">
        <v>9075</v>
      </c>
      <c r="B2678" s="49" t="str">
        <f t="shared" si="1"/>
        <v>Taxation</v>
      </c>
      <c r="C2678" s="49" t="str">
        <f t="shared" si="2"/>
        <v>Taxation; Motor Vehicle Fuel Taxes; Willfully make a false statement or knowingly present a fraudulent receipt for the sale of motor fuel, for the purpose of obtaining or attempting to obtain a credit or refund or reduction of liability for taxes</v>
      </c>
      <c r="D2678" s="49" t="str">
        <f t="shared" si="3"/>
        <v>79-34,122</v>
      </c>
      <c r="E2678" s="11" t="s">
        <v>133</v>
      </c>
      <c r="F2678" s="11">
        <v>3.0</v>
      </c>
      <c r="G2678" s="11">
        <v>3.0</v>
      </c>
      <c r="H2678" s="11">
        <v>3.0</v>
      </c>
      <c r="I2678" s="11">
        <v>3.0</v>
      </c>
    </row>
    <row r="2679">
      <c r="A2679" s="10" t="s">
        <v>9076</v>
      </c>
      <c r="B2679" s="49" t="str">
        <f t="shared" si="1"/>
        <v>Taxation</v>
      </c>
      <c r="C2679" s="49" t="str">
        <f t="shared" si="2"/>
        <v>Taxation; Motor Vehicles; failing, with fraudulent intent, to pay the tax imposed pursuant to K.S.A. 79-5101</v>
      </c>
      <c r="D2679" s="49" t="str">
        <f t="shared" si="3"/>
        <v>79-5114a</v>
      </c>
      <c r="E2679" s="11" t="s">
        <v>133</v>
      </c>
      <c r="F2679" s="11">
        <v>3.0</v>
      </c>
      <c r="G2679" s="11">
        <v>3.0</v>
      </c>
      <c r="H2679" s="11">
        <v>3.0</v>
      </c>
      <c r="I2679" s="11">
        <v>3.0</v>
      </c>
    </row>
    <row r="2680">
      <c r="A2680" s="10" t="s">
        <v>9077</v>
      </c>
      <c r="B2680" s="49" t="str">
        <f t="shared" si="1"/>
        <v>Terrorism</v>
      </c>
      <c r="C2680" s="49" t="str">
        <f t="shared" si="2"/>
        <v>Terrorism; Commit, attempt, conspire or solicit to commit any felony with intent to affect the operation of any unit of government</v>
      </c>
      <c r="D2680" s="49" t="str">
        <f t="shared" si="3"/>
        <v>21-5421(a)(3)</v>
      </c>
      <c r="E2680" s="11" t="s">
        <v>133</v>
      </c>
      <c r="F2680" s="11">
        <v>3.0</v>
      </c>
      <c r="G2680" s="11">
        <v>3.0</v>
      </c>
      <c r="H2680" s="11">
        <v>3.0</v>
      </c>
      <c r="I2680" s="11">
        <v>3.0</v>
      </c>
    </row>
    <row r="2681">
      <c r="A2681" s="10" t="s">
        <v>9078</v>
      </c>
      <c r="B2681" s="49" t="str">
        <f t="shared" si="1"/>
        <v>Terrorism</v>
      </c>
      <c r="C2681" s="49" t="str">
        <f t="shared" si="2"/>
        <v>Terrorism; Commit, attempt, conspire or solicit to commit any felony with intent to influence government policy by intimidation or coercion</v>
      </c>
      <c r="D2681" s="49" t="str">
        <f t="shared" si="3"/>
        <v>21-5421(a)(2)</v>
      </c>
      <c r="E2681" s="11" t="s">
        <v>133</v>
      </c>
      <c r="F2681" s="11">
        <v>3.0</v>
      </c>
      <c r="G2681" s="11">
        <v>3.0</v>
      </c>
      <c r="H2681" s="11">
        <v>3.0</v>
      </c>
      <c r="I2681" s="11">
        <v>3.0</v>
      </c>
    </row>
    <row r="2682">
      <c r="A2682" s="10" t="s">
        <v>9079</v>
      </c>
      <c r="B2682" s="49" t="str">
        <f t="shared" si="1"/>
        <v>Terrorism</v>
      </c>
      <c r="C2682" s="49" t="str">
        <f t="shared" si="2"/>
        <v>Terrorism; Commit, attempt, conspire or solicit to commit any felony with intent to intimidate or coerce civilians</v>
      </c>
      <c r="D2682" s="49" t="str">
        <f t="shared" si="3"/>
        <v>21-5421(a)(1)</v>
      </c>
      <c r="E2682" s="11" t="s">
        <v>133</v>
      </c>
      <c r="F2682" s="11">
        <v>3.0</v>
      </c>
      <c r="G2682" s="11">
        <v>3.0</v>
      </c>
      <c r="H2682" s="11">
        <v>3.0</v>
      </c>
      <c r="I2682" s="11">
        <v>3.0</v>
      </c>
    </row>
    <row r="2683">
      <c r="A2683" s="10" t="s">
        <v>9080</v>
      </c>
      <c r="B2683" s="49" t="str">
        <f t="shared" si="1"/>
        <v>Theft Detection Shielding Device</v>
      </c>
      <c r="C2683" s="49" t="str">
        <f t="shared" si="2"/>
        <v>Theft Detection Shielding Device; Manufacture or distribute a theft detection shielding device</v>
      </c>
      <c r="D2683" s="49" t="str">
        <f t="shared" si="3"/>
        <v>21-5805(a)</v>
      </c>
      <c r="E2683" s="11" t="s">
        <v>133</v>
      </c>
      <c r="F2683" s="11">
        <v>3.0</v>
      </c>
      <c r="G2683" s="11">
        <v>3.0</v>
      </c>
      <c r="H2683" s="11">
        <v>3.0</v>
      </c>
      <c r="I2683" s="11">
        <v>3.0</v>
      </c>
    </row>
    <row r="2684">
      <c r="A2684" s="10" t="s">
        <v>9081</v>
      </c>
      <c r="B2684" s="49" t="str">
        <f t="shared" si="1"/>
        <v>Theft Detection Shielding Device</v>
      </c>
      <c r="C2684" s="49" t="str">
        <f t="shared" si="2"/>
        <v>Theft Detection Shielding Device; Possession of a sales receipt or universal product code label with intent to cheat or defraud retailer</v>
      </c>
      <c r="D2684" s="49" t="str">
        <f t="shared" si="3"/>
        <v>21-5805(d)</v>
      </c>
      <c r="E2684" s="11" t="s">
        <v>133</v>
      </c>
      <c r="F2684" s="11">
        <v>3.0</v>
      </c>
      <c r="G2684" s="11">
        <v>3.0</v>
      </c>
      <c r="H2684" s="11">
        <v>3.0</v>
      </c>
      <c r="I2684" s="11">
        <v>3.0</v>
      </c>
    </row>
    <row r="2685">
      <c r="A2685" s="10" t="s">
        <v>9082</v>
      </c>
      <c r="B2685" s="49" t="str">
        <f t="shared" si="1"/>
        <v>Theft Detection Shielding Device</v>
      </c>
      <c r="C2685" s="49" t="str">
        <f t="shared" si="2"/>
        <v>Theft Detection Shielding Device; Possession of a theft detection shielding device with intent to commit theft</v>
      </c>
      <c r="D2685" s="49" t="str">
        <f t="shared" si="3"/>
        <v>21-5805(b)</v>
      </c>
      <c r="E2685" s="11" t="s">
        <v>133</v>
      </c>
      <c r="F2685" s="11">
        <v>3.0</v>
      </c>
      <c r="G2685" s="11">
        <v>3.0</v>
      </c>
      <c r="H2685" s="11">
        <v>3.0</v>
      </c>
      <c r="I2685" s="11">
        <v>3.0</v>
      </c>
    </row>
    <row r="2686">
      <c r="A2686" s="10" t="s">
        <v>9083</v>
      </c>
      <c r="B2686" s="49" t="str">
        <f t="shared" si="1"/>
        <v>Theft Detection Shielding Device</v>
      </c>
      <c r="C2686" s="49" t="str">
        <f t="shared" si="2"/>
        <v>Theft Detection Shielding Device; Possession of tool or device to remove a theft detection device without consent</v>
      </c>
      <c r="D2686" s="49" t="str">
        <f t="shared" si="3"/>
        <v>21-5805(c)</v>
      </c>
      <c r="E2686" s="11" t="s">
        <v>133</v>
      </c>
      <c r="F2686" s="11">
        <v>3.0</v>
      </c>
      <c r="G2686" s="11">
        <v>3.0</v>
      </c>
      <c r="H2686" s="11">
        <v>3.0</v>
      </c>
      <c r="I2686" s="11">
        <v>3.0</v>
      </c>
    </row>
    <row r="2687">
      <c r="A2687" s="10" t="s">
        <v>9084</v>
      </c>
      <c r="B2687" s="49" t="str">
        <f t="shared" si="1"/>
        <v>Theft of Property Lost, Mislaid or Delivered by Mistake</v>
      </c>
      <c r="C2687" s="49" t="str">
        <f t="shared" si="2"/>
        <v>Theft of Property Lost, Mislaid or Delivered by Mistake; By one who knows owner, fails to return property to owner and intends to permanently deprive; Value $100,000 or more</v>
      </c>
      <c r="D2687" s="49" t="str">
        <f t="shared" si="3"/>
        <v>21-5802(a)</v>
      </c>
      <c r="E2687" s="11" t="s">
        <v>133</v>
      </c>
      <c r="F2687" s="11">
        <v>3.0</v>
      </c>
      <c r="G2687" s="11">
        <v>3.0</v>
      </c>
      <c r="H2687" s="11">
        <v>3.0</v>
      </c>
      <c r="I2687" s="11">
        <v>3.0</v>
      </c>
    </row>
    <row r="2688">
      <c r="A2688" s="10" t="s">
        <v>9085</v>
      </c>
      <c r="B2688" s="49" t="str">
        <f t="shared" si="1"/>
        <v>Theft of Property Lost, Mislaid or Delivered by Mistake</v>
      </c>
      <c r="C2688" s="49" t="str">
        <f t="shared" si="2"/>
        <v>Theft of Property Lost, Mislaid or Delivered by Mistake; By one who knows owner, fails to return property to owner and intends to permanently deprive; Value at least $1,000 but less than $25,000</v>
      </c>
      <c r="D2688" s="49" t="str">
        <f t="shared" si="3"/>
        <v>21-5802(a)</v>
      </c>
      <c r="E2688" s="11" t="s">
        <v>133</v>
      </c>
      <c r="F2688" s="11">
        <v>3.0</v>
      </c>
      <c r="G2688" s="11">
        <v>3.0</v>
      </c>
      <c r="H2688" s="11">
        <v>3.0</v>
      </c>
      <c r="I2688" s="11">
        <v>3.0</v>
      </c>
    </row>
    <row r="2689">
      <c r="A2689" s="10" t="s">
        <v>9086</v>
      </c>
      <c r="B2689" s="49" t="str">
        <f t="shared" si="1"/>
        <v>Theft of Property Lost, Mislaid or Delivered by Mistake</v>
      </c>
      <c r="C2689" s="49" t="str">
        <f t="shared" si="2"/>
        <v>Theft of Property Lost, Mislaid or Delivered by Mistake; By one who knows owner, fails to return property to owner and intends to permanently deprive; Value at least $25,000 but less than $100,000</v>
      </c>
      <c r="D2689" s="49" t="str">
        <f t="shared" si="3"/>
        <v>21-5802(a)</v>
      </c>
      <c r="E2689" s="11" t="s">
        <v>133</v>
      </c>
      <c r="F2689" s="11">
        <v>3.0</v>
      </c>
      <c r="G2689" s="11">
        <v>3.0</v>
      </c>
      <c r="H2689" s="11">
        <v>3.0</v>
      </c>
      <c r="I2689" s="11">
        <v>3.0</v>
      </c>
    </row>
    <row r="2690">
      <c r="A2690" s="10" t="s">
        <v>9087</v>
      </c>
      <c r="B2690" s="49" t="str">
        <f t="shared" si="1"/>
        <v>Theft of Property Lost, Mislaid or Delivered by Mistake</v>
      </c>
      <c r="C2690" s="49" t="str">
        <f t="shared" si="2"/>
        <v>Theft of Property Lost, Mislaid or Delivered by Mistake; By one who knows owner, fails to return property to owner and intends to permanently deprive; value less than $1,000</v>
      </c>
      <c r="D2690" s="49" t="str">
        <f t="shared" si="3"/>
        <v>21-5802(a)</v>
      </c>
      <c r="E2690" s="11" t="s">
        <v>133</v>
      </c>
      <c r="F2690" s="11">
        <v>3.0</v>
      </c>
      <c r="G2690" s="11">
        <v>3.0</v>
      </c>
      <c r="H2690" s="11">
        <v>3.0</v>
      </c>
      <c r="I2690" s="11">
        <v>3.0</v>
      </c>
    </row>
    <row r="2691">
      <c r="A2691" s="10" t="s">
        <v>9088</v>
      </c>
      <c r="B2691" s="49" t="str">
        <f t="shared" si="1"/>
        <v>Theft of Property or Services</v>
      </c>
      <c r="C2691" s="49" t="str">
        <f t="shared" si="2"/>
        <v>Theft of Property or Services; By deception; $100,000 or more</v>
      </c>
      <c r="D2691" s="49" t="str">
        <f t="shared" si="3"/>
        <v>21-5801(a)(2)</v>
      </c>
      <c r="E2691" s="11" t="s">
        <v>133</v>
      </c>
      <c r="F2691" s="11">
        <v>3.0</v>
      </c>
      <c r="G2691" s="11">
        <v>3.0</v>
      </c>
      <c r="H2691" s="11">
        <v>3.0</v>
      </c>
      <c r="I2691" s="11">
        <v>3.0</v>
      </c>
    </row>
    <row r="2692">
      <c r="A2692" s="10" t="s">
        <v>9089</v>
      </c>
      <c r="B2692" s="49" t="str">
        <f t="shared" si="1"/>
        <v>Theft of Property or Services</v>
      </c>
      <c r="C2692" s="49" t="str">
        <f t="shared" si="2"/>
        <v>Theft of Property or Services; By deception; at least $1,500 but less than $25,000</v>
      </c>
      <c r="D2692" s="49" t="str">
        <f t="shared" si="3"/>
        <v>21-5801(a)(2)</v>
      </c>
      <c r="E2692" s="11" t="s">
        <v>133</v>
      </c>
      <c r="F2692" s="11">
        <v>3.0</v>
      </c>
      <c r="G2692" s="11">
        <v>3.0</v>
      </c>
      <c r="H2692" s="11">
        <v>3.0</v>
      </c>
      <c r="I2692" s="11">
        <v>3.0</v>
      </c>
    </row>
    <row r="2693">
      <c r="A2693" s="10" t="s">
        <v>9090</v>
      </c>
      <c r="B2693" s="49" t="str">
        <f t="shared" si="1"/>
        <v>Theft of Property or Services</v>
      </c>
      <c r="C2693" s="49" t="str">
        <f t="shared" si="2"/>
        <v>Theft of Property or Services; By deception; at least $25,000 but less than $100,000</v>
      </c>
      <c r="D2693" s="49" t="str">
        <f t="shared" si="3"/>
        <v>21-5801(a)(2)</v>
      </c>
      <c r="E2693" s="11" t="s">
        <v>133</v>
      </c>
      <c r="F2693" s="11">
        <v>3.0</v>
      </c>
      <c r="G2693" s="11">
        <v>3.0</v>
      </c>
      <c r="H2693" s="11">
        <v>3.0</v>
      </c>
      <c r="I2693" s="11">
        <v>3.0</v>
      </c>
    </row>
    <row r="2694">
      <c r="A2694" s="10" t="s">
        <v>9091</v>
      </c>
      <c r="B2694" s="49" t="str">
        <f t="shared" si="1"/>
        <v>Theft of Property or Services</v>
      </c>
      <c r="C2694" s="49" t="str">
        <f t="shared" si="2"/>
        <v>Theft of Property or Services; By deception; property is a firearm of value less than $25,000</v>
      </c>
      <c r="D2694" s="49" t="str">
        <f t="shared" si="3"/>
        <v>21-5801(a)(2)</v>
      </c>
      <c r="E2694" s="11" t="s">
        <v>133</v>
      </c>
      <c r="F2694" s="11">
        <v>3.0</v>
      </c>
      <c r="G2694" s="11">
        <v>3.0</v>
      </c>
      <c r="H2694" s="11">
        <v>3.0</v>
      </c>
      <c r="I2694" s="11">
        <v>3.0</v>
      </c>
    </row>
    <row r="2695">
      <c r="A2695" s="10" t="s">
        <v>9092</v>
      </c>
      <c r="B2695" s="49" t="str">
        <f t="shared" si="1"/>
        <v>Theft of Property or Services</v>
      </c>
      <c r="C2695" s="49" t="str">
        <f t="shared" si="2"/>
        <v>Theft of Property or Services; By deception; value less than $1,000 and committed by a person who has been convicted of theft 2 or more times</v>
      </c>
      <c r="D2695" s="49" t="str">
        <f t="shared" si="3"/>
        <v>21-5801(a)(2)</v>
      </c>
      <c r="E2695" s="11" t="s">
        <v>133</v>
      </c>
      <c r="F2695" s="11">
        <v>3.0</v>
      </c>
      <c r="G2695" s="11">
        <v>3.0</v>
      </c>
      <c r="H2695" s="11">
        <v>3.0</v>
      </c>
      <c r="I2695" s="11">
        <v>3.0</v>
      </c>
    </row>
    <row r="2696">
      <c r="A2696" s="10" t="s">
        <v>9093</v>
      </c>
      <c r="B2696" s="49" t="str">
        <f t="shared" si="1"/>
        <v>Theft of Property or Services</v>
      </c>
      <c r="C2696" s="49" t="str">
        <f t="shared" si="2"/>
        <v>Theft of Property or Services; By deception; value less than $1,500</v>
      </c>
      <c r="D2696" s="49" t="str">
        <f t="shared" si="3"/>
        <v>21-5801(a)(2)</v>
      </c>
      <c r="E2696" s="11" t="s">
        <v>133</v>
      </c>
      <c r="F2696" s="11">
        <v>3.0</v>
      </c>
      <c r="G2696" s="11">
        <v>3.0</v>
      </c>
      <c r="H2696" s="11">
        <v>3.0</v>
      </c>
      <c r="I2696" s="11">
        <v>3.0</v>
      </c>
    </row>
    <row r="2697">
      <c r="A2697" s="10" t="s">
        <v>9094</v>
      </c>
      <c r="B2697" s="49" t="str">
        <f t="shared" si="1"/>
        <v>Theft of Property or Services</v>
      </c>
      <c r="C2697" s="49" t="str">
        <f t="shared" si="2"/>
        <v>Theft of Property or Services; By deception; value less than $1,500 from 3 separate establishments within 72 hours as part of the same act or transaction, or in 2 or more acts, or transactions constituting a common scheme or course of conduct</v>
      </c>
      <c r="D2697" s="49" t="str">
        <f t="shared" si="3"/>
        <v>21-5801(a)(2)</v>
      </c>
      <c r="E2697" s="11" t="s">
        <v>133</v>
      </c>
      <c r="F2697" s="11">
        <v>3.0</v>
      </c>
      <c r="G2697" s="11">
        <v>3.0</v>
      </c>
      <c r="H2697" s="11">
        <v>3.0</v>
      </c>
      <c r="I2697" s="11">
        <v>3.0</v>
      </c>
    </row>
    <row r="2698">
      <c r="A2698" s="10" t="s">
        <v>9095</v>
      </c>
      <c r="B2698" s="49" t="str">
        <f t="shared" si="1"/>
        <v>Theft of Property or Services</v>
      </c>
      <c r="C2698" s="49" t="str">
        <f t="shared" si="2"/>
        <v>Theft of Property or Services; By threat; $100,000 or more</v>
      </c>
      <c r="D2698" s="49" t="str">
        <f t="shared" si="3"/>
        <v>21-5801(a)(3)</v>
      </c>
      <c r="E2698" s="11" t="s">
        <v>133</v>
      </c>
      <c r="F2698" s="11">
        <v>3.0</v>
      </c>
      <c r="G2698" s="11">
        <v>3.0</v>
      </c>
      <c r="H2698" s="11">
        <v>3.0</v>
      </c>
      <c r="I2698" s="11">
        <v>3.0</v>
      </c>
    </row>
    <row r="2699">
      <c r="A2699" s="10" t="s">
        <v>9096</v>
      </c>
      <c r="B2699" s="49" t="str">
        <f t="shared" si="1"/>
        <v>Theft of Property or Services</v>
      </c>
      <c r="C2699" s="49" t="str">
        <f t="shared" si="2"/>
        <v>Theft of Property or Services; By threat; at least $1,500 but less than $25,000</v>
      </c>
      <c r="D2699" s="49" t="str">
        <f t="shared" si="3"/>
        <v>21-5801(a)(3)</v>
      </c>
      <c r="E2699" s="11" t="s">
        <v>133</v>
      </c>
      <c r="F2699" s="11">
        <v>3.0</v>
      </c>
      <c r="G2699" s="11">
        <v>3.0</v>
      </c>
      <c r="H2699" s="11">
        <v>3.0</v>
      </c>
      <c r="I2699" s="11">
        <v>3.0</v>
      </c>
    </row>
    <row r="2700">
      <c r="A2700" s="10" t="s">
        <v>9097</v>
      </c>
      <c r="B2700" s="49" t="str">
        <f t="shared" si="1"/>
        <v>Theft of Property or Services</v>
      </c>
      <c r="C2700" s="49" t="str">
        <f t="shared" si="2"/>
        <v>Theft of Property or Services; By threat; at least $25,000 but less than $100,000</v>
      </c>
      <c r="D2700" s="49" t="str">
        <f t="shared" si="3"/>
        <v>21-5801(a)(3)</v>
      </c>
      <c r="E2700" s="11" t="s">
        <v>133</v>
      </c>
      <c r="F2700" s="11">
        <v>3.0</v>
      </c>
      <c r="G2700" s="11">
        <v>3.0</v>
      </c>
      <c r="H2700" s="11">
        <v>3.0</v>
      </c>
      <c r="I2700" s="11">
        <v>3.0</v>
      </c>
    </row>
    <row r="2701">
      <c r="A2701" s="10" t="s">
        <v>9098</v>
      </c>
      <c r="B2701" s="49" t="str">
        <f t="shared" si="1"/>
        <v>Theft of Property or Services</v>
      </c>
      <c r="C2701" s="49" t="str">
        <f t="shared" si="2"/>
        <v>Theft of Property or Services; By threat; property is a firearm of value less than $25,000</v>
      </c>
      <c r="D2701" s="49" t="str">
        <f t="shared" si="3"/>
        <v>21-5801(a)(3)</v>
      </c>
      <c r="E2701" s="11" t="s">
        <v>133</v>
      </c>
      <c r="F2701" s="11">
        <v>3.0</v>
      </c>
      <c r="G2701" s="11">
        <v>3.0</v>
      </c>
      <c r="H2701" s="11">
        <v>3.0</v>
      </c>
      <c r="I2701" s="11">
        <v>3.0</v>
      </c>
    </row>
    <row r="2702">
      <c r="A2702" s="10" t="s">
        <v>9099</v>
      </c>
      <c r="B2702" s="49" t="str">
        <f t="shared" si="1"/>
        <v>Theft of Property or Services</v>
      </c>
      <c r="C2702" s="49" t="str">
        <f t="shared" si="2"/>
        <v>Theft of Property or Services; By threat; property of the value of less than $1,500, from 3 separate establishments within 72 hours as part of the same act or transaction or in 2 or more acts, or transactions constituting a common scheme or course of conduct</v>
      </c>
      <c r="D2702" s="49" t="str">
        <f t="shared" si="3"/>
        <v>21-5801(a)(3)</v>
      </c>
      <c r="E2702" s="11" t="s">
        <v>133</v>
      </c>
      <c r="F2702" s="11">
        <v>3.0</v>
      </c>
      <c r="G2702" s="11">
        <v>3.0</v>
      </c>
      <c r="H2702" s="11">
        <v>3.0</v>
      </c>
      <c r="I2702" s="11">
        <v>3.0</v>
      </c>
    </row>
    <row r="2703">
      <c r="A2703" s="10" t="s">
        <v>9100</v>
      </c>
      <c r="B2703" s="49" t="str">
        <f t="shared" si="1"/>
        <v>Theft of Property or Services</v>
      </c>
      <c r="C2703" s="49" t="str">
        <f t="shared" si="2"/>
        <v>Theft of Property or Services; By threat; value less than $1,500</v>
      </c>
      <c r="D2703" s="49" t="str">
        <f t="shared" si="3"/>
        <v>21-5801(a)(3)</v>
      </c>
      <c r="E2703" s="11" t="s">
        <v>133</v>
      </c>
      <c r="F2703" s="11">
        <v>3.0</v>
      </c>
      <c r="G2703" s="11">
        <v>3.0</v>
      </c>
      <c r="H2703" s="11">
        <v>3.0</v>
      </c>
      <c r="I2703" s="11">
        <v>3.0</v>
      </c>
    </row>
    <row r="2704">
      <c r="A2704" s="10" t="s">
        <v>9101</v>
      </c>
      <c r="B2704" s="49" t="str">
        <f t="shared" si="1"/>
        <v>Theft of Property or Services</v>
      </c>
      <c r="C2704" s="49" t="str">
        <f t="shared" si="2"/>
        <v>Theft of Property or Services; By threat; value less than $1,500 and committed by a person who has within five years immediately preceeding commission of the crime, been convicted of theft 2 or more times</v>
      </c>
      <c r="D2704" s="49" t="str">
        <f t="shared" si="3"/>
        <v>21-5801(a)(3)</v>
      </c>
      <c r="E2704" s="11" t="s">
        <v>133</v>
      </c>
      <c r="F2704" s="11">
        <v>3.0</v>
      </c>
      <c r="G2704" s="11">
        <v>3.0</v>
      </c>
      <c r="H2704" s="11">
        <v>3.0</v>
      </c>
      <c r="I2704" s="11">
        <v>3.0</v>
      </c>
    </row>
    <row r="2705">
      <c r="A2705" s="10" t="s">
        <v>9102</v>
      </c>
      <c r="B2705" s="49" t="str">
        <f t="shared" si="1"/>
        <v>Theft of Property or Services</v>
      </c>
      <c r="C2705" s="49" t="str">
        <f t="shared" si="2"/>
        <v>Theft of Property or Services; Knowingly dispensing motor fuel at a retail establishment and leaving without making payment for such fuel; $100,000 or more</v>
      </c>
      <c r="D2705" s="49" t="str">
        <f t="shared" si="3"/>
        <v>21-5801(a)(5)</v>
      </c>
      <c r="E2705" s="11" t="s">
        <v>133</v>
      </c>
      <c r="F2705" s="11">
        <v>3.0</v>
      </c>
      <c r="G2705" s="11">
        <v>3.0</v>
      </c>
      <c r="H2705" s="11">
        <v>3.0</v>
      </c>
      <c r="I2705" s="11">
        <v>3.0</v>
      </c>
    </row>
    <row r="2706">
      <c r="A2706" s="10" t="s">
        <v>9103</v>
      </c>
      <c r="B2706" s="49" t="str">
        <f t="shared" si="1"/>
        <v>Theft of Property or Services</v>
      </c>
      <c r="C2706" s="49" t="str">
        <f t="shared" si="2"/>
        <v>Theft of Property or Services; Knowingly dispensing motor fuel at a retail establishment and leaving without making payment for such fuel; at least $1,500 but less than $25,000</v>
      </c>
      <c r="D2706" s="49" t="str">
        <f t="shared" si="3"/>
        <v>21-5801(a)(5)</v>
      </c>
      <c r="E2706" s="11" t="s">
        <v>133</v>
      </c>
      <c r="F2706" s="11">
        <v>3.0</v>
      </c>
      <c r="G2706" s="11">
        <v>3.0</v>
      </c>
      <c r="H2706" s="11">
        <v>3.0</v>
      </c>
      <c r="I2706" s="11">
        <v>3.0</v>
      </c>
    </row>
    <row r="2707">
      <c r="A2707" s="10" t="s">
        <v>9104</v>
      </c>
      <c r="B2707" s="49" t="str">
        <f t="shared" si="1"/>
        <v>Theft of Property or Services</v>
      </c>
      <c r="C2707" s="49" t="str">
        <f t="shared" si="2"/>
        <v>Theft of Property or Services; Knowingly dispensing motor fuel at a retail establishment and leaving without making payment for such fuel; at least $25,000 but less than $100,000</v>
      </c>
      <c r="D2707" s="49" t="str">
        <f t="shared" si="3"/>
        <v>21-5801(a)(5)</v>
      </c>
      <c r="E2707" s="11" t="s">
        <v>133</v>
      </c>
      <c r="F2707" s="11">
        <v>3.0</v>
      </c>
      <c r="G2707" s="11">
        <v>3.0</v>
      </c>
      <c r="H2707" s="11">
        <v>3.0</v>
      </c>
      <c r="I2707" s="11">
        <v>3.0</v>
      </c>
    </row>
    <row r="2708">
      <c r="A2708" s="10" t="s">
        <v>9105</v>
      </c>
      <c r="B2708" s="49" t="str">
        <f t="shared" si="1"/>
        <v>Theft of Property or Services</v>
      </c>
      <c r="C2708" s="49" t="str">
        <f t="shared" si="2"/>
        <v>Theft of Property or Services; Knowingly dispensing motor fuel at a retail establishment and leaving without making payment for such fuel; value less than $1,500 and committed by a person who has been within five years immediately proceeding comission of the crime, excluding any period of imprisonment, convicted of theft 2 or more times</v>
      </c>
      <c r="D2708" s="49" t="str">
        <f t="shared" si="3"/>
        <v>21-5801(a)(5)</v>
      </c>
      <c r="E2708" s="11" t="s">
        <v>133</v>
      </c>
      <c r="F2708" s="11">
        <v>3.0</v>
      </c>
      <c r="G2708" s="11">
        <v>3.0</v>
      </c>
      <c r="H2708" s="11">
        <v>3.0</v>
      </c>
      <c r="I2708" s="11">
        <v>3.0</v>
      </c>
    </row>
    <row r="2709">
      <c r="A2709" s="10" t="s">
        <v>9106</v>
      </c>
      <c r="B2709" s="49" t="str">
        <f t="shared" si="1"/>
        <v>Theft of Property or Services</v>
      </c>
      <c r="C2709" s="49" t="str">
        <f t="shared" si="2"/>
        <v>Theft of Property or Services; Knowingly dispensing motor fuel at a retail establishment and leaving without making payment for such fuel; value of less than $1,500, from three separate establishments within 72 hours as part of the same act or transaction or in 2 or more acts or transactions constituting a common scheme or course of conduct</v>
      </c>
      <c r="D2709" s="49" t="str">
        <f t="shared" si="3"/>
        <v>21-5801(a)(5)</v>
      </c>
      <c r="E2709" s="11" t="s">
        <v>133</v>
      </c>
      <c r="F2709" s="11">
        <v>3.0</v>
      </c>
      <c r="G2709" s="11">
        <v>3.0</v>
      </c>
      <c r="H2709" s="11">
        <v>3.0</v>
      </c>
      <c r="I2709" s="11">
        <v>3.0</v>
      </c>
    </row>
    <row r="2710">
      <c r="A2710" s="10" t="s">
        <v>9107</v>
      </c>
      <c r="B2710" s="49" t="str">
        <f t="shared" si="1"/>
        <v>Theft of Property or Services</v>
      </c>
      <c r="C2710" s="49" t="str">
        <f t="shared" si="2"/>
        <v>Theft of Property or Services; Obtain or exert unauthorized control; $100,000 or more</v>
      </c>
      <c r="D2710" s="49" t="str">
        <f t="shared" si="3"/>
        <v>21-5801(a)(1)</v>
      </c>
      <c r="E2710" s="11" t="s">
        <v>133</v>
      </c>
      <c r="F2710" s="11">
        <v>3.0</v>
      </c>
      <c r="G2710" s="11">
        <v>3.0</v>
      </c>
      <c r="H2710" s="11">
        <v>3.0</v>
      </c>
      <c r="I2710" s="11">
        <v>3.0</v>
      </c>
    </row>
    <row r="2711">
      <c r="A2711" s="10" t="s">
        <v>9108</v>
      </c>
      <c r="B2711" s="49" t="str">
        <f t="shared" si="1"/>
        <v>Theft of Property or Services</v>
      </c>
      <c r="C2711" s="49" t="str">
        <f t="shared" si="2"/>
        <v>Theft of Property or Services; Obtain or exert unauthorized control; at least $1,500 but less than $25,000</v>
      </c>
      <c r="D2711" s="49" t="str">
        <f t="shared" si="3"/>
        <v>21-5801(a)(1)</v>
      </c>
      <c r="E2711" s="11" t="s">
        <v>133</v>
      </c>
      <c r="F2711" s="11">
        <v>3.0</v>
      </c>
      <c r="G2711" s="11">
        <v>3.0</v>
      </c>
      <c r="H2711" s="11">
        <v>3.0</v>
      </c>
      <c r="I2711" s="11">
        <v>3.0</v>
      </c>
    </row>
    <row r="2712">
      <c r="A2712" s="10" t="s">
        <v>9109</v>
      </c>
      <c r="B2712" s="49" t="str">
        <f t="shared" si="1"/>
        <v>Theft of Property or Services</v>
      </c>
      <c r="C2712" s="49" t="str">
        <f t="shared" si="2"/>
        <v>Theft of Property or Services; Obtain or exert unauthorized control; at least $25,000 but less than $100,000</v>
      </c>
      <c r="D2712" s="49" t="str">
        <f t="shared" si="3"/>
        <v>21-5801(a)(1)</v>
      </c>
      <c r="E2712" s="11" t="s">
        <v>133</v>
      </c>
      <c r="F2712" s="11">
        <v>3.0</v>
      </c>
      <c r="G2712" s="11">
        <v>3.0</v>
      </c>
      <c r="H2712" s="11">
        <v>3.0</v>
      </c>
      <c r="I2712" s="11">
        <v>3.0</v>
      </c>
    </row>
    <row r="2713">
      <c r="A2713" s="10" t="s">
        <v>9110</v>
      </c>
      <c r="B2713" s="49" t="str">
        <f t="shared" si="1"/>
        <v>Theft of Property or Services</v>
      </c>
      <c r="C2713" s="49" t="str">
        <f t="shared" si="2"/>
        <v>Theft of Property or Services; Obtain or exert unauthorized control; property is a firearm of value less than $25,000</v>
      </c>
      <c r="D2713" s="49" t="str">
        <f t="shared" si="3"/>
        <v>21-5801(a)(1)</v>
      </c>
      <c r="E2713" s="11" t="s">
        <v>133</v>
      </c>
      <c r="F2713" s="11">
        <v>3.0</v>
      </c>
      <c r="G2713" s="11">
        <v>3.0</v>
      </c>
      <c r="H2713" s="11">
        <v>3.0</v>
      </c>
      <c r="I2713" s="11">
        <v>3.0</v>
      </c>
    </row>
    <row r="2714">
      <c r="A2714" s="10" t="s">
        <v>9111</v>
      </c>
      <c r="B2714" s="49" t="str">
        <f t="shared" si="1"/>
        <v>Theft of Property or Services</v>
      </c>
      <c r="C2714" s="49" t="str">
        <f t="shared" si="2"/>
        <v>Theft of Property or Services; Obtain or exert unauthorized control; value less than $1,500</v>
      </c>
      <c r="D2714" s="49" t="str">
        <f t="shared" si="3"/>
        <v>21-5801(a)(1)</v>
      </c>
      <c r="E2714" s="11" t="s">
        <v>133</v>
      </c>
      <c r="F2714" s="11">
        <v>3.0</v>
      </c>
      <c r="G2714" s="11">
        <v>3.0</v>
      </c>
      <c r="H2714" s="11">
        <v>3.0</v>
      </c>
      <c r="I2714" s="11">
        <v>3.0</v>
      </c>
    </row>
    <row r="2715">
      <c r="A2715" s="10" t="s">
        <v>9112</v>
      </c>
      <c r="B2715" s="49" t="str">
        <f t="shared" si="1"/>
        <v>Theft of Property or Services</v>
      </c>
      <c r="C2715" s="49" t="str">
        <f t="shared" si="2"/>
        <v>Theft of Property or Services; Obtain or exert unauthorized control; value less than $1,500 and committed by a person who has within five years immediately preceding commission of the crime; excluding any period of imprisonment, been convicted of theft 2 or more times</v>
      </c>
      <c r="D2715" s="49" t="str">
        <f t="shared" si="3"/>
        <v>21-5801(a)(1)</v>
      </c>
      <c r="E2715" s="11" t="s">
        <v>133</v>
      </c>
      <c r="F2715" s="11">
        <v>3.0</v>
      </c>
      <c r="G2715" s="11">
        <v>3.0</v>
      </c>
      <c r="H2715" s="11">
        <v>3.0</v>
      </c>
      <c r="I2715" s="11">
        <v>3.0</v>
      </c>
    </row>
    <row r="2716">
      <c r="A2716" s="10" t="s">
        <v>9113</v>
      </c>
      <c r="B2716" s="49" t="str">
        <f t="shared" si="1"/>
        <v>Theft of Property or Services</v>
      </c>
      <c r="C2716" s="49" t="str">
        <f t="shared" si="2"/>
        <v>Theft of Property or Services; Obtain or exert unauthorized control; value less than $1,500, from 3 establishments within 72 hours as part of the same act or transaction or, in 2 or more acts or transactions, constituting a common scheme or course of conduct</v>
      </c>
      <c r="D2716" s="49" t="str">
        <f t="shared" si="3"/>
        <v>21-5801(a)(1)</v>
      </c>
      <c r="E2716" s="11" t="s">
        <v>133</v>
      </c>
      <c r="F2716" s="11">
        <v>3.0</v>
      </c>
      <c r="G2716" s="11">
        <v>3.0</v>
      </c>
      <c r="H2716" s="11">
        <v>3.0</v>
      </c>
      <c r="I2716" s="11">
        <v>3.0</v>
      </c>
    </row>
    <row r="2717">
      <c r="A2717" s="10" t="s">
        <v>9114</v>
      </c>
      <c r="B2717" s="49" t="str">
        <f t="shared" si="1"/>
        <v>Theft of Property or Services</v>
      </c>
      <c r="C2717" s="49" t="str">
        <f t="shared" si="2"/>
        <v>Theft of Property or Services; Of motor fuel; value less than $1,500</v>
      </c>
      <c r="D2717" s="49" t="str">
        <f t="shared" si="3"/>
        <v>21-5801(a)(5)</v>
      </c>
      <c r="E2717" s="11" t="s">
        <v>133</v>
      </c>
      <c r="F2717" s="11">
        <v>3.0</v>
      </c>
      <c r="G2717" s="11">
        <v>3.0</v>
      </c>
      <c r="H2717" s="11">
        <v>3.0</v>
      </c>
      <c r="I2717" s="11">
        <v>3.0</v>
      </c>
    </row>
    <row r="2718">
      <c r="A2718" s="10" t="s">
        <v>9115</v>
      </c>
      <c r="B2718" s="49" t="str">
        <f t="shared" si="1"/>
        <v>Theft of Property or Services</v>
      </c>
      <c r="C2718" s="49" t="str">
        <f t="shared" si="2"/>
        <v>Theft of Property or Services; Possession of stolen property or services; value less than $1,500</v>
      </c>
      <c r="D2718" s="49" t="str">
        <f t="shared" si="3"/>
        <v>21-5801(a)(4)</v>
      </c>
      <c r="E2718" s="11" t="s">
        <v>133</v>
      </c>
      <c r="F2718" s="11">
        <v>3.0</v>
      </c>
      <c r="G2718" s="11">
        <v>3.0</v>
      </c>
      <c r="H2718" s="11">
        <v>3.0</v>
      </c>
      <c r="I2718" s="11">
        <v>3.0</v>
      </c>
    </row>
    <row r="2719">
      <c r="A2719" s="10" t="s">
        <v>9116</v>
      </c>
      <c r="B2719" s="49" t="str">
        <f t="shared" si="1"/>
        <v>Theft of Property or Services</v>
      </c>
      <c r="C2719" s="49" t="str">
        <f t="shared" si="2"/>
        <v>Theft of Property or Services; Stolen property; knowing the property to have been stolen by another; $100,000 or more</v>
      </c>
      <c r="D2719" s="49" t="str">
        <f t="shared" si="3"/>
        <v>21-5801(a)(4)</v>
      </c>
      <c r="E2719" s="11" t="s">
        <v>133</v>
      </c>
      <c r="F2719" s="11">
        <v>3.0</v>
      </c>
      <c r="G2719" s="11">
        <v>3.0</v>
      </c>
      <c r="H2719" s="11">
        <v>3.0</v>
      </c>
      <c r="I2719" s="11">
        <v>3.0</v>
      </c>
    </row>
    <row r="2720">
      <c r="A2720" s="10" t="s">
        <v>9117</v>
      </c>
      <c r="B2720" s="49" t="str">
        <f t="shared" si="1"/>
        <v>Theft of Property or Services</v>
      </c>
      <c r="C2720" s="49" t="str">
        <f t="shared" si="2"/>
        <v>Theft of Property or Services; Stolen property; knowing the property to have been stolen by another; at least $1,500 but less than $25,000</v>
      </c>
      <c r="D2720" s="49" t="str">
        <f t="shared" si="3"/>
        <v>21-5801(a)(4)</v>
      </c>
      <c r="E2720" s="11" t="s">
        <v>133</v>
      </c>
      <c r="F2720" s="11">
        <v>3.0</v>
      </c>
      <c r="G2720" s="11">
        <v>3.0</v>
      </c>
      <c r="H2720" s="11">
        <v>3.0</v>
      </c>
      <c r="I2720" s="11">
        <v>3.0</v>
      </c>
    </row>
    <row r="2721">
      <c r="A2721" s="10" t="s">
        <v>9118</v>
      </c>
      <c r="B2721" s="49" t="str">
        <f t="shared" si="1"/>
        <v>Theft of Property or Services</v>
      </c>
      <c r="C2721" s="49" t="str">
        <f t="shared" si="2"/>
        <v>Theft of Property or Services; Stolen property; knowing the property to have been stolen by another; at least $25,000 but less than $100,000</v>
      </c>
      <c r="D2721" s="49" t="str">
        <f t="shared" si="3"/>
        <v>21-5801(a)(4)</v>
      </c>
      <c r="E2721" s="11" t="s">
        <v>133</v>
      </c>
      <c r="F2721" s="11">
        <v>3.0</v>
      </c>
      <c r="G2721" s="11">
        <v>3.0</v>
      </c>
      <c r="H2721" s="11">
        <v>3.0</v>
      </c>
      <c r="I2721" s="11">
        <v>3.0</v>
      </c>
    </row>
    <row r="2722">
      <c r="A2722" s="10" t="s">
        <v>9119</v>
      </c>
      <c r="B2722" s="49" t="str">
        <f t="shared" si="1"/>
        <v>Theft of Property or Services</v>
      </c>
      <c r="C2722" s="49" t="str">
        <f t="shared" si="2"/>
        <v>Theft of Property or Services; Stolen property; knowing the property to have been stolen by another; property is a firearm of value less than $25,000</v>
      </c>
      <c r="D2722" s="49" t="str">
        <f t="shared" si="3"/>
        <v>21-5801(a)(4)</v>
      </c>
      <c r="E2722" s="11" t="s">
        <v>133</v>
      </c>
      <c r="F2722" s="11">
        <v>3.0</v>
      </c>
      <c r="G2722" s="11">
        <v>3.0</v>
      </c>
      <c r="H2722" s="11">
        <v>3.0</v>
      </c>
      <c r="I2722" s="11">
        <v>3.0</v>
      </c>
    </row>
    <row r="2723">
      <c r="A2723" s="10" t="s">
        <v>9120</v>
      </c>
      <c r="B2723" s="49" t="str">
        <f t="shared" si="1"/>
        <v>Theft of Property or Services</v>
      </c>
      <c r="C2723" s="49" t="str">
        <f t="shared" si="2"/>
        <v>Theft of Property or Services; Stolen property; knowing the property to have been stolen by another; property of the value of less than $1,500, from 3 separate establishments within 72 hours as part of the same act or transaction or in 2 or more acts or transactions constituting a common scheme or course of conduct</v>
      </c>
      <c r="D2723" s="49" t="str">
        <f t="shared" si="3"/>
        <v>21-5801(a)(4)</v>
      </c>
      <c r="E2723" s="11" t="s">
        <v>133</v>
      </c>
      <c r="F2723" s="11">
        <v>3.0</v>
      </c>
      <c r="G2723" s="11">
        <v>3.0</v>
      </c>
      <c r="H2723" s="11">
        <v>3.0</v>
      </c>
      <c r="I2723" s="11">
        <v>3.0</v>
      </c>
    </row>
    <row r="2724">
      <c r="A2724" s="10" t="s">
        <v>9121</v>
      </c>
      <c r="B2724" s="49" t="str">
        <f t="shared" si="1"/>
        <v>Theft of Property or Services</v>
      </c>
      <c r="C2724" s="49" t="str">
        <f t="shared" si="2"/>
        <v>Theft of Property or Services; Stolen property; knowing the property to have been stolen by another; value less than $1,500 and committed by a person who has within five years immediately proceeding commission of the crime, excluding any period of imprisonment, been convicted of theft 2 or more times</v>
      </c>
      <c r="D2724" s="49" t="str">
        <f t="shared" si="3"/>
        <v>21-5801(a)(4)</v>
      </c>
      <c r="E2724" s="11" t="s">
        <v>133</v>
      </c>
      <c r="F2724" s="11">
        <v>3.0</v>
      </c>
      <c r="G2724" s="11">
        <v>3.0</v>
      </c>
      <c r="H2724" s="11">
        <v>3.0</v>
      </c>
      <c r="I2724" s="11">
        <v>3.0</v>
      </c>
    </row>
    <row r="2725">
      <c r="A2725" s="10" t="s">
        <v>9122</v>
      </c>
      <c r="B2725" s="49" t="str">
        <f t="shared" si="1"/>
        <v>Throwing or Casting Rocks</v>
      </c>
      <c r="C2725" s="49" t="str">
        <f t="shared" si="2"/>
        <v>Throwing or Casting Rocks; Recklessly throw/push/pitch or cast any rock, stone or other objects onto street, road, highway or railroad right-of-way or  upon any vehicle, train or any other conveyance thereon causing damage to vehicle or train or other conveyance</v>
      </c>
      <c r="D2725" s="49" t="str">
        <f t="shared" si="3"/>
        <v>21-5819(a)(2)</v>
      </c>
      <c r="E2725" s="11" t="s">
        <v>133</v>
      </c>
      <c r="F2725" s="11">
        <v>3.0</v>
      </c>
      <c r="G2725" s="11">
        <v>3.0</v>
      </c>
      <c r="H2725" s="11">
        <v>3.0</v>
      </c>
      <c r="I2725" s="11">
        <v>3.0</v>
      </c>
    </row>
    <row r="2726">
      <c r="A2726" s="10" t="s">
        <v>9123</v>
      </c>
      <c r="B2726" s="49" t="str">
        <f t="shared" si="1"/>
        <v>Throwing or Casting Rocks</v>
      </c>
      <c r="C2726" s="49" t="str">
        <f t="shared" si="2"/>
        <v>Throwing or Casting Rocks; Recklessly throw/push/pitch or cast any rock, stone or other objects onto street, road, highway or railroad right-of-way or  upon any vehicle, train or any other conveyance thereon- no damage results</v>
      </c>
      <c r="D2726" s="49" t="str">
        <f t="shared" si="3"/>
        <v>21-5819(a)(1)</v>
      </c>
      <c r="E2726" s="11" t="s">
        <v>133</v>
      </c>
      <c r="F2726" s="11">
        <v>3.0</v>
      </c>
      <c r="G2726" s="11">
        <v>3.0</v>
      </c>
      <c r="H2726" s="11">
        <v>3.0</v>
      </c>
      <c r="I2726" s="11">
        <v>3.0</v>
      </c>
    </row>
    <row r="2727">
      <c r="A2727" s="10" t="s">
        <v>9124</v>
      </c>
      <c r="B2727" s="49" t="str">
        <f t="shared" si="1"/>
        <v>Throwing or Casting Rocks</v>
      </c>
      <c r="C2727" s="49" t="str">
        <f t="shared" si="2"/>
        <v>Throwing or Casting Rocks; Recklessly throw/push/pitch/or cast any rock, stone or other objects onto street, road, highway or railroad right-of-way or upon any vehicle, train or any other conveyance thereon; causing injury to another person upon such street, road, highway or railroad right-of-way</v>
      </c>
      <c r="D2727" s="49" t="str">
        <f t="shared" si="3"/>
        <v>21-5819(a)(3)</v>
      </c>
      <c r="E2727" s="11" t="s">
        <v>133</v>
      </c>
      <c r="F2727" s="11">
        <v>3.0</v>
      </c>
      <c r="G2727" s="11">
        <v>3.0</v>
      </c>
      <c r="H2727" s="11">
        <v>3.0</v>
      </c>
      <c r="I2727" s="11">
        <v>3.0</v>
      </c>
    </row>
    <row r="2728">
      <c r="A2728" s="10" t="s">
        <v>9125</v>
      </c>
      <c r="B2728" s="49" t="str">
        <f t="shared" si="1"/>
        <v>Throwing or Casting Rocks</v>
      </c>
      <c r="C2728" s="49" t="str">
        <f t="shared" si="2"/>
        <v>Throwing or Casting Rocks; Recklessly throw/push/pitch/or cast any rock, stone or other objects onto street, road, highway or railroad right-of-way or upon any vehicle, train or any other conveyance thereon; damaging a vehicle/train or other conveyance thereon and injuring a person as a result of the cast or thrown object or as a result of damage to the vehicle in which a person was a passenger when struck by such object</v>
      </c>
      <c r="D2728" s="49" t="str">
        <f t="shared" si="3"/>
        <v>21-5819(a)(4)</v>
      </c>
      <c r="E2728" s="11" t="s">
        <v>133</v>
      </c>
      <c r="F2728" s="11">
        <v>3.0</v>
      </c>
      <c r="G2728" s="11">
        <v>3.0</v>
      </c>
      <c r="H2728" s="11">
        <v>3.0</v>
      </c>
      <c r="I2728" s="11">
        <v>3.0</v>
      </c>
    </row>
    <row r="2729">
      <c r="A2729" s="10" t="s">
        <v>9126</v>
      </c>
      <c r="B2729" s="49" t="str">
        <f t="shared" si="1"/>
        <v>Townships &amp; Township Officers</v>
      </c>
      <c r="C2729" s="49" t="str">
        <f t="shared" si="2"/>
        <v>Townships &amp; Township Officers; Penalty for failure of treasurer or trustee to make statement or to perform duty</v>
      </c>
      <c r="D2729" s="49" t="str">
        <f t="shared" si="3"/>
        <v>80-408</v>
      </c>
      <c r="E2729" s="11" t="s">
        <v>133</v>
      </c>
      <c r="F2729" s="11">
        <v>3.0</v>
      </c>
      <c r="G2729" s="11">
        <v>3.0</v>
      </c>
      <c r="H2729" s="11">
        <v>3.0</v>
      </c>
      <c r="I2729" s="11">
        <v>3.0</v>
      </c>
    </row>
    <row r="2730">
      <c r="A2730" s="10" t="s">
        <v>9127</v>
      </c>
      <c r="B2730" s="49" t="str">
        <f t="shared" si="1"/>
        <v>Townships &amp; Township Officers</v>
      </c>
      <c r="C2730" s="49" t="str">
        <f t="shared" si="2"/>
        <v>Townships &amp; Township Officers; Penalty for taking down or destroying statement</v>
      </c>
      <c r="D2730" s="49" t="str">
        <f t="shared" si="3"/>
        <v>80-409</v>
      </c>
      <c r="E2730" s="11" t="s">
        <v>133</v>
      </c>
      <c r="F2730" s="11">
        <v>3.0</v>
      </c>
      <c r="G2730" s="11">
        <v>3.0</v>
      </c>
      <c r="H2730" s="11">
        <v>3.0</v>
      </c>
      <c r="I2730" s="11">
        <v>3.0</v>
      </c>
    </row>
    <row r="2731">
      <c r="A2731" s="10" t="s">
        <v>9128</v>
      </c>
      <c r="B2731" s="49" t="str">
        <f t="shared" si="1"/>
        <v>Townships &amp; Township Officers</v>
      </c>
      <c r="C2731" s="49" t="str">
        <f t="shared" si="2"/>
        <v>Townships &amp; Township Officers; Penalty for violation of act</v>
      </c>
      <c r="D2731" s="49" t="str">
        <f t="shared" si="3"/>
        <v>80-411</v>
      </c>
      <c r="E2731" s="11" t="s">
        <v>133</v>
      </c>
      <c r="F2731" s="11">
        <v>3.0</v>
      </c>
      <c r="G2731" s="11">
        <v>3.0</v>
      </c>
      <c r="H2731" s="11">
        <v>3.0</v>
      </c>
      <c r="I2731" s="11">
        <v>3.0</v>
      </c>
    </row>
    <row r="2732">
      <c r="A2732" s="10" t="s">
        <v>9129</v>
      </c>
      <c r="B2732" s="49" t="str">
        <f t="shared" si="1"/>
        <v>Townships &amp; Township Officers</v>
      </c>
      <c r="C2732" s="49" t="str">
        <f t="shared" si="2"/>
        <v>Townships &amp; Township Officers; Prairie Dogs, Moles &amp; Gophers; penalty for trustee or board of county commissioners failure to perform duties</v>
      </c>
      <c r="D2732" s="49" t="str">
        <f t="shared" si="3"/>
        <v>80-1208</v>
      </c>
      <c r="E2732" s="11" t="s">
        <v>133</v>
      </c>
      <c r="F2732" s="11">
        <v>3.0</v>
      </c>
      <c r="G2732" s="11">
        <v>3.0</v>
      </c>
      <c r="H2732" s="11">
        <v>3.0</v>
      </c>
      <c r="I2732" s="11">
        <v>3.0</v>
      </c>
    </row>
    <row r="2733">
      <c r="A2733" s="10" t="s">
        <v>9130</v>
      </c>
      <c r="B2733" s="49" t="str">
        <f t="shared" si="1"/>
        <v>Trading Stamps</v>
      </c>
      <c r="C2733" s="49" t="str">
        <f t="shared" si="2"/>
        <v>Trading Stamps; Redeeming for cash prohibited</v>
      </c>
      <c r="D2733" s="49" t="str">
        <f t="shared" si="3"/>
        <v>21-2802</v>
      </c>
      <c r="E2733" s="11" t="s">
        <v>133</v>
      </c>
      <c r="F2733" s="11">
        <v>3.0</v>
      </c>
      <c r="G2733" s="11">
        <v>3.0</v>
      </c>
      <c r="H2733" s="11">
        <v>3.0</v>
      </c>
      <c r="I2733" s="11">
        <v>3.0</v>
      </c>
    </row>
    <row r="2734">
      <c r="A2734" s="10" t="s">
        <v>9131</v>
      </c>
      <c r="B2734" s="49" t="str">
        <f t="shared" si="1"/>
        <v>Trading Stamps</v>
      </c>
      <c r="C2734" s="49" t="str">
        <f t="shared" si="2"/>
        <v>Trading Stamps; Redeeming for merchandise prohibited</v>
      </c>
      <c r="D2734" s="49" t="str">
        <f t="shared" si="3"/>
        <v>21-2801</v>
      </c>
      <c r="E2734" s="11" t="s">
        <v>133</v>
      </c>
      <c r="F2734" s="11">
        <v>3.0</v>
      </c>
      <c r="G2734" s="11">
        <v>3.0</v>
      </c>
      <c r="H2734" s="11">
        <v>3.0</v>
      </c>
      <c r="I2734" s="11">
        <v>3.0</v>
      </c>
    </row>
    <row r="2735">
      <c r="A2735" s="10" t="s">
        <v>9132</v>
      </c>
      <c r="B2735" s="49" t="str">
        <f t="shared" si="1"/>
        <v>Traffic Control Signal Preemption Device</v>
      </c>
      <c r="C2735" s="49" t="str">
        <f t="shared" si="2"/>
        <v>Traffic Control Signal Preemption Device; Knowing and unauthorized purchase of device</v>
      </c>
      <c r="D2735" s="49" t="str">
        <f t="shared" si="3"/>
        <v>21-6324(a)(4)</v>
      </c>
      <c r="E2735" s="11" t="s">
        <v>133</v>
      </c>
      <c r="F2735" s="11">
        <v>3.0</v>
      </c>
      <c r="G2735" s="11">
        <v>3.0</v>
      </c>
      <c r="H2735" s="11">
        <v>3.0</v>
      </c>
      <c r="I2735" s="11">
        <v>3.0</v>
      </c>
    </row>
    <row r="2736">
      <c r="A2736" s="10" t="s">
        <v>9133</v>
      </c>
      <c r="B2736" s="49" t="str">
        <f t="shared" si="1"/>
        <v>Traffic Control Signal Preemption Device</v>
      </c>
      <c r="C2736" s="49" t="str">
        <f t="shared" si="2"/>
        <v>Traffic Control Signal Preemption Device; Knowing and unauthorized sale of device</v>
      </c>
      <c r="D2736" s="49" t="str">
        <f t="shared" si="3"/>
        <v>21-6324(a)(3)</v>
      </c>
      <c r="E2736" s="11" t="s">
        <v>133</v>
      </c>
      <c r="F2736" s="11">
        <v>3.0</v>
      </c>
      <c r="G2736" s="11">
        <v>3.0</v>
      </c>
      <c r="H2736" s="11">
        <v>3.0</v>
      </c>
      <c r="I2736" s="11">
        <v>3.0</v>
      </c>
    </row>
    <row r="2737">
      <c r="A2737" s="10" t="s">
        <v>9134</v>
      </c>
      <c r="B2737" s="49" t="str">
        <f t="shared" si="1"/>
        <v>Traffic Control Signal Preemption Device</v>
      </c>
      <c r="C2737" s="49" t="str">
        <f t="shared" si="2"/>
        <v>Traffic Control Signal Preemption Device; Knowing and unauthorized use of device</v>
      </c>
      <c r="D2737" s="49" t="str">
        <f t="shared" si="3"/>
        <v>21-6324(a)(2)</v>
      </c>
      <c r="E2737" s="11" t="s">
        <v>133</v>
      </c>
      <c r="F2737" s="11">
        <v>3.0</v>
      </c>
      <c r="G2737" s="11">
        <v>3.0</v>
      </c>
      <c r="H2737" s="11">
        <v>3.0</v>
      </c>
      <c r="I2737" s="11">
        <v>3.0</v>
      </c>
    </row>
    <row r="2738">
      <c r="A2738" s="10" t="s">
        <v>9135</v>
      </c>
      <c r="B2738" s="49" t="str">
        <f t="shared" si="1"/>
        <v>Traffic Control Signal Preemption Device</v>
      </c>
      <c r="C2738" s="49" t="str">
        <f t="shared" si="2"/>
        <v>Traffic Control Signal Preemption Device; Knowing and unauthorized use of device; resulting in traffic accident causing death</v>
      </c>
      <c r="D2738" s="49" t="str">
        <f t="shared" si="3"/>
        <v>21-6324(a)(2)</v>
      </c>
      <c r="E2738" s="11" t="s">
        <v>133</v>
      </c>
      <c r="F2738" s="11">
        <v>3.0</v>
      </c>
      <c r="G2738" s="11">
        <v>3.0</v>
      </c>
      <c r="H2738" s="11">
        <v>3.0</v>
      </c>
      <c r="I2738" s="11">
        <v>3.0</v>
      </c>
    </row>
    <row r="2739">
      <c r="A2739" s="10" t="s">
        <v>9136</v>
      </c>
      <c r="B2739" s="49" t="str">
        <f t="shared" si="1"/>
        <v>Traffic Control Signal Preemption Device</v>
      </c>
      <c r="C2739" s="49" t="str">
        <f t="shared" si="2"/>
        <v>Traffic Control Signal Preemption Device; Knowing and unauthorized use of device; resulting in traffic accident causing injury to any person or damage to any vehicle or other property</v>
      </c>
      <c r="D2739" s="49" t="str">
        <f t="shared" si="3"/>
        <v>21-6324(a)(2)</v>
      </c>
      <c r="E2739" s="11" t="s">
        <v>133</v>
      </c>
      <c r="F2739" s="11">
        <v>3.0</v>
      </c>
      <c r="G2739" s="11">
        <v>3.0</v>
      </c>
      <c r="H2739" s="11">
        <v>3.0</v>
      </c>
      <c r="I2739" s="11">
        <v>3.0</v>
      </c>
    </row>
    <row r="2740">
      <c r="A2740" s="10" t="s">
        <v>9137</v>
      </c>
      <c r="B2740" s="49" t="str">
        <f t="shared" si="1"/>
        <v>Trafficking in Contraband in Correctional Institution or Care and Treatment Facility</v>
      </c>
      <c r="C2740" s="49" t="str">
        <f t="shared" si="2"/>
        <v>Trafficking in Contraband in Correctional Institution or Care and Treatment Facility; Distribute any firearm, ammunition, explosive or controlled substance within any correctional institution or care and treatment facility</v>
      </c>
      <c r="D2740" s="49" t="str">
        <f t="shared" si="3"/>
        <v>21-5914(a)(4)</v>
      </c>
      <c r="E2740" s="11" t="s">
        <v>133</v>
      </c>
      <c r="F2740" s="11">
        <v>3.0</v>
      </c>
      <c r="G2740" s="11">
        <v>3.0</v>
      </c>
      <c r="H2740" s="11">
        <v>3.0</v>
      </c>
      <c r="I2740" s="11">
        <v>3.0</v>
      </c>
    </row>
    <row r="2741">
      <c r="A2741" s="10" t="s">
        <v>9138</v>
      </c>
      <c r="B2741" s="49" t="str">
        <f t="shared" si="1"/>
        <v>Trafficking in Contraband in Correctional Institution or Care and Treatment Facility</v>
      </c>
      <c r="C2741" s="49" t="str">
        <f t="shared" si="2"/>
        <v>Trafficking in Contraband in Correctional Institution or Care and Treatment Facility; Distribute any firearm, ammunition, explosive or controlled substance within any correctional institution or care and treatment facility; if done by employee of such institution or facility</v>
      </c>
      <c r="D2741" s="49" t="str">
        <f t="shared" si="3"/>
        <v>21-5914(a)(4)</v>
      </c>
      <c r="E2741" s="11" t="s">
        <v>133</v>
      </c>
      <c r="F2741" s="11">
        <v>3.0</v>
      </c>
      <c r="G2741" s="11">
        <v>3.0</v>
      </c>
      <c r="H2741" s="11">
        <v>3.0</v>
      </c>
      <c r="I2741" s="11">
        <v>3.0</v>
      </c>
    </row>
    <row r="2742">
      <c r="A2742" s="10" t="s">
        <v>9139</v>
      </c>
      <c r="B2742" s="49" t="str">
        <f t="shared" si="1"/>
        <v>Trafficking in Contraband in Correctional Institution or Care and Treatment Facility</v>
      </c>
      <c r="C2742" s="49" t="str">
        <f t="shared" si="2"/>
        <v>Trafficking in Contraband in Correctional Institution or Care and Treatment Facility; Distribute any item defined as contraband by commissioner of juvenile justice authority within any juvenile correctional facility; if done by employee of such facility</v>
      </c>
      <c r="D2742" s="49" t="str">
        <f t="shared" si="3"/>
        <v>21-5914(a)(4)</v>
      </c>
      <c r="E2742" s="11" t="s">
        <v>133</v>
      </c>
      <c r="F2742" s="11">
        <v>3.0</v>
      </c>
      <c r="G2742" s="11">
        <v>3.0</v>
      </c>
      <c r="H2742" s="11">
        <v>3.0</v>
      </c>
      <c r="I2742" s="11">
        <v>3.0</v>
      </c>
    </row>
    <row r="2743">
      <c r="A2743" s="10" t="s">
        <v>9140</v>
      </c>
      <c r="B2743" s="49" t="str">
        <f t="shared" si="1"/>
        <v>Trafficking in Contraband in Correctional Institution or Care and Treatment Facility</v>
      </c>
      <c r="C2743" s="49" t="str">
        <f t="shared" si="2"/>
        <v>Trafficking in Contraband in Correctional Institution or Care and Treatment Facility; Distribute any item defined as contraband by secretary of corrections within any state correctional institution or facility; if done by employee such institution or facility</v>
      </c>
      <c r="D2743" s="49" t="str">
        <f t="shared" si="3"/>
        <v>21-5914(a)(4)</v>
      </c>
      <c r="E2743" s="11" t="s">
        <v>133</v>
      </c>
      <c r="F2743" s="11">
        <v>3.0</v>
      </c>
      <c r="G2743" s="11">
        <v>3.0</v>
      </c>
      <c r="H2743" s="11">
        <v>3.0</v>
      </c>
      <c r="I2743" s="11">
        <v>3.0</v>
      </c>
    </row>
    <row r="2744">
      <c r="A2744" s="10" t="s">
        <v>9141</v>
      </c>
      <c r="B2744" s="49" t="str">
        <f t="shared" si="1"/>
        <v>Trafficking in Contraband in Correctional Institution or Care and Treatment Facility</v>
      </c>
      <c r="C2744" s="49" t="str">
        <f t="shared" si="2"/>
        <v>Trafficking in Contraband in Correctional Institution or Care and Treatment Facility; Distribute any item defined as contraband by secretary of SRS within any care and treatment facility; if done by employee of such facility</v>
      </c>
      <c r="D2744" s="49" t="str">
        <f t="shared" si="3"/>
        <v>21-5914(a)(4)</v>
      </c>
      <c r="E2744" s="11" t="s">
        <v>133</v>
      </c>
      <c r="F2744" s="11">
        <v>3.0</v>
      </c>
      <c r="G2744" s="11">
        <v>3.0</v>
      </c>
      <c r="H2744" s="11">
        <v>3.0</v>
      </c>
      <c r="I2744" s="11">
        <v>3.0</v>
      </c>
    </row>
    <row r="2745">
      <c r="A2745" s="10" t="s">
        <v>9142</v>
      </c>
      <c r="B2745" s="49" t="str">
        <f t="shared" si="1"/>
        <v>Trafficking in Contraband in Correctional Institution or Care and Treatment Facility</v>
      </c>
      <c r="C2745" s="49" t="str">
        <f t="shared" si="2"/>
        <v>Trafficking in Contraband in Correctional Institution or Care and Treatment Facility; Distribute any item within any correctional institution or care and treatment facility</v>
      </c>
      <c r="D2745" s="49" t="str">
        <f t="shared" si="3"/>
        <v>21-5914(a)(4)</v>
      </c>
      <c r="E2745" s="11" t="s">
        <v>133</v>
      </c>
      <c r="F2745" s="11">
        <v>3.0</v>
      </c>
      <c r="G2745" s="11">
        <v>3.0</v>
      </c>
      <c r="H2745" s="11">
        <v>3.0</v>
      </c>
      <c r="I2745" s="11">
        <v>3.0</v>
      </c>
    </row>
    <row r="2746">
      <c r="A2746" s="10" t="s">
        <v>9143</v>
      </c>
      <c r="B2746" s="49" t="str">
        <f t="shared" si="1"/>
        <v>Trafficking in Contraband in Correctional Institution or Care and Treatment Facility</v>
      </c>
      <c r="C2746" s="49" t="str">
        <f t="shared" si="2"/>
        <v>Trafficking in Contraband in Correctional Institution or Care and Treatment Facility; Introduce into an institution in which a person is confined any object or thing adapted or designed for use in making an escape</v>
      </c>
      <c r="D2746" s="49" t="str">
        <f t="shared" si="3"/>
        <v>21-5914(a)(6)</v>
      </c>
      <c r="E2746" s="11" t="s">
        <v>133</v>
      </c>
      <c r="F2746" s="11">
        <v>3.0</v>
      </c>
      <c r="G2746" s="11">
        <v>3.0</v>
      </c>
      <c r="H2746" s="11">
        <v>3.0</v>
      </c>
      <c r="I2746" s="11">
        <v>3.0</v>
      </c>
    </row>
    <row r="2747">
      <c r="A2747" s="10" t="s">
        <v>9144</v>
      </c>
      <c r="B2747" s="49" t="str">
        <f t="shared" si="1"/>
        <v>Trafficking in Contraband in Correctional Institution or Care and Treatment Facility</v>
      </c>
      <c r="C2747" s="49" t="str">
        <f t="shared" si="2"/>
        <v>Trafficking in Contraband in Correctional Institution or Care and Treatment Facility; Introduce into an institution in which a person is confined any object or thing adapted or designed for use in making an escape; If introduced by employee or volunteer of the department of corrections, or employee or volunteer of a contractor under contract to provide services to the department of corrections</v>
      </c>
      <c r="D2747" s="49" t="str">
        <f t="shared" si="3"/>
        <v>21-5914(a)(6)</v>
      </c>
      <c r="E2747" s="11" t="s">
        <v>133</v>
      </c>
      <c r="F2747" s="11">
        <v>3.0</v>
      </c>
      <c r="G2747" s="11">
        <v>3.0</v>
      </c>
      <c r="H2747" s="11">
        <v>3.0</v>
      </c>
      <c r="I2747" s="11">
        <v>3.0</v>
      </c>
    </row>
    <row r="2748">
      <c r="A2748" s="10" t="s">
        <v>9145</v>
      </c>
      <c r="B2748" s="49" t="str">
        <f t="shared" si="1"/>
        <v>Trafficking in Contraband in Correctional Institution or Care and Treatment Facility</v>
      </c>
      <c r="C2748" s="49" t="str">
        <f t="shared" si="2"/>
        <v>Trafficking in Contraband in Correctional Institution or Care and Treatment Facility; Introduce into an institution in which a person is confined any object or thing adapted or designed for use in making an escape; If item defined as contraband by commissioner of juvenile justice authority into a juvenile correctional facility by an employee of such facility</v>
      </c>
      <c r="D2748" s="49" t="str">
        <f t="shared" si="3"/>
        <v>21-5914(a)(6)</v>
      </c>
      <c r="E2748" s="11" t="s">
        <v>133</v>
      </c>
      <c r="F2748" s="11">
        <v>3.0</v>
      </c>
      <c r="G2748" s="11">
        <v>3.0</v>
      </c>
      <c r="H2748" s="11">
        <v>3.0</v>
      </c>
      <c r="I2748" s="11">
        <v>3.0</v>
      </c>
    </row>
    <row r="2749">
      <c r="A2749" s="10" t="s">
        <v>9146</v>
      </c>
      <c r="B2749" s="49" t="str">
        <f t="shared" si="1"/>
        <v>Trafficking in Contraband in Correctional Institution or Care and Treatment Facility</v>
      </c>
      <c r="C2749" s="49" t="str">
        <f t="shared" si="2"/>
        <v>Trafficking in Contraband in Correctional Institution or Care and Treatment Facility; Introduce into an institution in which a person is confined any object or thing adapted or designed for use in making an escape; If item defined as contraband by secretary of corrections in a state correctional institution or facility and introduced by employee of such institution or facility</v>
      </c>
      <c r="D2749" s="49" t="str">
        <f t="shared" si="3"/>
        <v>21-5914(a)(6)</v>
      </c>
      <c r="E2749" s="11" t="s">
        <v>133</v>
      </c>
      <c r="F2749" s="11">
        <v>3.0</v>
      </c>
      <c r="G2749" s="11">
        <v>3.0</v>
      </c>
      <c r="H2749" s="11">
        <v>3.0</v>
      </c>
      <c r="I2749" s="11">
        <v>3.0</v>
      </c>
    </row>
    <row r="2750">
      <c r="A2750" s="10" t="s">
        <v>9147</v>
      </c>
      <c r="B2750" s="49" t="str">
        <f t="shared" si="1"/>
        <v>Trafficking in Contraband in Correctional Institution or Care and Treatment Facility</v>
      </c>
      <c r="C2750" s="49" t="str">
        <f t="shared" si="2"/>
        <v>Trafficking in Contraband in Correctional Institution or Care and Treatment Facility; Introduce into an institution in which a person is confined any object or thing adapted or designed for use in making an escape; If item defined as contraband by secretary of SRS in a care and treatment facility and introduced by employee of such facility</v>
      </c>
      <c r="D2750" s="49" t="str">
        <f t="shared" si="3"/>
        <v>21-5914(a)(6)</v>
      </c>
      <c r="E2750" s="11" t="s">
        <v>133</v>
      </c>
      <c r="F2750" s="11">
        <v>3.0</v>
      </c>
      <c r="G2750" s="11">
        <v>3.0</v>
      </c>
      <c r="H2750" s="11">
        <v>3.0</v>
      </c>
      <c r="I2750" s="11">
        <v>3.0</v>
      </c>
    </row>
    <row r="2751">
      <c r="A2751" s="10" t="s">
        <v>9148</v>
      </c>
      <c r="B2751" s="49" t="str">
        <f t="shared" si="1"/>
        <v>Trafficking in Contraband in Correctional Institution or Care and Treatment Facility</v>
      </c>
      <c r="C2751" s="49" t="str">
        <f t="shared" si="2"/>
        <v>Trafficking in Contraband in Correctional Institution or Care and Treatment Facility; Introduce into an institution in which a person is confined any object or thing adapted or designed for use in making an escape; If such is a firearm, ammunition, explosive or controlled substance</v>
      </c>
      <c r="D2751" s="49" t="str">
        <f t="shared" si="3"/>
        <v>21-5914(a)(6)</v>
      </c>
      <c r="E2751" s="11" t="s">
        <v>133</v>
      </c>
      <c r="F2751" s="11">
        <v>3.0</v>
      </c>
      <c r="G2751" s="11">
        <v>3.0</v>
      </c>
      <c r="H2751" s="11">
        <v>3.0</v>
      </c>
      <c r="I2751" s="11">
        <v>3.0</v>
      </c>
    </row>
    <row r="2752">
      <c r="A2752" s="10" t="s">
        <v>9149</v>
      </c>
      <c r="B2752" s="49" t="str">
        <f t="shared" si="1"/>
        <v>Trafficking in Contraband in Correctional Institution or Care and Treatment Facility</v>
      </c>
      <c r="C2752" s="49" t="str">
        <f t="shared" si="2"/>
        <v>Trafficking in Contraband in Correctional Institution or Care and Treatment Facility; Introduce into an institution in which a person is confined any object or thing adapted or designed for use in making an escape; if such item is a firearm, ammunition, explosive or controlled substance in a correctional institution or care and treatment facility and introduced by employee of such institution or facility</v>
      </c>
      <c r="D2752" s="49" t="str">
        <f t="shared" si="3"/>
        <v>21-5914(a)(6)</v>
      </c>
      <c r="E2752" s="11" t="s">
        <v>133</v>
      </c>
      <c r="F2752" s="11">
        <v>3.0</v>
      </c>
      <c r="G2752" s="11">
        <v>3.0</v>
      </c>
      <c r="H2752" s="11">
        <v>3.0</v>
      </c>
      <c r="I2752" s="11">
        <v>3.0</v>
      </c>
    </row>
    <row r="2753">
      <c r="A2753" s="10" t="s">
        <v>9150</v>
      </c>
      <c r="B2753" s="49" t="str">
        <f t="shared" si="1"/>
        <v>Trafficking in Contraband in Correctional Institution or Care and Treatment Facility</v>
      </c>
      <c r="C2753" s="49" t="str">
        <f t="shared" si="2"/>
        <v>Trafficking in Contraband in Correctional Institution or Care and Treatment Facility; Introduce or attempt to introduce any firearms, ammunition, explosives or controlled substance</v>
      </c>
      <c r="D2753" s="49" t="str">
        <f t="shared" si="3"/>
        <v>21-5914(a)(1)</v>
      </c>
      <c r="E2753" s="11" t="s">
        <v>133</v>
      </c>
      <c r="F2753" s="11">
        <v>3.0</v>
      </c>
      <c r="G2753" s="11">
        <v>3.0</v>
      </c>
      <c r="H2753" s="11">
        <v>3.0</v>
      </c>
      <c r="I2753" s="11">
        <v>3.0</v>
      </c>
    </row>
    <row r="2754">
      <c r="A2754" s="10" t="s">
        <v>9151</v>
      </c>
      <c r="B2754" s="49" t="str">
        <f t="shared" si="1"/>
        <v>Trafficking in Contraband in Correctional Institution or Care and Treatment Facility</v>
      </c>
      <c r="C2754" s="49" t="str">
        <f t="shared" si="2"/>
        <v>Trafficking in Contraband in Correctional Institution or Care and Treatment Facility; Introduce or attempt to introduce any firearms, ammunition, explosives or controlled substance; introduced by employee of correctional institution or in a care and treatment facility by employee of such</v>
      </c>
      <c r="D2754" s="49" t="str">
        <f t="shared" si="3"/>
        <v>21-5914(a)(1)</v>
      </c>
      <c r="E2754" s="11" t="s">
        <v>133</v>
      </c>
      <c r="F2754" s="11">
        <v>3.0</v>
      </c>
      <c r="G2754" s="11">
        <v>3.0</v>
      </c>
      <c r="H2754" s="11">
        <v>3.0</v>
      </c>
      <c r="I2754" s="11">
        <v>3.0</v>
      </c>
    </row>
    <row r="2755">
      <c r="A2755" s="10" t="s">
        <v>9152</v>
      </c>
      <c r="B2755" s="49" t="str">
        <f t="shared" si="1"/>
        <v>Trafficking in Contraband in Correctional Institution or Care and Treatment Facility</v>
      </c>
      <c r="C2755" s="49" t="str">
        <f t="shared" si="2"/>
        <v>Trafficking in Contraband in Correctional Institution or Care and Treatment Facility; Introduce or attempt to introduce any item defined as contraband by commissioner of juvenile justice authority into a juvenile correctional facility by an employee of such facility</v>
      </c>
      <c r="D2755" s="49" t="str">
        <f t="shared" si="3"/>
        <v>21-5914(a)(1)</v>
      </c>
      <c r="E2755" s="11" t="s">
        <v>133</v>
      </c>
      <c r="F2755" s="11">
        <v>3.0</v>
      </c>
      <c r="G2755" s="11">
        <v>3.0</v>
      </c>
      <c r="H2755" s="11">
        <v>3.0</v>
      </c>
      <c r="I2755" s="11">
        <v>3.0</v>
      </c>
    </row>
    <row r="2756">
      <c r="A2756" s="10" t="s">
        <v>9153</v>
      </c>
      <c r="B2756" s="49" t="str">
        <f t="shared" si="1"/>
        <v>Trafficking in Contraband in Correctional Institution or Care and Treatment Facility</v>
      </c>
      <c r="C2756" s="49" t="str">
        <f t="shared" si="2"/>
        <v>Trafficking in Contraband in Correctional Institution or Care and Treatment Facility; Introduce or attempt to introduce any item defined as contraband by secretary of corrections into a state correctional institution or facility by an employee of such institution or facility</v>
      </c>
      <c r="D2756" s="49" t="str">
        <f t="shared" si="3"/>
        <v>21-5914(a)(1)</v>
      </c>
      <c r="E2756" s="11" t="s">
        <v>133</v>
      </c>
      <c r="F2756" s="11">
        <v>3.0</v>
      </c>
      <c r="G2756" s="11">
        <v>3.0</v>
      </c>
      <c r="H2756" s="11">
        <v>3.0</v>
      </c>
      <c r="I2756" s="11">
        <v>3.0</v>
      </c>
    </row>
    <row r="2757">
      <c r="A2757" s="10" t="s">
        <v>9154</v>
      </c>
      <c r="B2757" s="49" t="str">
        <f t="shared" si="1"/>
        <v>Trafficking in Contraband in Correctional Institution or Care and Treatment Facility</v>
      </c>
      <c r="C2757" s="49" t="str">
        <f t="shared" si="2"/>
        <v>Trafficking in Contraband in Correctional Institution or Care and Treatment Facility; Introduce or attempt to introduce any item defined as contraband by secretary of SRS into a care and treatment facility by an employee of such facility</v>
      </c>
      <c r="D2757" s="49" t="str">
        <f t="shared" si="3"/>
        <v>21-5914(a)(1)</v>
      </c>
      <c r="E2757" s="11" t="s">
        <v>133</v>
      </c>
      <c r="F2757" s="11">
        <v>3.0</v>
      </c>
      <c r="G2757" s="11">
        <v>3.0</v>
      </c>
      <c r="H2757" s="11">
        <v>3.0</v>
      </c>
      <c r="I2757" s="11">
        <v>3.0</v>
      </c>
    </row>
    <row r="2758">
      <c r="A2758" s="10" t="s">
        <v>9155</v>
      </c>
      <c r="B2758" s="49" t="str">
        <f t="shared" si="1"/>
        <v>Trafficking in Contraband in Correctional Institution or Care and Treatment Facility</v>
      </c>
      <c r="C2758" s="49" t="str">
        <f t="shared" si="2"/>
        <v>Trafficking in Contraband in Correctional Institution or Care and Treatment Facility; Introduce or attempt to introduce any item into or upon the grounds of institution or facility</v>
      </c>
      <c r="D2758" s="49" t="str">
        <f t="shared" si="3"/>
        <v>21-5914(a)(1)</v>
      </c>
      <c r="E2758" s="11" t="s">
        <v>133</v>
      </c>
      <c r="F2758" s="11">
        <v>3.0</v>
      </c>
      <c r="G2758" s="11">
        <v>3.0</v>
      </c>
      <c r="H2758" s="11">
        <v>3.0</v>
      </c>
      <c r="I2758" s="11">
        <v>3.0</v>
      </c>
    </row>
    <row r="2759">
      <c r="A2759" s="10" t="s">
        <v>9156</v>
      </c>
      <c r="B2759" s="49" t="str">
        <f t="shared" si="1"/>
        <v>Trafficking in Contraband in Correctional Institution or Care and Treatment Facility</v>
      </c>
      <c r="C2759" s="49" t="str">
        <f t="shared" si="2"/>
        <v>Trafficking in Contraband in Correctional Institution or Care and Treatment Facility; Supplying to another who is in lawful custody any object or thing adapted or designed for use in making an escape</v>
      </c>
      <c r="D2759" s="49" t="str">
        <f t="shared" si="3"/>
        <v>21-5914(a)(5)</v>
      </c>
      <c r="E2759" s="11" t="s">
        <v>133</v>
      </c>
      <c r="F2759" s="11">
        <v>3.0</v>
      </c>
      <c r="G2759" s="11">
        <v>3.0</v>
      </c>
      <c r="H2759" s="11">
        <v>3.0</v>
      </c>
      <c r="I2759" s="11">
        <v>3.0</v>
      </c>
    </row>
    <row r="2760">
      <c r="A2760" s="10" t="s">
        <v>9157</v>
      </c>
      <c r="B2760" s="49" t="str">
        <f t="shared" si="1"/>
        <v>Trafficking in Contraband in Correctional Institution or Care and Treatment Facility</v>
      </c>
      <c r="C2760" s="49" t="str">
        <f t="shared" si="2"/>
        <v>Trafficking in Contraband in Correctional Institution or Care and Treatment Facility; Supplying to another who is in lawful custody any object or thing adapted or designed for use in making an escape; if item defined as contraband by commissioner of juvenile justice authority in a juvenile correctional facility and supplied by employee of such facility</v>
      </c>
      <c r="D2760" s="49" t="str">
        <f t="shared" si="3"/>
        <v>21-5914(a)(5)</v>
      </c>
      <c r="E2760" s="11" t="s">
        <v>133</v>
      </c>
      <c r="F2760" s="11">
        <v>3.0</v>
      </c>
      <c r="G2760" s="11">
        <v>3.0</v>
      </c>
      <c r="H2760" s="11">
        <v>3.0</v>
      </c>
      <c r="I2760" s="11">
        <v>3.0</v>
      </c>
    </row>
    <row r="2761">
      <c r="A2761" s="10" t="s">
        <v>9158</v>
      </c>
      <c r="B2761" s="49" t="str">
        <f t="shared" si="1"/>
        <v>Trafficking in Contraband in Correctional Institution or Care and Treatment Facility</v>
      </c>
      <c r="C2761" s="49" t="str">
        <f t="shared" si="2"/>
        <v>Trafficking in Contraband in Correctional Institution or Care and Treatment Facility; Supplying to another who is in lawful custody any object or thing adapted or designed for use in making an escape; if item defined as contraband by secretary of corrections in a state correctional institution or facility and supplied by employee of such institution or facility</v>
      </c>
      <c r="D2761" s="49" t="str">
        <f t="shared" si="3"/>
        <v>21-5914(a)(5)</v>
      </c>
      <c r="E2761" s="11" t="s">
        <v>133</v>
      </c>
      <c r="F2761" s="11">
        <v>3.0</v>
      </c>
      <c r="G2761" s="11">
        <v>3.0</v>
      </c>
      <c r="H2761" s="11">
        <v>3.0</v>
      </c>
      <c r="I2761" s="11">
        <v>3.0</v>
      </c>
    </row>
    <row r="2762">
      <c r="A2762" s="10" t="s">
        <v>9159</v>
      </c>
      <c r="B2762" s="49" t="str">
        <f t="shared" si="1"/>
        <v>Trafficking in Contraband in Correctional Institution or Care and Treatment Facility</v>
      </c>
      <c r="C2762" s="49" t="str">
        <f t="shared" si="2"/>
        <v>Trafficking in Contraband in Correctional Institution or Care and Treatment Facility; Supplying to another who is in lawful custody any object or thing adapted or designed for use in making an escape; if item defined as contraband by secretary of SRS in a care and treatment facility and supplied by employee of such facility</v>
      </c>
      <c r="D2762" s="49" t="str">
        <f t="shared" si="3"/>
        <v>21-5914(a)(5)</v>
      </c>
      <c r="E2762" s="11" t="s">
        <v>133</v>
      </c>
      <c r="F2762" s="11">
        <v>3.0</v>
      </c>
      <c r="G2762" s="11">
        <v>3.0</v>
      </c>
      <c r="H2762" s="11">
        <v>3.0</v>
      </c>
      <c r="I2762" s="11">
        <v>3.0</v>
      </c>
    </row>
    <row r="2763">
      <c r="A2763" s="10" t="s">
        <v>9160</v>
      </c>
      <c r="B2763" s="49" t="str">
        <f t="shared" si="1"/>
        <v>Trafficking in Contraband in Correctional Institution or Care and Treatment Facility</v>
      </c>
      <c r="C2763" s="49" t="str">
        <f t="shared" si="2"/>
        <v>Trafficking in Contraband in Correctional Institution or Care and Treatment Facility; Supplying to another who is in lawful custody any object or thing adapted or designed for use in making an escape; if such item is a firearm, ammunition, explosive or controlled substance</v>
      </c>
      <c r="D2763" s="49" t="str">
        <f t="shared" si="3"/>
        <v>21-5914(a)(5)</v>
      </c>
      <c r="E2763" s="11" t="s">
        <v>133</v>
      </c>
      <c r="F2763" s="11">
        <v>3.0</v>
      </c>
      <c r="G2763" s="11">
        <v>3.0</v>
      </c>
      <c r="H2763" s="11">
        <v>3.0</v>
      </c>
      <c r="I2763" s="11">
        <v>3.0</v>
      </c>
    </row>
    <row r="2764">
      <c r="A2764" s="10" t="s">
        <v>9161</v>
      </c>
      <c r="B2764" s="49" t="str">
        <f t="shared" si="1"/>
        <v>Trafficking in Contraband in Correctional Institution or Care and Treatment Facility</v>
      </c>
      <c r="C2764" s="49" t="str">
        <f t="shared" si="2"/>
        <v>Trafficking in Contraband in Correctional Institution or Care and Treatment Facility; Supplying to another who is in lawful custody any object or thing adapted or designed for use in making an escape; if such item is a firearm, ammunition, explosive or controlled substance in a correctional institution or care and treatment facility and supplied by employee of such institution or facility</v>
      </c>
      <c r="D2764" s="49" t="str">
        <f t="shared" si="3"/>
        <v>21-5914(a)(5)</v>
      </c>
      <c r="E2764" s="11" t="s">
        <v>133</v>
      </c>
      <c r="F2764" s="11">
        <v>3.0</v>
      </c>
      <c r="G2764" s="11">
        <v>3.0</v>
      </c>
      <c r="H2764" s="11">
        <v>3.0</v>
      </c>
      <c r="I2764" s="11">
        <v>3.0</v>
      </c>
    </row>
    <row r="2765">
      <c r="A2765" s="10" t="s">
        <v>9162</v>
      </c>
      <c r="B2765" s="49" t="str">
        <f t="shared" si="1"/>
        <v>Trafficking in Contraband in Correctional Institution or Care and Treatment Facility</v>
      </c>
      <c r="C2765" s="49" t="str">
        <f t="shared" si="2"/>
        <v>Trafficking in Contraband in Correctional Institution or Care and Treatment Facility; Supplying to another who is in lawful custody any object or thing adapted or designed for use in making an escape; if supplied by employee or volunteer of the department of corrections, or employee or volunteer of a contractor under contract to provide services to the department of corrections</v>
      </c>
      <c r="D2765" s="49" t="str">
        <f t="shared" si="3"/>
        <v>21-5914(a)(5)</v>
      </c>
      <c r="E2765" s="11" t="s">
        <v>133</v>
      </c>
      <c r="F2765" s="11">
        <v>3.0</v>
      </c>
      <c r="G2765" s="11">
        <v>3.0</v>
      </c>
      <c r="H2765" s="11">
        <v>3.0</v>
      </c>
      <c r="I2765" s="11">
        <v>3.0</v>
      </c>
    </row>
    <row r="2766">
      <c r="A2766" s="10" t="s">
        <v>9163</v>
      </c>
      <c r="B2766" s="49" t="str">
        <f t="shared" si="1"/>
        <v>Trafficking in Contraband in Correctional Institution or Care and Treatment Facility</v>
      </c>
      <c r="C2766" s="49" t="str">
        <f t="shared" si="2"/>
        <v>Trafficking in Contraband in Correctional Institution or Care and Treatment Facility; Taking, sending or attempting to take or send a firearm, ammunition, explosive or controlled substance from correctional institution or care and treatment facility; if done by employee of such facility</v>
      </c>
      <c r="D2766" s="49" t="str">
        <f t="shared" si="3"/>
        <v>21-5914(a)(2)</v>
      </c>
      <c r="E2766" s="11" t="s">
        <v>133</v>
      </c>
      <c r="F2766" s="11">
        <v>3.0</v>
      </c>
      <c r="G2766" s="11">
        <v>3.0</v>
      </c>
      <c r="H2766" s="11">
        <v>3.0</v>
      </c>
      <c r="I2766" s="11">
        <v>3.0</v>
      </c>
    </row>
    <row r="2767">
      <c r="A2767" s="10" t="s">
        <v>9164</v>
      </c>
      <c r="B2767" s="49" t="str">
        <f t="shared" si="1"/>
        <v>Trafficking in Contraband in Correctional Institution or Care and Treatment Facility</v>
      </c>
      <c r="C2767" s="49" t="str">
        <f t="shared" si="2"/>
        <v>Trafficking in Contraband in Correctional Institution or Care and Treatment Facility; Taking, sending or attempting to take or send any item defined as contraband by commissioner of juvenile justice authority from juvenile correctional facility; if done by employee of such facility</v>
      </c>
      <c r="D2767" s="49" t="str">
        <f t="shared" si="3"/>
        <v>21-5914(a)(2)</v>
      </c>
      <c r="E2767" s="11" t="s">
        <v>133</v>
      </c>
      <c r="F2767" s="11">
        <v>3.0</v>
      </c>
      <c r="G2767" s="11">
        <v>3.0</v>
      </c>
      <c r="H2767" s="11">
        <v>3.0</v>
      </c>
      <c r="I2767" s="11">
        <v>3.0</v>
      </c>
    </row>
    <row r="2768">
      <c r="A2768" s="10" t="s">
        <v>9165</v>
      </c>
      <c r="B2768" s="49" t="str">
        <f t="shared" si="1"/>
        <v>Trafficking in Contraband in Correctional Institution or Care and Treatment Facility</v>
      </c>
      <c r="C2768" s="49" t="str">
        <f t="shared" si="2"/>
        <v>Trafficking in Contraband in Correctional Institution or Care and Treatment Facility; Taking, sending or attempting to take or send any item defined as contraband by secretary of corrections from state correctional institution or facility; if done by employee of such institution or facility</v>
      </c>
      <c r="D2768" s="49" t="str">
        <f t="shared" si="3"/>
        <v>21-5914(a)(2)</v>
      </c>
      <c r="E2768" s="11" t="s">
        <v>133</v>
      </c>
      <c r="F2768" s="11">
        <v>3.0</v>
      </c>
      <c r="G2768" s="11">
        <v>3.0</v>
      </c>
      <c r="H2768" s="11">
        <v>3.0</v>
      </c>
      <c r="I2768" s="11">
        <v>3.0</v>
      </c>
    </row>
    <row r="2769">
      <c r="A2769" s="10" t="s">
        <v>9166</v>
      </c>
      <c r="B2769" s="49" t="str">
        <f t="shared" si="1"/>
        <v>Trafficking in Contraband in Correctional Institution or Care and Treatment Facility</v>
      </c>
      <c r="C2769" s="49" t="str">
        <f t="shared" si="2"/>
        <v>Trafficking in Contraband in Correctional Institution or Care and Treatment Facility; Taking, sending or attempting to take or send any item defined as contraband by secretary of SRS from care or treatment facility; if done by employee of such facility</v>
      </c>
      <c r="D2769" s="49" t="str">
        <f t="shared" si="3"/>
        <v>21-5914(a)(2)</v>
      </c>
      <c r="E2769" s="11" t="s">
        <v>133</v>
      </c>
      <c r="F2769" s="11">
        <v>3.0</v>
      </c>
      <c r="G2769" s="11">
        <v>3.0</v>
      </c>
      <c r="H2769" s="11">
        <v>3.0</v>
      </c>
      <c r="I2769" s="11">
        <v>3.0</v>
      </c>
    </row>
    <row r="2770">
      <c r="A2770" s="10" t="s">
        <v>9167</v>
      </c>
      <c r="B2770" s="49" t="str">
        <f t="shared" si="1"/>
        <v>Trafficking in Contraband in Correctional Institution or Care and Treatment Facility</v>
      </c>
      <c r="C2770" s="49" t="str">
        <f t="shared" si="2"/>
        <v>Trafficking in Contraband in Correctional Institution or Care and Treatment Facility; Taking, sending or attempting to take or send any item from institution or facility</v>
      </c>
      <c r="D2770" s="49" t="str">
        <f t="shared" si="3"/>
        <v>21-5914(a)(2)</v>
      </c>
      <c r="E2770" s="11" t="s">
        <v>133</v>
      </c>
      <c r="F2770" s="11">
        <v>3.0</v>
      </c>
      <c r="G2770" s="11">
        <v>3.0</v>
      </c>
      <c r="H2770" s="11">
        <v>3.0</v>
      </c>
      <c r="I2770" s="11">
        <v>3.0</v>
      </c>
    </row>
    <row r="2771">
      <c r="A2771" s="10" t="s">
        <v>9168</v>
      </c>
      <c r="B2771" s="49" t="str">
        <f t="shared" si="1"/>
        <v>Trafficking in Contraband in Correctional Institution or Care and Treatment Facility</v>
      </c>
      <c r="C2771" s="49" t="str">
        <f t="shared" si="2"/>
        <v>Trafficking in Contraband in Correctional Institution or Care and Treatment Facility; Taking, sending or attempting to take or send firearm, ammunition, explosive or controlled substance from institution or facility</v>
      </c>
      <c r="D2771" s="49" t="str">
        <f t="shared" si="3"/>
        <v>21-5914(a)(2)</v>
      </c>
      <c r="E2771" s="11" t="s">
        <v>133</v>
      </c>
      <c r="F2771" s="11">
        <v>3.0</v>
      </c>
      <c r="G2771" s="11">
        <v>3.0</v>
      </c>
      <c r="H2771" s="11">
        <v>3.0</v>
      </c>
      <c r="I2771" s="11">
        <v>3.0</v>
      </c>
    </row>
    <row r="2772">
      <c r="A2772" s="10" t="s">
        <v>9169</v>
      </c>
      <c r="B2772" s="49" t="str">
        <f t="shared" si="1"/>
        <v>Trafficking in Contraband in Correctional Institution or Care and Treatment Facility</v>
      </c>
      <c r="C2772" s="49" t="str">
        <f t="shared" si="2"/>
        <v>Trafficking in Contraband in Correctional Institution or Care and Treatment Facility; Unauthorized possession of any firearm, ammunition, explosive or controlled substance while in any correctional institution or care and treatment facility</v>
      </c>
      <c r="D2772" s="49" t="str">
        <f t="shared" si="3"/>
        <v>21-5914(a)(3)</v>
      </c>
      <c r="E2772" s="11" t="s">
        <v>133</v>
      </c>
      <c r="F2772" s="11">
        <v>3.0</v>
      </c>
      <c r="G2772" s="11">
        <v>3.0</v>
      </c>
      <c r="H2772" s="11">
        <v>3.0</v>
      </c>
      <c r="I2772" s="11">
        <v>3.0</v>
      </c>
    </row>
    <row r="2773">
      <c r="A2773" s="10" t="s">
        <v>9170</v>
      </c>
      <c r="B2773" s="49" t="str">
        <f t="shared" si="1"/>
        <v>Trafficking in Contraband in Correctional Institution or Care and Treatment Facility</v>
      </c>
      <c r="C2773" s="49" t="str">
        <f t="shared" si="2"/>
        <v>Trafficking in Contraband in Correctional Institution or Care and Treatment Facility; Unauthorized possession of any firearm, ammunition, explosive or controlled substance while in any correctional institution or care and treatment facility; if done by employee of such facility</v>
      </c>
      <c r="D2773" s="49" t="str">
        <f t="shared" si="3"/>
        <v>21-5914(a)(3)</v>
      </c>
      <c r="E2773" s="11" t="s">
        <v>133</v>
      </c>
      <c r="F2773" s="11">
        <v>3.0</v>
      </c>
      <c r="G2773" s="11">
        <v>3.0</v>
      </c>
      <c r="H2773" s="11">
        <v>3.0</v>
      </c>
      <c r="I2773" s="11">
        <v>3.0</v>
      </c>
    </row>
    <row r="2774">
      <c r="A2774" s="10" t="s">
        <v>9171</v>
      </c>
      <c r="B2774" s="49" t="str">
        <f t="shared" si="1"/>
        <v>Trafficking in Contraband in Correctional Institution or Care and Treatment Facility</v>
      </c>
      <c r="C2774" s="49" t="str">
        <f t="shared" si="2"/>
        <v>Trafficking in Contraband in Correctional Institution or Care and Treatment Facility; Unauthorized possession of any item defined as contraband by commissioner of juvenile justice authority while in any juvenile correctional facility; if done by employee of such facility</v>
      </c>
      <c r="D2774" s="49" t="str">
        <f t="shared" si="3"/>
        <v>21-5914(a)(3)</v>
      </c>
      <c r="E2774" s="11" t="s">
        <v>133</v>
      </c>
      <c r="F2774" s="11">
        <v>3.0</v>
      </c>
      <c r="G2774" s="11">
        <v>3.0</v>
      </c>
      <c r="H2774" s="11">
        <v>3.0</v>
      </c>
      <c r="I2774" s="11">
        <v>3.0</v>
      </c>
    </row>
    <row r="2775">
      <c r="A2775" s="10" t="s">
        <v>9172</v>
      </c>
      <c r="B2775" s="49" t="str">
        <f t="shared" si="1"/>
        <v>Trafficking in Contraband in Correctional Institution or Care and Treatment Facility</v>
      </c>
      <c r="C2775" s="49" t="str">
        <f t="shared" si="2"/>
        <v>Trafficking in Contraband in Correctional Institution or Care and Treatment Facility; Unauthorized possession of any item defined as contraband by secretary of corrections while in any correctional institution or facility; if done by employee of such facility</v>
      </c>
      <c r="D2775" s="49" t="str">
        <f t="shared" si="3"/>
        <v>21-5914(a)(3)</v>
      </c>
      <c r="E2775" s="11" t="s">
        <v>133</v>
      </c>
      <c r="F2775" s="11">
        <v>3.0</v>
      </c>
      <c r="G2775" s="11">
        <v>3.0</v>
      </c>
      <c r="H2775" s="11">
        <v>3.0</v>
      </c>
      <c r="I2775" s="11">
        <v>3.0</v>
      </c>
    </row>
    <row r="2776">
      <c r="A2776" s="10" t="s">
        <v>9173</v>
      </c>
      <c r="B2776" s="49" t="str">
        <f t="shared" si="1"/>
        <v>Trafficking in Contraband in Correctional Institution or Care and Treatment Facility</v>
      </c>
      <c r="C2776" s="49" t="str">
        <f t="shared" si="2"/>
        <v>Trafficking in Contraband in Correctional Institution or Care and Treatment Facility; Unauthorized possession of any item defined as contraband by secretary of SRS while in care and treatment facility; if done by employee of such facility</v>
      </c>
      <c r="D2776" s="49" t="str">
        <f t="shared" si="3"/>
        <v>21-5914(a)(3)</v>
      </c>
      <c r="E2776" s="11" t="s">
        <v>133</v>
      </c>
      <c r="F2776" s="11">
        <v>3.0</v>
      </c>
      <c r="G2776" s="11">
        <v>3.0</v>
      </c>
      <c r="H2776" s="11">
        <v>3.0</v>
      </c>
      <c r="I2776" s="11">
        <v>3.0</v>
      </c>
    </row>
    <row r="2777">
      <c r="A2777" s="10" t="s">
        <v>9174</v>
      </c>
      <c r="B2777" s="49" t="str">
        <f t="shared" si="1"/>
        <v>Trafficking in Contraband in Correctional Institution or Care and Treatment Facility</v>
      </c>
      <c r="C2777" s="49" t="str">
        <f t="shared" si="2"/>
        <v>Trafficking in Contraband in Correctional Institution or Care and Treatment Facility; Unauthorized possession of any item while in any correctional institution or care and treatment facility</v>
      </c>
      <c r="D2777" s="49" t="str">
        <f t="shared" si="3"/>
        <v>21-5914(a)(3)</v>
      </c>
      <c r="E2777" s="11" t="s">
        <v>133</v>
      </c>
      <c r="F2777" s="11">
        <v>3.0</v>
      </c>
      <c r="G2777" s="11">
        <v>3.0</v>
      </c>
      <c r="H2777" s="11">
        <v>3.0</v>
      </c>
      <c r="I2777" s="11">
        <v>3.0</v>
      </c>
    </row>
    <row r="2778">
      <c r="A2778" s="10" t="s">
        <v>9175</v>
      </c>
      <c r="B2778" s="49" t="str">
        <f t="shared" si="1"/>
        <v>Trafficking</v>
      </c>
      <c r="C2778" s="49" t="str">
        <f t="shared" si="2"/>
        <v>Trafficking; Counterfeit Drugs; value $25,000 or more</v>
      </c>
      <c r="D2778" s="49" t="str">
        <f t="shared" si="3"/>
        <v>65-4167(a)</v>
      </c>
      <c r="E2778" s="11" t="s">
        <v>133</v>
      </c>
      <c r="F2778" s="11">
        <v>3.0</v>
      </c>
      <c r="G2778" s="11">
        <v>3.0</v>
      </c>
      <c r="H2778" s="11">
        <v>3.0</v>
      </c>
      <c r="I2778" s="11">
        <v>3.0</v>
      </c>
    </row>
    <row r="2779">
      <c r="A2779" s="10" t="s">
        <v>9176</v>
      </c>
      <c r="B2779" s="49" t="str">
        <f t="shared" si="1"/>
        <v>Trafficking</v>
      </c>
      <c r="C2779" s="49" t="str">
        <f t="shared" si="2"/>
        <v>Trafficking; Counterfeit Drugs; value at least $500 but less than $25,000</v>
      </c>
      <c r="D2779" s="49" t="str">
        <f t="shared" si="3"/>
        <v>65-4167(a)</v>
      </c>
      <c r="E2779" s="11" t="s">
        <v>133</v>
      </c>
      <c r="F2779" s="11">
        <v>3.0</v>
      </c>
      <c r="G2779" s="11">
        <v>3.0</v>
      </c>
      <c r="H2779" s="11">
        <v>3.0</v>
      </c>
      <c r="I2779" s="11">
        <v>3.0</v>
      </c>
    </row>
    <row r="2780">
      <c r="A2780" s="10" t="s">
        <v>9177</v>
      </c>
      <c r="B2780" s="49" t="str">
        <f t="shared" si="1"/>
        <v>Trafficking</v>
      </c>
      <c r="C2780" s="49" t="str">
        <f t="shared" si="2"/>
        <v>Trafficking; Counterfeit Drugs; value less than $500</v>
      </c>
      <c r="D2780" s="49" t="str">
        <f t="shared" si="3"/>
        <v>65-4167(a)</v>
      </c>
      <c r="E2780" s="11" t="s">
        <v>133</v>
      </c>
      <c r="F2780" s="11">
        <v>3.0</v>
      </c>
      <c r="G2780" s="11">
        <v>3.0</v>
      </c>
      <c r="H2780" s="11">
        <v>3.0</v>
      </c>
      <c r="I2780" s="11">
        <v>3.0</v>
      </c>
    </row>
    <row r="2781">
      <c r="A2781" s="10" t="s">
        <v>9178</v>
      </c>
      <c r="B2781" s="49" t="str">
        <f t="shared" si="1"/>
        <v>Treason</v>
      </c>
      <c r="C2781" s="49" t="str">
        <f t="shared" si="2"/>
        <v>Treason; Levying war against the state, adhering to its enemies, or giving them aid and comfort</v>
      </c>
      <c r="D2781" s="49" t="str">
        <f t="shared" si="3"/>
        <v>21-5901(a)</v>
      </c>
      <c r="E2781" s="11" t="s">
        <v>133</v>
      </c>
      <c r="F2781" s="11">
        <v>3.0</v>
      </c>
      <c r="G2781" s="11">
        <v>3.0</v>
      </c>
      <c r="H2781" s="11">
        <v>3.0</v>
      </c>
      <c r="I2781" s="11">
        <v>3.0</v>
      </c>
    </row>
    <row r="2782">
      <c r="A2782" s="10" t="s">
        <v>9179</v>
      </c>
      <c r="B2782" s="49" t="str">
        <f t="shared" si="1"/>
        <v>Trespass on Railroad Property</v>
      </c>
      <c r="C2782" s="49" t="str">
        <f t="shared" si="2"/>
        <v>Trespass on Railroad Property; Entering or remaining on property without consent of owner</v>
      </c>
      <c r="D2782" s="49" t="str">
        <f t="shared" si="3"/>
        <v>21-5809(a)(1)</v>
      </c>
      <c r="E2782" s="11" t="s">
        <v>133</v>
      </c>
      <c r="F2782" s="11">
        <v>3.0</v>
      </c>
      <c r="G2782" s="11">
        <v>3.0</v>
      </c>
      <c r="H2782" s="11">
        <v>3.0</v>
      </c>
      <c r="I2782" s="11">
        <v>3.0</v>
      </c>
    </row>
    <row r="2783">
      <c r="A2783" s="10" t="s">
        <v>9180</v>
      </c>
      <c r="B2783" s="49" t="str">
        <f t="shared" si="1"/>
        <v>Trespass on Railroad Property</v>
      </c>
      <c r="C2783" s="49" t="str">
        <f t="shared" si="2"/>
        <v>Trespass on Railroad Property; Knowingly trespass on railroad property without consent; damage more than $1,500</v>
      </c>
      <c r="D2783" s="49" t="str">
        <f t="shared" si="3"/>
        <v>21-5809(a)(1)</v>
      </c>
      <c r="E2783" s="11" t="s">
        <v>133</v>
      </c>
      <c r="F2783" s="11">
        <v>3.0</v>
      </c>
      <c r="G2783" s="11">
        <v>3.0</v>
      </c>
      <c r="H2783" s="11">
        <v>3.0</v>
      </c>
      <c r="I2783" s="11">
        <v>3.0</v>
      </c>
    </row>
    <row r="2784">
      <c r="A2784" s="10" t="s">
        <v>9181</v>
      </c>
      <c r="B2784" s="49" t="str">
        <f t="shared" si="1"/>
        <v>Trespass on Railroad Property</v>
      </c>
      <c r="C2784" s="49" t="str">
        <f t="shared" si="2"/>
        <v>Trespass on Railroad Property; Recklessly causing derailment of a train, railroad car or rail-mounted work equipment; damage more than $1,500</v>
      </c>
      <c r="D2784" s="49" t="str">
        <f t="shared" si="3"/>
        <v>21-5809(a)(2)</v>
      </c>
      <c r="E2784" s="11" t="s">
        <v>133</v>
      </c>
      <c r="F2784" s="11">
        <v>3.0</v>
      </c>
      <c r="G2784" s="11">
        <v>3.0</v>
      </c>
      <c r="H2784" s="11">
        <v>3.0</v>
      </c>
      <c r="I2784" s="11">
        <v>3.0</v>
      </c>
    </row>
    <row r="2785">
      <c r="A2785" s="10" t="s">
        <v>9182</v>
      </c>
      <c r="B2785" s="49" t="str">
        <f t="shared" si="1"/>
        <v>Trespassing</v>
      </c>
      <c r="C2785" s="49" t="str">
        <f t="shared" si="2"/>
        <v>Trespassing; On fairgrounds</v>
      </c>
      <c r="D2785" s="49" t="str">
        <f t="shared" si="3"/>
        <v>2-140</v>
      </c>
      <c r="E2785" s="11" t="s">
        <v>133</v>
      </c>
      <c r="F2785" s="11">
        <v>3.0</v>
      </c>
      <c r="G2785" s="11">
        <v>3.0</v>
      </c>
      <c r="H2785" s="11">
        <v>3.0</v>
      </c>
      <c r="I2785" s="11">
        <v>3.0</v>
      </c>
    </row>
    <row r="2786">
      <c r="A2786" s="10" t="s">
        <v>9183</v>
      </c>
      <c r="B2786" s="49" t="str">
        <f t="shared" si="1"/>
        <v>Tribal Gaming Oversight</v>
      </c>
      <c r="C2786" s="49" t="str">
        <f t="shared" si="2"/>
        <v>Tribal Gaming Oversight; Executive director or employee of the state gaming agency knowingly accepting compensation, gift, loan, entertainment, favor or service from person or entity licensed pursuant to a tribal-state gaming compact, unless exception applies</v>
      </c>
      <c r="D2786" s="49" t="str">
        <f t="shared" si="3"/>
        <v>74-9809(b)(3)</v>
      </c>
      <c r="E2786" s="11" t="s">
        <v>133</v>
      </c>
      <c r="F2786" s="11">
        <v>3.0</v>
      </c>
      <c r="G2786" s="11">
        <v>3.0</v>
      </c>
      <c r="H2786" s="11">
        <v>3.0</v>
      </c>
      <c r="I2786" s="11">
        <v>3.0</v>
      </c>
    </row>
    <row r="2787">
      <c r="A2787" s="10" t="s">
        <v>9184</v>
      </c>
      <c r="B2787" s="49" t="str">
        <f t="shared" si="1"/>
        <v>Tribal Gaming Oversight</v>
      </c>
      <c r="C2787" s="49" t="str">
        <f t="shared" si="2"/>
        <v>Tribal Gaming Oversight; Executive director or employee of the state gaming agency knowingly participating as an owner, operator, manager or consultant in tribal gaming in Kansas</v>
      </c>
      <c r="D2787" s="49" t="str">
        <f t="shared" si="3"/>
        <v>74-9809(b)(2)</v>
      </c>
      <c r="E2787" s="11" t="s">
        <v>133</v>
      </c>
      <c r="F2787" s="11">
        <v>3.0</v>
      </c>
      <c r="G2787" s="11">
        <v>3.0</v>
      </c>
      <c r="H2787" s="11">
        <v>3.0</v>
      </c>
      <c r="I2787" s="11">
        <v>3.0</v>
      </c>
    </row>
    <row r="2788">
      <c r="A2788" s="10" t="s">
        <v>9185</v>
      </c>
      <c r="B2788" s="49" t="str">
        <f t="shared" si="1"/>
        <v>Tribal Gaming Oversight</v>
      </c>
      <c r="C2788" s="49" t="str">
        <f t="shared" si="2"/>
        <v>Tribal Gaming Oversight; Executive director or employee of the state gaming agency knowingly placing a wager or betting or playing an electronic game of chance at a tribal gaming facility</v>
      </c>
      <c r="D2788" s="49" t="str">
        <f t="shared" si="3"/>
        <v>74-9809(b)(1)</v>
      </c>
      <c r="E2788" s="11" t="s">
        <v>133</v>
      </c>
      <c r="F2788" s="11">
        <v>3.0</v>
      </c>
      <c r="G2788" s="11">
        <v>3.0</v>
      </c>
      <c r="H2788" s="11">
        <v>3.0</v>
      </c>
      <c r="I2788" s="11">
        <v>3.0</v>
      </c>
    </row>
    <row r="2789">
      <c r="A2789" s="10" t="s">
        <v>9186</v>
      </c>
      <c r="B2789" s="49" t="str">
        <f t="shared" si="1"/>
        <v>Tribal Gaming Oversight</v>
      </c>
      <c r="C2789" s="49" t="str">
        <f t="shared" si="2"/>
        <v>Tribal Gaming Oversight; Executive director or employee of the state gaming agency, or certain relatives thereof, entering into any business dealing, venture or contract with owner/operator of a tribal gaming facility other than as required to complete duties of the compact</v>
      </c>
      <c r="D2789" s="49" t="str">
        <f t="shared" si="3"/>
        <v>74-9809(c)(2)</v>
      </c>
      <c r="E2789" s="11" t="s">
        <v>133</v>
      </c>
      <c r="F2789" s="11">
        <v>3.0</v>
      </c>
      <c r="G2789" s="11">
        <v>3.0</v>
      </c>
      <c r="H2789" s="11">
        <v>3.0</v>
      </c>
      <c r="I2789" s="11">
        <v>3.0</v>
      </c>
    </row>
    <row r="2790">
      <c r="A2790" s="10" t="s">
        <v>9187</v>
      </c>
      <c r="B2790" s="49" t="str">
        <f t="shared" si="1"/>
        <v>Tribal Gaming Oversight</v>
      </c>
      <c r="C2790" s="49" t="str">
        <f t="shared" si="2"/>
        <v>Tribal Gaming Oversight; Executive director or employee of the state gaming agency, or certain relatives thereof, holding any license issued pursuant to a tribal-state gaming compact</v>
      </c>
      <c r="D2790" s="49" t="str">
        <f t="shared" si="3"/>
        <v>74-9809(c)(1)</v>
      </c>
      <c r="E2790" s="11" t="s">
        <v>133</v>
      </c>
      <c r="F2790" s="11">
        <v>3.0</v>
      </c>
      <c r="G2790" s="11">
        <v>3.0</v>
      </c>
      <c r="H2790" s="11">
        <v>3.0</v>
      </c>
      <c r="I2790" s="11">
        <v>3.0</v>
      </c>
    </row>
    <row r="2791">
      <c r="A2791" s="10" t="s">
        <v>9188</v>
      </c>
      <c r="B2791" s="49" t="str">
        <f t="shared" si="1"/>
        <v>Tribal Gaming Oversight</v>
      </c>
      <c r="C2791" s="49" t="str">
        <f t="shared" si="2"/>
        <v>Tribal Gaming Oversight; Having financial interest in tribal gaming while the executive director or employee of the state gaming agency or during 5 yrs immediately following termination of such employment</v>
      </c>
      <c r="D2791" s="49" t="str">
        <f t="shared" si="3"/>
        <v>74-9809(a)</v>
      </c>
      <c r="E2791" s="11" t="s">
        <v>133</v>
      </c>
      <c r="F2791" s="11">
        <v>3.0</v>
      </c>
      <c r="G2791" s="11">
        <v>3.0</v>
      </c>
      <c r="H2791" s="11">
        <v>3.0</v>
      </c>
      <c r="I2791" s="11">
        <v>3.0</v>
      </c>
    </row>
    <row r="2792">
      <c r="A2792" s="10" t="s">
        <v>9189</v>
      </c>
      <c r="B2792" s="49" t="str">
        <f t="shared" si="1"/>
        <v>Tribal Gaming Oversight</v>
      </c>
      <c r="C2792" s="49" t="str">
        <f t="shared" si="2"/>
        <v>Tribal Gaming Oversight; Holder of a license issued pursuant to a tribal-state gaming compact allowing any person, to place a wager or play any class III game, gaming device or electronic game of chance at a tribal gaming facility, knowing such person to be under 21 yrs of age</v>
      </c>
      <c r="D2792" s="49" t="str">
        <f t="shared" si="3"/>
        <v>74-9809(d)</v>
      </c>
      <c r="E2792" s="11" t="s">
        <v>133</v>
      </c>
      <c r="F2792" s="11">
        <v>3.0</v>
      </c>
      <c r="G2792" s="11">
        <v>3.0</v>
      </c>
      <c r="H2792" s="11">
        <v>3.0</v>
      </c>
      <c r="I2792" s="11">
        <v>3.0</v>
      </c>
    </row>
    <row r="2793">
      <c r="A2793" s="10" t="s">
        <v>9190</v>
      </c>
      <c r="B2793" s="49" t="str">
        <f t="shared" si="1"/>
        <v>Tribal Gaming Oversight</v>
      </c>
      <c r="C2793" s="49" t="str">
        <f t="shared" si="2"/>
        <v>Tribal Gaming Oversight; Knowingly conduct, carry on, operate, deal or allow to be conducted, carried on or dealt, any cheating or thieving class III game or device</v>
      </c>
      <c r="D2793" s="49" t="str">
        <f t="shared" si="3"/>
        <v>74-9809(k)(1)</v>
      </c>
      <c r="E2793" s="11" t="s">
        <v>133</v>
      </c>
      <c r="F2793" s="11">
        <v>3.0</v>
      </c>
      <c r="G2793" s="11">
        <v>3.0</v>
      </c>
      <c r="H2793" s="11">
        <v>3.0</v>
      </c>
      <c r="I2793" s="11">
        <v>3.0</v>
      </c>
    </row>
    <row r="2794">
      <c r="A2794" s="10" t="s">
        <v>9191</v>
      </c>
      <c r="B2794" s="49" t="str">
        <f t="shared" si="1"/>
        <v>Tribal Gaming Oversight</v>
      </c>
      <c r="C2794" s="49" t="str">
        <f t="shared" si="2"/>
        <v>Tribal Gaming Oversight; Knowingly deal, conduct, carry on, operate or expose for play, any class III game or games played with cards, dice or any mechanical or electronic device, or any combination of such, which have been marked or tampered with, placed in a condition, or operated in a manner, which results in public deception, or alters normal chance or results of the game</v>
      </c>
      <c r="D2794" s="49" t="str">
        <f t="shared" si="3"/>
        <v>74-9809(k)(2)</v>
      </c>
      <c r="E2794" s="11" t="s">
        <v>133</v>
      </c>
      <c r="F2794" s="11">
        <v>3.0</v>
      </c>
      <c r="G2794" s="11">
        <v>3.0</v>
      </c>
      <c r="H2794" s="11">
        <v>3.0</v>
      </c>
      <c r="I2794" s="11">
        <v>3.0</v>
      </c>
    </row>
    <row r="2795">
      <c r="A2795" s="10" t="s">
        <v>9192</v>
      </c>
      <c r="B2795" s="49" t="str">
        <f t="shared" si="1"/>
        <v>Tribal Gaming Oversight</v>
      </c>
      <c r="C2795" s="49" t="str">
        <f t="shared" si="2"/>
        <v>Tribal Gaming Oversight; Knowingly use bogus or counterfeit chips or gaming billets; knowingly substitute and use in any game, cards or dice that have been marked, loaded or tampered with</v>
      </c>
      <c r="D2795" s="49" t="str">
        <f t="shared" si="3"/>
        <v>74-9809(h)(1)</v>
      </c>
      <c r="E2795" s="11" t="s">
        <v>133</v>
      </c>
      <c r="F2795" s="11">
        <v>3.0</v>
      </c>
      <c r="G2795" s="11">
        <v>3.0</v>
      </c>
      <c r="H2795" s="11">
        <v>3.0</v>
      </c>
      <c r="I2795" s="11">
        <v>3.0</v>
      </c>
    </row>
    <row r="2796">
      <c r="A2796" s="10" t="s">
        <v>9193</v>
      </c>
      <c r="B2796" s="49" t="str">
        <f t="shared" si="1"/>
        <v>Tribal Gaming Oversight</v>
      </c>
      <c r="C2796" s="49" t="str">
        <f t="shared" si="2"/>
        <v>Tribal Gaming Oversight; Knowingly use or possess any marked cards, loaded dice, plugged or tampered with machines or devices</v>
      </c>
      <c r="D2796" s="49" t="str">
        <f t="shared" si="3"/>
        <v>74-9809(l)</v>
      </c>
      <c r="E2796" s="11" t="s">
        <v>133</v>
      </c>
      <c r="F2796" s="11">
        <v>3.0</v>
      </c>
      <c r="G2796" s="11">
        <v>3.0</v>
      </c>
      <c r="H2796" s="11">
        <v>3.0</v>
      </c>
      <c r="I2796" s="11">
        <v>3.0</v>
      </c>
    </row>
    <row r="2797">
      <c r="A2797" s="10" t="s">
        <v>9194</v>
      </c>
      <c r="B2797" s="49" t="str">
        <f t="shared" si="1"/>
        <v>Tribal Gaming Oversight</v>
      </c>
      <c r="C2797" s="49" t="str">
        <f t="shared" si="2"/>
        <v>Tribal Gaming Oversight; Knowingly use other than a lawful coin or legal tender of the U.S.A., or one of a denomination not intended to be used in an electronic game of chance</v>
      </c>
      <c r="D2797" s="49" t="str">
        <f t="shared" si="3"/>
        <v>74-9809(h)(2)</v>
      </c>
      <c r="E2797" s="11" t="s">
        <v>133</v>
      </c>
      <c r="F2797" s="11">
        <v>3.0</v>
      </c>
      <c r="G2797" s="11">
        <v>3.0</v>
      </c>
      <c r="H2797" s="11">
        <v>3.0</v>
      </c>
      <c r="I2797" s="11">
        <v>3.0</v>
      </c>
    </row>
    <row r="2798">
      <c r="A2798" s="10" t="s">
        <v>9195</v>
      </c>
      <c r="B2798" s="49" t="str">
        <f t="shared" si="1"/>
        <v>Tribal Gaming Oversight</v>
      </c>
      <c r="C2798" s="49" t="str">
        <f t="shared" si="2"/>
        <v>Tribal Gaming Oversight; Possess any device, equipment or material known to have been manufactured, distributed, sold, tampered with or serviced in violation of the provisions of a tribal-state gaming compact</v>
      </c>
      <c r="D2798" s="49" t="str">
        <f t="shared" si="3"/>
        <v>74-9809(m)</v>
      </c>
      <c r="E2798" s="11" t="s">
        <v>133</v>
      </c>
      <c r="F2798" s="11">
        <v>3.0</v>
      </c>
      <c r="G2798" s="11">
        <v>3.0</v>
      </c>
      <c r="H2798" s="11">
        <v>3.0</v>
      </c>
      <c r="I2798" s="11">
        <v>3.0</v>
      </c>
    </row>
    <row r="2799">
      <c r="A2799" s="10" t="s">
        <v>9196</v>
      </c>
      <c r="B2799" s="49" t="str">
        <f t="shared" si="1"/>
        <v>Tribal Gaming Oversight</v>
      </c>
      <c r="C2799" s="49" t="str">
        <f t="shared" si="2"/>
        <v>Tribal Gaming Oversight; Unauthorized disclosure of confidential information</v>
      </c>
      <c r="D2799" s="49" t="str">
        <f t="shared" si="3"/>
        <v>74-9805(m)(3)</v>
      </c>
      <c r="E2799" s="11" t="s">
        <v>133</v>
      </c>
      <c r="F2799" s="11">
        <v>3.0</v>
      </c>
      <c r="G2799" s="11">
        <v>3.0</v>
      </c>
      <c r="H2799" s="11">
        <v>3.0</v>
      </c>
      <c r="I2799" s="11">
        <v>3.0</v>
      </c>
    </row>
    <row r="2800">
      <c r="A2800" s="10" t="s">
        <v>9197</v>
      </c>
      <c r="B2800" s="49" t="str">
        <f t="shared" si="1"/>
        <v>Tribal Gaming Oversight</v>
      </c>
      <c r="C2800" s="49" t="str">
        <f t="shared" si="2"/>
        <v>Tribal Gaming Oversight; Unauthorized possession or use of any cheating or thieving device</v>
      </c>
      <c r="D2800" s="49" t="str">
        <f t="shared" si="3"/>
        <v>74-9809(i)</v>
      </c>
      <c r="E2800" s="11" t="s">
        <v>133</v>
      </c>
      <c r="F2800" s="11">
        <v>3.0</v>
      </c>
      <c r="G2800" s="11">
        <v>3.0</v>
      </c>
      <c r="H2800" s="11">
        <v>3.0</v>
      </c>
      <c r="I2800" s="11">
        <v>3.0</v>
      </c>
    </row>
    <row r="2801">
      <c r="A2801" s="10" t="s">
        <v>9198</v>
      </c>
      <c r="B2801" s="49" t="str">
        <f t="shared" si="1"/>
        <v>Tribal Gaming Oversight</v>
      </c>
      <c r="C2801" s="49" t="str">
        <f t="shared" si="2"/>
        <v>Tribal Gaming Oversight; Unauthorized possession or use of any key or device designed for the purpose of or suitable for opening or entering any electronic game of chance or similar gaming device or drop box</v>
      </c>
      <c r="D2801" s="49" t="str">
        <f t="shared" si="3"/>
        <v>74-9809(j)</v>
      </c>
      <c r="E2801" s="11" t="s">
        <v>133</v>
      </c>
      <c r="F2801" s="11">
        <v>3.0</v>
      </c>
      <c r="G2801" s="11">
        <v>3.0</v>
      </c>
      <c r="H2801" s="11">
        <v>3.0</v>
      </c>
      <c r="I2801" s="11">
        <v>3.0</v>
      </c>
    </row>
    <row r="2802">
      <c r="A2802" s="10" t="s">
        <v>9199</v>
      </c>
      <c r="B2802" s="49" t="str">
        <f t="shared" si="1"/>
        <v>Tribal Gaming Oversight</v>
      </c>
      <c r="C2802" s="49" t="str">
        <f t="shared" si="2"/>
        <v>Tribal Gaming Oversight; Use or conspire to use any device for the purpose of effecting the outcome of game</v>
      </c>
      <c r="D2802" s="49" t="str">
        <f t="shared" si="3"/>
        <v>74-9809(e)</v>
      </c>
      <c r="E2802" s="11" t="s">
        <v>133</v>
      </c>
      <c r="F2802" s="11">
        <v>3.0</v>
      </c>
      <c r="G2802" s="11">
        <v>3.0</v>
      </c>
      <c r="H2802" s="11">
        <v>3.0</v>
      </c>
      <c r="I2802" s="11">
        <v>3.0</v>
      </c>
    </row>
    <row r="2803">
      <c r="A2803" s="10" t="s">
        <v>9200</v>
      </c>
      <c r="B2803" s="49" t="str">
        <f t="shared" si="1"/>
        <v>Tribal Gaming Oversight</v>
      </c>
      <c r="C2803" s="49" t="str">
        <f t="shared" si="2"/>
        <v>Tribal Gaming Oversight; Win money, property or representative of either, by any trick or sleight of hand performance, or by fraud or fraudulent scheme, cards, dice or device; or reduce or attempt to reduce a losing wager, in connection with tribal gaming in a value of less than $100</v>
      </c>
      <c r="D2803" s="49" t="str">
        <f t="shared" si="3"/>
        <v>74-9809(n)</v>
      </c>
      <c r="E2803" s="11" t="s">
        <v>133</v>
      </c>
      <c r="F2803" s="11">
        <v>3.0</v>
      </c>
      <c r="G2803" s="11">
        <v>3.0</v>
      </c>
      <c r="H2803" s="11">
        <v>3.0</v>
      </c>
      <c r="I2803" s="11">
        <v>3.0</v>
      </c>
    </row>
    <row r="2804">
      <c r="A2804" s="10" t="s">
        <v>9201</v>
      </c>
      <c r="B2804" s="49" t="str">
        <f t="shared" si="1"/>
        <v>Tribal Gaming Oversight</v>
      </c>
      <c r="C2804" s="49" t="str">
        <f t="shared" si="2"/>
        <v>Tribal Gaming Oversight; Win or attempt to win by any trick or sleight of hand performance, or by a fraud or fraudulent scheme, cards, dice or device, money or property or a representative of either, or reduce or attempt to reduce a losing wager, in connection with tribal gaming in a value of $100 or greater</v>
      </c>
      <c r="D2804" s="49" t="str">
        <f t="shared" si="3"/>
        <v>74-9809(h)(3)</v>
      </c>
      <c r="E2804" s="11" t="s">
        <v>133</v>
      </c>
      <c r="F2804" s="11">
        <v>3.0</v>
      </c>
      <c r="G2804" s="11">
        <v>3.0</v>
      </c>
      <c r="H2804" s="11">
        <v>3.0</v>
      </c>
      <c r="I2804" s="11">
        <v>3.0</v>
      </c>
    </row>
    <row r="2805">
      <c r="A2805" s="10" t="s">
        <v>9202</v>
      </c>
      <c r="B2805" s="49" t="str">
        <f t="shared" si="1"/>
        <v>Tribal Gaming</v>
      </c>
      <c r="C2805" s="49" t="str">
        <f t="shared" si="2"/>
        <v>Tribal Gaming; Person 18 or older but less than 21 yrs of age, placing any wager or playing any class III game, gaming device or electronic game of chance at a tribal gaming facility</v>
      </c>
      <c r="D2805" s="49" t="str">
        <f t="shared" si="3"/>
        <v>74-9809(g)</v>
      </c>
      <c r="E2805" s="11" t="s">
        <v>133</v>
      </c>
      <c r="F2805" s="11">
        <v>3.0</v>
      </c>
      <c r="G2805" s="11">
        <v>3.0</v>
      </c>
      <c r="H2805" s="11">
        <v>3.0</v>
      </c>
      <c r="I2805" s="11">
        <v>3.0</v>
      </c>
    </row>
    <row r="2806">
      <c r="A2806" s="10" t="s">
        <v>9203</v>
      </c>
      <c r="B2806" s="49" t="str">
        <f t="shared" si="1"/>
        <v>Unauthorized Delivery of Stored Goods</v>
      </c>
      <c r="C2806" s="49" t="str">
        <f t="shared" si="2"/>
        <v>Unauthorized Delivery of Stored Goods</v>
      </c>
      <c r="D2806" s="49" t="str">
        <f t="shared" si="3"/>
        <v>21-5832(a)</v>
      </c>
      <c r="E2806" s="11" t="s">
        <v>133</v>
      </c>
      <c r="F2806" s="11">
        <v>3.0</v>
      </c>
      <c r="G2806" s="11">
        <v>3.0</v>
      </c>
      <c r="H2806" s="11">
        <v>3.0</v>
      </c>
      <c r="I2806" s="11">
        <v>3.0</v>
      </c>
    </row>
    <row r="2807">
      <c r="A2807" s="10" t="s">
        <v>9204</v>
      </c>
      <c r="B2807" s="49" t="str">
        <f t="shared" si="1"/>
        <v>Unfair Trade &amp; Consumer Protection</v>
      </c>
      <c r="C2807" s="49" t="str">
        <f t="shared" si="2"/>
        <v>Unfair Trade &amp; Consumer Protection; Extend credit to a retail dealer beyond the normal periods of payment commonly prevailing in the business territory of the sale</v>
      </c>
      <c r="D2807" s="49" t="str">
        <f t="shared" si="3"/>
        <v>50-503(h)</v>
      </c>
      <c r="E2807" s="11" t="s">
        <v>133</v>
      </c>
      <c r="F2807" s="11">
        <v>3.0</v>
      </c>
      <c r="G2807" s="11">
        <v>3.0</v>
      </c>
      <c r="H2807" s="11">
        <v>3.0</v>
      </c>
      <c r="I2807" s="11">
        <v>3.0</v>
      </c>
    </row>
    <row r="2808">
      <c r="A2808" s="10" t="s">
        <v>9205</v>
      </c>
      <c r="B2808" s="49" t="str">
        <f t="shared" si="1"/>
        <v>Unfair Trade &amp; Consumer Protection</v>
      </c>
      <c r="C2808" s="49" t="str">
        <f t="shared" si="2"/>
        <v>Unfair Trade &amp; Consumer Protection; Fail, neglect, or refuse to remove, repossess or institute an appropriate replevin action to recover any fixture or equipment sold to any retail dealer or consumer under a conditional sales contract or secured by chattel mortgage as authorized by the provisions of this act, if such retail dealer or consumer has been in default of any payment for more than 90 days</v>
      </c>
      <c r="D2808" s="49" t="str">
        <f t="shared" si="3"/>
        <v>50-503(d)</v>
      </c>
      <c r="E2808" s="11" t="s">
        <v>133</v>
      </c>
      <c r="F2808" s="11">
        <v>3.0</v>
      </c>
      <c r="G2808" s="11">
        <v>3.0</v>
      </c>
      <c r="H2808" s="11">
        <v>3.0</v>
      </c>
      <c r="I2808" s="11">
        <v>3.0</v>
      </c>
    </row>
    <row r="2809">
      <c r="A2809" s="10" t="s">
        <v>9206</v>
      </c>
      <c r="B2809" s="49" t="str">
        <f t="shared" si="1"/>
        <v>Unfair Trade &amp; Consumer Protection</v>
      </c>
      <c r="C2809" s="49" t="str">
        <f t="shared" si="2"/>
        <v>Unfair Trade &amp; Consumer Protection; Furnish or provide for the mechanical or electrical servicing of any fixtures or equipment used in connection with the sale or consumption of dairy products by a retail dealer or consumer</v>
      </c>
      <c r="D2809" s="49" t="str">
        <f t="shared" si="3"/>
        <v>50-503(c)</v>
      </c>
      <c r="E2809" s="11" t="s">
        <v>133</v>
      </c>
      <c r="F2809" s="11">
        <v>3.0</v>
      </c>
      <c r="G2809" s="11">
        <v>3.0</v>
      </c>
      <c r="H2809" s="11">
        <v>3.0</v>
      </c>
      <c r="I2809" s="11">
        <v>3.0</v>
      </c>
    </row>
    <row r="2810">
      <c r="A2810" s="10" t="s">
        <v>9207</v>
      </c>
      <c r="B2810" s="49" t="str">
        <f t="shared" si="1"/>
        <v>Unfair Trade &amp; Consumer Protection</v>
      </c>
      <c r="C2810" s="49" t="str">
        <f t="shared" si="2"/>
        <v>Unfair Trade &amp; Consumer Protection; Furnish, give, rent, lease, or lend to a retail dealer any money, equipment, fixtures, ice cream cabinets or bulk milk dispensers, supplies, or other things having a real or substantial value, or any expendable supplies commonly provided in connection with sales of dairy products to the consumer</v>
      </c>
      <c r="D2810" s="49" t="str">
        <f t="shared" si="3"/>
        <v>50-503(a)</v>
      </c>
      <c r="E2810" s="11" t="s">
        <v>133</v>
      </c>
      <c r="F2810" s="11">
        <v>3.0</v>
      </c>
      <c r="G2810" s="11">
        <v>3.0</v>
      </c>
      <c r="H2810" s="11">
        <v>3.0</v>
      </c>
      <c r="I2810" s="11">
        <v>3.0</v>
      </c>
    </row>
    <row r="2811">
      <c r="A2811" s="10" t="s">
        <v>9208</v>
      </c>
      <c r="B2811" s="49" t="str">
        <f t="shared" si="1"/>
        <v>Unfair Trade &amp; Consumer Protection</v>
      </c>
      <c r="C2811" s="49" t="str">
        <f t="shared" si="2"/>
        <v>Unfair Trade &amp; Consumer Protection; Grant to any retail dealer any secret discount, make any rebate, or permit any deviation from the price at which such person furnishes dairy products of the same quality, brand and quantity to other retail dealers in the same city, unincorporated town, or immediate vicinity thereof</v>
      </c>
      <c r="D2811" s="49" t="str">
        <f t="shared" si="3"/>
        <v>50-503(m)</v>
      </c>
      <c r="E2811" s="11" t="s">
        <v>133</v>
      </c>
      <c r="F2811" s="11">
        <v>3.0</v>
      </c>
      <c r="G2811" s="11">
        <v>3.0</v>
      </c>
      <c r="H2811" s="11">
        <v>3.0</v>
      </c>
      <c r="I2811" s="11">
        <v>3.0</v>
      </c>
    </row>
    <row r="2812">
      <c r="A2812" s="10" t="s">
        <v>9209</v>
      </c>
      <c r="B2812" s="49" t="str">
        <f t="shared" si="1"/>
        <v>Unfair Trade &amp; Consumer Protection</v>
      </c>
      <c r="C2812" s="49" t="str">
        <f t="shared" si="2"/>
        <v>Unfair Trade &amp; Consumer Protection; Make, guarantee or procure another to guarantee any loan or the payment of any financial obligation of a retail dealer</v>
      </c>
      <c r="D2812" s="49" t="str">
        <f t="shared" si="3"/>
        <v>50-503(g)</v>
      </c>
      <c r="E2812" s="11" t="s">
        <v>133</v>
      </c>
      <c r="F2812" s="11">
        <v>3.0</v>
      </c>
      <c r="G2812" s="11">
        <v>3.0</v>
      </c>
      <c r="H2812" s="11">
        <v>3.0</v>
      </c>
      <c r="I2812" s="11">
        <v>3.0</v>
      </c>
    </row>
    <row r="2813">
      <c r="A2813" s="10" t="s">
        <v>9210</v>
      </c>
      <c r="B2813" s="49" t="str">
        <f t="shared" si="1"/>
        <v>Unfair Trade &amp; Consumer Protection</v>
      </c>
      <c r="C2813" s="49" t="str">
        <f t="shared" si="2"/>
        <v>Unfair Trade &amp; Consumer Protection; Offer or give any bonus, premium, or compensation to a retail dealer, directly or indirectly, through or to an officer, employee, associate, relative or representative of a retail dealer</v>
      </c>
      <c r="D2813" s="49" t="str">
        <f t="shared" si="3"/>
        <v>50-503(i)</v>
      </c>
      <c r="E2813" s="11" t="s">
        <v>133</v>
      </c>
      <c r="F2813" s="11">
        <v>3.0</v>
      </c>
      <c r="G2813" s="11">
        <v>3.0</v>
      </c>
      <c r="H2813" s="11">
        <v>3.0</v>
      </c>
      <c r="I2813" s="11">
        <v>3.0</v>
      </c>
    </row>
    <row r="2814">
      <c r="A2814" s="10" t="s">
        <v>9211</v>
      </c>
      <c r="B2814" s="49" t="str">
        <f t="shared" si="1"/>
        <v>Unfair Trade &amp; Consumer Protection</v>
      </c>
      <c r="C2814" s="49" t="str">
        <f t="shared" si="2"/>
        <v>Unfair Trade &amp; Consumer Protection; Pay or credit a retail dealer for the use of any floor space, shelf space or equipment within or at such person's place of business</v>
      </c>
      <c r="D2814" s="49" t="str">
        <f t="shared" si="3"/>
        <v>50-503(f)</v>
      </c>
      <c r="E2814" s="11" t="s">
        <v>133</v>
      </c>
      <c r="F2814" s="11">
        <v>3.0</v>
      </c>
      <c r="G2814" s="11">
        <v>3.0</v>
      </c>
      <c r="H2814" s="11">
        <v>3.0</v>
      </c>
      <c r="I2814" s="11">
        <v>3.0</v>
      </c>
    </row>
    <row r="2815">
      <c r="A2815" s="10" t="s">
        <v>9212</v>
      </c>
      <c r="B2815" s="49" t="str">
        <f t="shared" si="1"/>
        <v>Unfair Trade &amp; Consumer Protection</v>
      </c>
      <c r="C2815" s="49" t="str">
        <f t="shared" si="2"/>
        <v>Unfair Trade &amp; Consumer Protection; Pay to or credit a retail dealer or pay for or on behalf of or for the benefit of a retail dealer for any advertising, display or distribution service, unless exception herein applies</v>
      </c>
      <c r="D2815" s="49" t="str">
        <f t="shared" si="3"/>
        <v>50-503(e)</v>
      </c>
      <c r="E2815" s="11" t="s">
        <v>133</v>
      </c>
      <c r="F2815" s="11">
        <v>3.0</v>
      </c>
      <c r="G2815" s="11">
        <v>3.0</v>
      </c>
      <c r="H2815" s="11">
        <v>3.0</v>
      </c>
      <c r="I2815" s="11">
        <v>3.0</v>
      </c>
    </row>
    <row r="2816">
      <c r="A2816" s="10" t="s">
        <v>9213</v>
      </c>
      <c r="B2816" s="49" t="str">
        <f t="shared" si="1"/>
        <v>Unfair Trade &amp; Consumer Protection</v>
      </c>
      <c r="C2816" s="49" t="str">
        <f t="shared" si="2"/>
        <v>Unfair Trade &amp; Consumer Protection; Permit any retail dealer to do for or on behalf of such wholesaler, processor or distributor any of the acts hereby made unlawful to be done</v>
      </c>
      <c r="D2816" s="49" t="str">
        <f t="shared" si="3"/>
        <v>50-503(n)</v>
      </c>
      <c r="E2816" s="11" t="s">
        <v>133</v>
      </c>
      <c r="F2816" s="11">
        <v>3.0</v>
      </c>
      <c r="G2816" s="11">
        <v>3.0</v>
      </c>
      <c r="H2816" s="11">
        <v>3.0</v>
      </c>
      <c r="I2816" s="11">
        <v>3.0</v>
      </c>
    </row>
    <row r="2817">
      <c r="A2817" s="10" t="s">
        <v>9214</v>
      </c>
      <c r="B2817" s="49" t="str">
        <f t="shared" si="1"/>
        <v>Unfair Trade &amp; Consumer Protection</v>
      </c>
      <c r="C2817" s="49" t="str">
        <f t="shared" si="2"/>
        <v>Unfair Trade &amp; Consumer Protection; Sell any products, unit or combination thereof, for less than cost to the wholesaler, processor or distributor at the point of delivery; sell to any retail dealer any expendable supplies for less than cost to any such wholesaler, processor or distributor at the point of delivery plus a markup of 6% of such cost as a proportionate share of the cost of doing business</v>
      </c>
      <c r="D2817" s="49" t="str">
        <f t="shared" si="3"/>
        <v>50-503(l)</v>
      </c>
      <c r="E2817" s="11" t="s">
        <v>133</v>
      </c>
      <c r="F2817" s="11">
        <v>3.0</v>
      </c>
      <c r="G2817" s="11">
        <v>3.0</v>
      </c>
      <c r="H2817" s="11">
        <v>3.0</v>
      </c>
      <c r="I2817" s="11">
        <v>3.0</v>
      </c>
    </row>
    <row r="2818">
      <c r="A2818" s="10" t="s">
        <v>9215</v>
      </c>
      <c r="B2818" s="49" t="str">
        <f t="shared" si="1"/>
        <v>Unfair Trade &amp; Consumer Protection</v>
      </c>
      <c r="C2818" s="49" t="str">
        <f t="shared" si="2"/>
        <v>Unfair Trade &amp; Consumer Protection; Sell to any retail dealer or consumer any fixtures or equipment other than ice cream cabinets or bulk milk dispensers, or sell to any retail dealer or consumer any ice cream cabinets or bulk milk dispensers at unauthorized price</v>
      </c>
      <c r="D2818" s="49" t="str">
        <f t="shared" si="3"/>
        <v>50-503(b)</v>
      </c>
      <c r="E2818" s="11" t="s">
        <v>133</v>
      </c>
      <c r="F2818" s="11">
        <v>3.0</v>
      </c>
      <c r="G2818" s="11">
        <v>3.0</v>
      </c>
      <c r="H2818" s="11">
        <v>3.0</v>
      </c>
      <c r="I2818" s="11">
        <v>3.0</v>
      </c>
    </row>
    <row r="2819">
      <c r="A2819" s="10" t="s">
        <v>9216</v>
      </c>
      <c r="B2819" s="49" t="str">
        <f t="shared" si="1"/>
        <v>Unfair Trade &amp; Consumer Protection</v>
      </c>
      <c r="C2819" s="49" t="str">
        <f t="shared" si="2"/>
        <v>Unfair Trade &amp; Consumer Protection; Sell, offer for sale, or contract to sell dairy products to any retail dealer on consignment, or with the privilege of return, or on any basis other than a bona fide sale</v>
      </c>
      <c r="D2819" s="49" t="str">
        <f t="shared" si="3"/>
        <v>50-503(j)</v>
      </c>
      <c r="E2819" s="11" t="s">
        <v>133</v>
      </c>
      <c r="F2819" s="11">
        <v>3.0</v>
      </c>
      <c r="G2819" s="11">
        <v>3.0</v>
      </c>
      <c r="H2819" s="11">
        <v>3.0</v>
      </c>
      <c r="I2819" s="11">
        <v>3.0</v>
      </c>
    </row>
    <row r="2820">
      <c r="A2820" s="10" t="s">
        <v>9217</v>
      </c>
      <c r="B2820" s="49" t="str">
        <f t="shared" si="1"/>
        <v>Unfair Trade &amp; Consumer Protection</v>
      </c>
      <c r="C2820" s="49" t="str">
        <f t="shared" si="2"/>
        <v>Unfair Trade &amp; Consumer Protection; Use or employ any device or scheme to subsidize any retail dealer</v>
      </c>
      <c r="D2820" s="49" t="str">
        <f t="shared" si="3"/>
        <v>50-503(k)</v>
      </c>
      <c r="E2820" s="11" t="s">
        <v>133</v>
      </c>
      <c r="F2820" s="11">
        <v>3.0</v>
      </c>
      <c r="G2820" s="11">
        <v>3.0</v>
      </c>
      <c r="H2820" s="11">
        <v>3.0</v>
      </c>
      <c r="I2820" s="11">
        <v>3.0</v>
      </c>
    </row>
    <row r="2821">
      <c r="A2821" s="10" t="s">
        <v>9218</v>
      </c>
      <c r="B2821" s="49" t="str">
        <f t="shared" si="1"/>
        <v>Uniform Act Regulating Traffic</v>
      </c>
      <c r="C2821" s="49" t="str">
        <f t="shared" si="2"/>
        <v>Uniform Act Regulating Traffic; 1-way glass and sun screening devices; headlamps</v>
      </c>
      <c r="D2821" s="49" t="str">
        <f t="shared" si="3"/>
        <v>8-1749a(e)</v>
      </c>
      <c r="E2821" s="11" t="s">
        <v>133</v>
      </c>
      <c r="F2821" s="11">
        <v>3.0</v>
      </c>
      <c r="G2821" s="11">
        <v>3.0</v>
      </c>
      <c r="H2821" s="11">
        <v>3.0</v>
      </c>
      <c r="I2821" s="11">
        <v>3.0</v>
      </c>
    </row>
    <row r="2822">
      <c r="A2822" s="10" t="s">
        <v>9219</v>
      </c>
      <c r="B2822" s="49" t="str">
        <f t="shared" si="1"/>
        <v>Uniform Act Regulating Traffic</v>
      </c>
      <c r="C2822" s="49" t="str">
        <f t="shared" si="2"/>
        <v>Uniform Act Regulating Traffic; 1-way glass and sun screening devices; windows</v>
      </c>
      <c r="D2822" s="49" t="str">
        <f t="shared" si="3"/>
        <v>8-1749a(a)</v>
      </c>
      <c r="E2822" s="11" t="s">
        <v>133</v>
      </c>
      <c r="F2822" s="11">
        <v>3.0</v>
      </c>
      <c r="G2822" s="11">
        <v>3.0</v>
      </c>
      <c r="H2822" s="11">
        <v>3.0</v>
      </c>
      <c r="I2822" s="11">
        <v>3.0</v>
      </c>
    </row>
    <row r="2823">
      <c r="A2823" s="10" t="s">
        <v>9220</v>
      </c>
      <c r="B2823" s="49" t="str">
        <f t="shared" si="1"/>
        <v>Uniform Act Regulating Traffic</v>
      </c>
      <c r="C2823" s="49" t="str">
        <f t="shared" si="2"/>
        <v>Uniform Act Regulating Traffic; Applying for a replacement or new DL prior to the return of such person's original license which has been deposited in lieu of bond under this section</v>
      </c>
      <c r="D2823" s="49" t="str">
        <f t="shared" si="3"/>
        <v>8-2107(b)</v>
      </c>
      <c r="E2823" s="11" t="s">
        <v>133</v>
      </c>
      <c r="F2823" s="11">
        <v>3.0</v>
      </c>
      <c r="G2823" s="11">
        <v>3.0</v>
      </c>
      <c r="H2823" s="11">
        <v>3.0</v>
      </c>
      <c r="I2823" s="11">
        <v>3.0</v>
      </c>
    </row>
    <row r="2824">
      <c r="A2824" s="10" t="s">
        <v>9221</v>
      </c>
      <c r="B2824" s="49" t="str">
        <f t="shared" si="1"/>
        <v>Uniform Act Regulating Traffic</v>
      </c>
      <c r="C2824" s="49" t="str">
        <f t="shared" si="2"/>
        <v>Uniform Act Regulating Traffic; Disobeying restrictions stated on official traffic-control devices on a controlled-access highway or facility; 1st violation</v>
      </c>
      <c r="D2824" s="49" t="str">
        <f t="shared" si="3"/>
        <v>8-1525(b)</v>
      </c>
      <c r="E2824" s="11" t="s">
        <v>133</v>
      </c>
      <c r="F2824" s="11">
        <v>3.0</v>
      </c>
      <c r="G2824" s="11">
        <v>3.0</v>
      </c>
      <c r="H2824" s="11">
        <v>3.0</v>
      </c>
      <c r="I2824" s="11">
        <v>3.0</v>
      </c>
    </row>
    <row r="2825">
      <c r="A2825" s="10" t="s">
        <v>9222</v>
      </c>
      <c r="B2825" s="49" t="str">
        <f t="shared" si="1"/>
        <v>Uniform Act Regulating Traffic</v>
      </c>
      <c r="C2825" s="49" t="str">
        <f t="shared" si="2"/>
        <v>Uniform Act Regulating Traffic; Fail or refuse to weigh vehicle; 1st violation</v>
      </c>
      <c r="D2825" s="49" t="str">
        <f t="shared" si="3"/>
        <v>8-1910(a)</v>
      </c>
      <c r="E2825" s="11" t="s">
        <v>133</v>
      </c>
      <c r="F2825" s="11">
        <v>3.0</v>
      </c>
      <c r="G2825" s="11">
        <v>3.0</v>
      </c>
      <c r="H2825" s="11">
        <v>3.0</v>
      </c>
      <c r="I2825" s="11">
        <v>3.0</v>
      </c>
    </row>
    <row r="2826">
      <c r="A2826" s="10" t="s">
        <v>9223</v>
      </c>
      <c r="B2826" s="49" t="str">
        <f t="shared" si="1"/>
        <v>Uniform Act Regulating Traffic</v>
      </c>
      <c r="C2826" s="49" t="str">
        <f t="shared" si="2"/>
        <v>Uniform Act Regulating Traffic; Fail to comply with rules and regulations pertaining to transportation of hazardous materials</v>
      </c>
      <c r="D2826" s="49" t="str">
        <f t="shared" si="3"/>
        <v>8-1746(b)</v>
      </c>
      <c r="E2826" s="11" t="s">
        <v>133</v>
      </c>
      <c r="F2826" s="11">
        <v>3.0</v>
      </c>
      <c r="G2826" s="11">
        <v>3.0</v>
      </c>
      <c r="H2826" s="11">
        <v>3.0</v>
      </c>
      <c r="I2826" s="11">
        <v>3.0</v>
      </c>
    </row>
    <row r="2827">
      <c r="A2827" s="10" t="s">
        <v>9224</v>
      </c>
      <c r="B2827" s="49" t="str">
        <f t="shared" si="1"/>
        <v>Uniform Act Regulating Traffic</v>
      </c>
      <c r="C2827" s="49" t="str">
        <f t="shared" si="2"/>
        <v>Uniform Act Regulating Traffic; Fail to place marks or placards on vehicle as required</v>
      </c>
      <c r="D2827" s="49" t="str">
        <f t="shared" si="3"/>
        <v>8-1746(c)</v>
      </c>
      <c r="E2827" s="11" t="s">
        <v>133</v>
      </c>
      <c r="F2827" s="11">
        <v>3.0</v>
      </c>
      <c r="G2827" s="11">
        <v>3.0</v>
      </c>
      <c r="H2827" s="11">
        <v>3.0</v>
      </c>
      <c r="I2827" s="11">
        <v>3.0</v>
      </c>
    </row>
    <row r="2828">
      <c r="A2828" s="10" t="s">
        <v>9225</v>
      </c>
      <c r="B2828" s="49" t="str">
        <f t="shared" si="1"/>
        <v>Uniform Act Regulating Traffic</v>
      </c>
      <c r="C2828" s="49" t="str">
        <f t="shared" si="2"/>
        <v>Uniform Act Regulating Traffic; Failure of driver to stop and submit vehicle to an inspection and test upon request of highway patrol officer</v>
      </c>
      <c r="D2828" s="49" t="str">
        <f t="shared" si="3"/>
        <v>8-1759a(a)</v>
      </c>
      <c r="E2828" s="11" t="s">
        <v>133</v>
      </c>
      <c r="F2828" s="11">
        <v>3.0</v>
      </c>
      <c r="G2828" s="11">
        <v>3.0</v>
      </c>
      <c r="H2828" s="11">
        <v>3.0</v>
      </c>
      <c r="I2828" s="11">
        <v>3.0</v>
      </c>
    </row>
    <row r="2829">
      <c r="A2829" s="10" t="s">
        <v>9226</v>
      </c>
      <c r="B2829" s="49" t="str">
        <f t="shared" si="1"/>
        <v>Uniform Act Regulating Traffic</v>
      </c>
      <c r="C2829" s="49" t="str">
        <f t="shared" si="2"/>
        <v>Uniform Act Regulating Traffic; Failure to comply with highway patrol officers order to cease driving hazardous, defective vehicle or to drive to nearest garage or other place of safety</v>
      </c>
      <c r="D2829" s="49" t="str">
        <f t="shared" si="3"/>
        <v>8-1759a(c)</v>
      </c>
      <c r="E2829" s="11" t="s">
        <v>133</v>
      </c>
      <c r="F2829" s="11">
        <v>3.0</v>
      </c>
      <c r="G2829" s="11">
        <v>3.0</v>
      </c>
      <c r="H2829" s="11">
        <v>3.0</v>
      </c>
      <c r="I2829" s="11">
        <v>3.0</v>
      </c>
    </row>
    <row r="2830">
      <c r="A2830" s="10" t="s">
        <v>9227</v>
      </c>
      <c r="B2830" s="49" t="str">
        <f t="shared" si="1"/>
        <v>Uniform Act Regulating Traffic</v>
      </c>
      <c r="C2830" s="49" t="str">
        <f t="shared" si="2"/>
        <v>Uniform Act Regulating Traffic; Failure to comply with traffic citation</v>
      </c>
      <c r="D2830" s="49" t="str">
        <f t="shared" si="3"/>
        <v>8-2110(a)</v>
      </c>
      <c r="E2830" s="11" t="s">
        <v>133</v>
      </c>
      <c r="F2830" s="11">
        <v>3.0</v>
      </c>
      <c r="G2830" s="11">
        <v>3.0</v>
      </c>
      <c r="H2830" s="11">
        <v>3.0</v>
      </c>
      <c r="I2830" s="11">
        <v>3.0</v>
      </c>
    </row>
    <row r="2831">
      <c r="A2831" s="10" t="s">
        <v>9228</v>
      </c>
      <c r="B2831" s="49" t="str">
        <f t="shared" si="1"/>
        <v>Uniform Act Regulating Traffic</v>
      </c>
      <c r="C2831" s="49" t="str">
        <f t="shared" si="2"/>
        <v>Uniform Act Regulating Traffic; Failure to properly equip vehicle with fire extinguishers of a type, size and number approved by the secretary</v>
      </c>
      <c r="D2831" s="49" t="str">
        <f t="shared" si="3"/>
        <v>8-1746(d)</v>
      </c>
      <c r="E2831" s="11" t="s">
        <v>133</v>
      </c>
      <c r="F2831" s="11">
        <v>3.0</v>
      </c>
      <c r="G2831" s="11">
        <v>3.0</v>
      </c>
      <c r="H2831" s="11">
        <v>3.0</v>
      </c>
      <c r="I2831" s="11">
        <v>3.0</v>
      </c>
    </row>
    <row r="2832">
      <c r="A2832" s="10" t="s">
        <v>9229</v>
      </c>
      <c r="B2832" s="49" t="str">
        <f t="shared" si="1"/>
        <v>Uniform Act Regulating Traffic</v>
      </c>
      <c r="C2832" s="49" t="str">
        <f t="shared" si="2"/>
        <v>Uniform Act Regulating Traffic; Failure to stop at a spot inspection by highway patrol</v>
      </c>
      <c r="D2832" s="49" t="str">
        <f t="shared" si="3"/>
        <v>8-1759(a)</v>
      </c>
      <c r="E2832" s="11" t="s">
        <v>133</v>
      </c>
      <c r="F2832" s="11">
        <v>3.0</v>
      </c>
      <c r="G2832" s="11">
        <v>3.0</v>
      </c>
      <c r="H2832" s="11">
        <v>3.0</v>
      </c>
      <c r="I2832" s="11">
        <v>3.0</v>
      </c>
    </row>
    <row r="2833">
      <c r="A2833" s="10" t="s">
        <v>9230</v>
      </c>
      <c r="B2833" s="49" t="str">
        <f t="shared" si="1"/>
        <v>Uniform Act Regulating Traffic</v>
      </c>
      <c r="C2833" s="49" t="str">
        <f t="shared" si="2"/>
        <v>Uniform Act Regulating Traffic; Highway patrol officer required to give a written notice of any defect to the driver</v>
      </c>
      <c r="D2833" s="49" t="str">
        <f t="shared" si="3"/>
        <v>8-1759a(b)</v>
      </c>
      <c r="E2833" s="11" t="s">
        <v>133</v>
      </c>
      <c r="F2833" s="11">
        <v>3.0</v>
      </c>
      <c r="G2833" s="11">
        <v>3.0</v>
      </c>
      <c r="H2833" s="11">
        <v>3.0</v>
      </c>
      <c r="I2833" s="11">
        <v>3.0</v>
      </c>
    </row>
    <row r="2834">
      <c r="A2834" s="10" t="s">
        <v>9231</v>
      </c>
      <c r="B2834" s="49" t="str">
        <f t="shared" si="1"/>
        <v>Uniform Act Regulating Traffic</v>
      </c>
      <c r="C2834" s="49" t="str">
        <f t="shared" si="2"/>
        <v>Uniform Act Regulating Traffic; Interference with official traffic control devices/railroad signs; 1st violation</v>
      </c>
      <c r="D2834" s="49" t="str">
        <f t="shared" si="3"/>
        <v>-141135</v>
      </c>
      <c r="E2834" s="11" t="s">
        <v>133</v>
      </c>
      <c r="F2834" s="11">
        <v>3.0</v>
      </c>
      <c r="G2834" s="11">
        <v>3.0</v>
      </c>
      <c r="H2834" s="11">
        <v>3.0</v>
      </c>
      <c r="I2834" s="11">
        <v>3.0</v>
      </c>
    </row>
    <row r="2835">
      <c r="A2835" s="10" t="s">
        <v>9232</v>
      </c>
      <c r="B2835" s="49" t="str">
        <f t="shared" si="1"/>
        <v>Uniform Act Regulating Traffic</v>
      </c>
      <c r="C2835" s="49" t="str">
        <f t="shared" si="2"/>
        <v>Uniform Act Regulating Traffic; Pedestrians under the influence of Drugs or Alcohol; 1st violation</v>
      </c>
      <c r="D2835" s="49" t="str">
        <f t="shared" si="3"/>
        <v>-130178</v>
      </c>
      <c r="E2835" s="11" t="s">
        <v>133</v>
      </c>
      <c r="F2835" s="11">
        <v>3.0</v>
      </c>
      <c r="G2835" s="11">
        <v>3.0</v>
      </c>
      <c r="H2835" s="11">
        <v>3.0</v>
      </c>
      <c r="I2835" s="11">
        <v>3.0</v>
      </c>
    </row>
    <row r="2836">
      <c r="A2836" s="10" t="s">
        <v>9233</v>
      </c>
      <c r="B2836" s="49" t="str">
        <f t="shared" si="1"/>
        <v>Uniform Act Regulating Traffic</v>
      </c>
      <c r="C2836" s="49" t="str">
        <f t="shared" si="2"/>
        <v>Uniform Act Regulating Traffic; Racing on highways</v>
      </c>
      <c r="D2836" s="49" t="str">
        <f t="shared" si="3"/>
        <v>8-1565(a)</v>
      </c>
      <c r="E2836" s="11" t="s">
        <v>133</v>
      </c>
      <c r="F2836" s="11">
        <v>3.0</v>
      </c>
      <c r="G2836" s="11">
        <v>3.0</v>
      </c>
      <c r="H2836" s="11">
        <v>3.0</v>
      </c>
      <c r="I2836" s="11">
        <v>3.0</v>
      </c>
    </row>
    <row r="2837">
      <c r="A2837" s="10" t="s">
        <v>9234</v>
      </c>
      <c r="B2837" s="49" t="str">
        <f t="shared" si="1"/>
        <v>Uniform Act Regulating Traffic</v>
      </c>
      <c r="C2837" s="49" t="str">
        <f t="shared" si="2"/>
        <v>Uniform Act Regulating Traffic; Reckless driving</v>
      </c>
      <c r="D2837" s="49" t="str">
        <f t="shared" si="3"/>
        <v>8-1566(a)</v>
      </c>
      <c r="E2837" s="11" t="s">
        <v>133</v>
      </c>
      <c r="F2837" s="11">
        <v>3.0</v>
      </c>
      <c r="G2837" s="11">
        <v>3.0</v>
      </c>
      <c r="H2837" s="11">
        <v>3.0</v>
      </c>
      <c r="I2837" s="11">
        <v>3.0</v>
      </c>
    </row>
    <row r="2838">
      <c r="A2838" s="10" t="s">
        <v>9235</v>
      </c>
      <c r="B2838" s="49" t="str">
        <f t="shared" si="1"/>
        <v>Uniform Act Regulating Traffic</v>
      </c>
      <c r="C2838" s="49" t="str">
        <f t="shared" si="2"/>
        <v>Uniform Act Regulating Traffic; Replace any glass or glazing materials in certain locations with any material other than safety glazing material</v>
      </c>
      <c r="D2838" s="49" t="str">
        <f t="shared" si="3"/>
        <v>8-1743(d)</v>
      </c>
      <c r="E2838" s="11" t="s">
        <v>133</v>
      </c>
      <c r="F2838" s="11">
        <v>3.0</v>
      </c>
      <c r="G2838" s="11">
        <v>3.0</v>
      </c>
      <c r="H2838" s="11">
        <v>3.0</v>
      </c>
      <c r="I2838" s="11">
        <v>3.0</v>
      </c>
    </row>
    <row r="2839">
      <c r="A2839" s="10" t="s">
        <v>9236</v>
      </c>
      <c r="B2839" s="49" t="str">
        <f t="shared" si="1"/>
        <v>Uniform Act Regulating Traffic</v>
      </c>
      <c r="C2839" s="49" t="str">
        <f t="shared" si="2"/>
        <v>Uniform Act Regulating Traffic; Sale of new passenger vehicle without safety glazing material</v>
      </c>
      <c r="D2839" s="49" t="str">
        <f t="shared" si="3"/>
        <v>8-1743(a)</v>
      </c>
      <c r="E2839" s="11" t="s">
        <v>133</v>
      </c>
      <c r="F2839" s="11">
        <v>3.0</v>
      </c>
      <c r="G2839" s="11">
        <v>3.0</v>
      </c>
      <c r="H2839" s="11">
        <v>3.0</v>
      </c>
      <c r="I2839" s="11">
        <v>3.0</v>
      </c>
    </row>
    <row r="2840">
      <c r="A2840" s="10" t="s">
        <v>9237</v>
      </c>
      <c r="B2840" s="49" t="str">
        <f t="shared" si="1"/>
        <v>Uniform Act Regulating Traffic</v>
      </c>
      <c r="C2840" s="49" t="str">
        <f t="shared" si="2"/>
        <v>Uniform Act Regulating Traffic; Sell unsafe tires</v>
      </c>
      <c r="D2840" s="49" t="str">
        <f t="shared" si="3"/>
        <v>8-1742a</v>
      </c>
      <c r="E2840" s="11" t="s">
        <v>133</v>
      </c>
      <c r="F2840" s="11">
        <v>3.0</v>
      </c>
      <c r="G2840" s="11">
        <v>3.0</v>
      </c>
      <c r="H2840" s="11">
        <v>3.0</v>
      </c>
      <c r="I2840" s="11">
        <v>3.0</v>
      </c>
    </row>
    <row r="2841">
      <c r="A2841" s="10" t="s">
        <v>9238</v>
      </c>
      <c r="B2841" s="49" t="str">
        <f t="shared" si="1"/>
        <v>Uniform Act Regulating Traffic</v>
      </c>
      <c r="C2841" s="49" t="str">
        <f t="shared" si="2"/>
        <v>Uniform Act Regulating Traffic; Sell, or affix to a motor vehicle, any truck-camper manufactured or assembled after July 1, 1968, without safety glazing material</v>
      </c>
      <c r="D2841" s="49" t="str">
        <f t="shared" si="3"/>
        <v>8-1743(b)</v>
      </c>
      <c r="E2841" s="11" t="s">
        <v>133</v>
      </c>
      <c r="F2841" s="11">
        <v>3.0</v>
      </c>
      <c r="G2841" s="11">
        <v>3.0</v>
      </c>
      <c r="H2841" s="11">
        <v>3.0</v>
      </c>
      <c r="I2841" s="11">
        <v>3.0</v>
      </c>
    </row>
    <row r="2842">
      <c r="A2842" s="10" t="s">
        <v>9239</v>
      </c>
      <c r="B2842" s="49" t="str">
        <f t="shared" si="1"/>
        <v>Uniform Act Regulating Traffic</v>
      </c>
      <c r="C2842" s="49" t="str">
        <f t="shared" si="2"/>
        <v>Uniform Act Regulating Traffic; Transporting Alcoholic beverage in an open container</v>
      </c>
      <c r="D2842" s="49" t="str">
        <f t="shared" si="3"/>
        <v>8-1599(b)</v>
      </c>
      <c r="E2842" s="11" t="s">
        <v>133</v>
      </c>
      <c r="F2842" s="11">
        <v>3.0</v>
      </c>
      <c r="G2842" s="11">
        <v>3.0</v>
      </c>
      <c r="H2842" s="11">
        <v>3.0</v>
      </c>
      <c r="I2842" s="11">
        <v>3.0</v>
      </c>
    </row>
    <row r="2843">
      <c r="A2843" s="10" t="s">
        <v>9240</v>
      </c>
      <c r="B2843" s="49" t="str">
        <f t="shared" si="1"/>
        <v>Uniform Act Regulating Traffic</v>
      </c>
      <c r="C2843" s="49" t="str">
        <f t="shared" si="2"/>
        <v>Uniform Act Regulating Traffic; Violation of act not in K.S.A. 8-2118; 1st violation</v>
      </c>
      <c r="D2843" s="49" t="str">
        <f t="shared" si="3"/>
        <v>79107</v>
      </c>
      <c r="E2843" s="11" t="s">
        <v>133</v>
      </c>
      <c r="F2843" s="11">
        <v>3.0</v>
      </c>
      <c r="G2843" s="11">
        <v>3.0</v>
      </c>
      <c r="H2843" s="11">
        <v>3.0</v>
      </c>
      <c r="I2843" s="11">
        <v>3.0</v>
      </c>
    </row>
    <row r="2844">
      <c r="A2844" s="10" t="s">
        <v>9241</v>
      </c>
      <c r="B2844" s="49" t="str">
        <f t="shared" si="1"/>
        <v>Uniform Act Regulating Traffic</v>
      </c>
      <c r="C2844" s="49" t="str">
        <f t="shared" si="2"/>
        <v>Uniform Act Regulating Traffic; Violation of act not in K.S.A. 8-2118; 2nd violation with 1 yr of 1st</v>
      </c>
      <c r="D2844" s="49" t="str">
        <f t="shared" si="3"/>
        <v>79107</v>
      </c>
      <c r="E2844" s="11" t="s">
        <v>133</v>
      </c>
      <c r="F2844" s="11">
        <v>3.0</v>
      </c>
      <c r="G2844" s="11">
        <v>3.0</v>
      </c>
      <c r="H2844" s="11">
        <v>3.0</v>
      </c>
      <c r="I2844" s="11">
        <v>3.0</v>
      </c>
    </row>
    <row r="2845">
      <c r="A2845" s="10" t="s">
        <v>9242</v>
      </c>
      <c r="B2845" s="49" t="str">
        <f t="shared" si="1"/>
        <v>Uniform Act Regulating Traffic</v>
      </c>
      <c r="C2845" s="49" t="str">
        <f t="shared" si="2"/>
        <v>Uniform Act Regulating Traffic; Violation of act not in K.S.A. 8-2118; 3rd violation with 1 yr of 1st</v>
      </c>
      <c r="D2845" s="49" t="str">
        <f t="shared" si="3"/>
        <v>79107</v>
      </c>
      <c r="E2845" s="11" t="s">
        <v>133</v>
      </c>
      <c r="F2845" s="11">
        <v>3.0</v>
      </c>
      <c r="G2845" s="11">
        <v>3.0</v>
      </c>
      <c r="H2845" s="11">
        <v>3.0</v>
      </c>
      <c r="I2845" s="11">
        <v>3.0</v>
      </c>
    </row>
    <row r="2846">
      <c r="A2846" s="10" t="s">
        <v>9243</v>
      </c>
      <c r="B2846" s="49" t="str">
        <f t="shared" si="1"/>
        <v>Uniform Act Regulating Traffic</v>
      </c>
      <c r="C2846" s="49" t="str">
        <f t="shared" si="2"/>
        <v>Uniform Act Regulating Traffic; Willful failure or refusal to comply with lawful order/direction of any police officer or fireman with authority to direct, control or regulate traffic; 1st violation</v>
      </c>
      <c r="D2846" s="49" t="str">
        <f t="shared" si="3"/>
        <v>-144788</v>
      </c>
      <c r="E2846" s="11" t="s">
        <v>133</v>
      </c>
      <c r="F2846" s="11">
        <v>3.0</v>
      </c>
      <c r="G2846" s="11">
        <v>3.0</v>
      </c>
      <c r="H2846" s="11">
        <v>3.0</v>
      </c>
      <c r="I2846" s="11">
        <v>3.0</v>
      </c>
    </row>
    <row r="2847">
      <c r="A2847" s="10" t="s">
        <v>9244</v>
      </c>
      <c r="B2847" s="49" t="str">
        <f t="shared" si="1"/>
        <v>Uniform Anatomical Gift Act</v>
      </c>
      <c r="C2847" s="49" t="str">
        <f t="shared" si="2"/>
        <v>Uniform Anatomical Gift Act; Intentionally falsify, forge, conceal, deface or obliterate a document of gift or amendment or revocation of such, or refusal, for financial gain</v>
      </c>
      <c r="D2847" s="49" t="str">
        <f t="shared" si="3"/>
        <v>65-3236</v>
      </c>
      <c r="E2847" s="11" t="s">
        <v>133</v>
      </c>
      <c r="F2847" s="11">
        <v>3.0</v>
      </c>
      <c r="G2847" s="11">
        <v>3.0</v>
      </c>
      <c r="H2847" s="11">
        <v>3.0</v>
      </c>
      <c r="I2847" s="11">
        <v>3.0</v>
      </c>
    </row>
    <row r="2848">
      <c r="A2848" s="10" t="s">
        <v>9245</v>
      </c>
      <c r="B2848" s="49" t="str">
        <f t="shared" si="1"/>
        <v>Uniform Anatomical Gift Act</v>
      </c>
      <c r="C2848" s="49" t="str">
        <f t="shared" si="2"/>
        <v>Uniform Anatomical Gift Act; Knowingly purchase or sell a body part for transplantation or therapy</v>
      </c>
      <c r="D2848" s="49" t="str">
        <f t="shared" si="3"/>
        <v>65-3235(a)</v>
      </c>
      <c r="E2848" s="11" t="s">
        <v>133</v>
      </c>
      <c r="F2848" s="11">
        <v>3.0</v>
      </c>
      <c r="G2848" s="11">
        <v>3.0</v>
      </c>
      <c r="H2848" s="11">
        <v>3.0</v>
      </c>
      <c r="I2848" s="11">
        <v>3.0</v>
      </c>
    </row>
    <row r="2849">
      <c r="A2849" s="10" t="s">
        <v>9246</v>
      </c>
      <c r="B2849" s="49" t="str">
        <f t="shared" si="1"/>
        <v>Uniform Commercial Drivers' License Act</v>
      </c>
      <c r="C2849" s="49" t="str">
        <f t="shared" si="2"/>
        <v>Uniform Commercial Drivers' License Act; Any violation of Act - unless otherwise prescribed by Act</v>
      </c>
      <c r="D2849" s="49" t="str">
        <f t="shared" si="3"/>
        <v>8-2,153(a)</v>
      </c>
      <c r="E2849" s="11" t="s">
        <v>133</v>
      </c>
      <c r="F2849" s="11">
        <v>3.0</v>
      </c>
      <c r="G2849" s="11">
        <v>3.0</v>
      </c>
      <c r="H2849" s="11">
        <v>3.0</v>
      </c>
      <c r="I2849" s="11">
        <v>3.0</v>
      </c>
    </row>
    <row r="2850">
      <c r="A2850" s="10" t="s">
        <v>9247</v>
      </c>
      <c r="B2850" s="49" t="str">
        <f t="shared" si="1"/>
        <v>Uniform Land Sales Practices Act</v>
      </c>
      <c r="C2850" s="49" t="str">
        <f t="shared" si="2"/>
        <v>Uniform Land Sales Practices Act; Dispose of interest in subdivided lands without a current public offering statement provided to purchaser</v>
      </c>
      <c r="D2850" s="49" t="str">
        <f t="shared" si="3"/>
        <v>58-3304(2)</v>
      </c>
      <c r="E2850" s="11" t="s">
        <v>133</v>
      </c>
      <c r="F2850" s="11">
        <v>3.0</v>
      </c>
      <c r="G2850" s="11">
        <v>3.0</v>
      </c>
      <c r="H2850" s="11">
        <v>3.0</v>
      </c>
      <c r="I2850" s="11">
        <v>3.0</v>
      </c>
    </row>
    <row r="2851">
      <c r="A2851" s="10" t="s">
        <v>9248</v>
      </c>
      <c r="B2851" s="49" t="str">
        <f t="shared" si="1"/>
        <v>Uniform Land Sales Practices Act</v>
      </c>
      <c r="C2851" s="49" t="str">
        <f t="shared" si="2"/>
        <v>Uniform Land Sales Practices Act; Offer or dispose of any interest in subdivided lands prior to registration</v>
      </c>
      <c r="D2851" s="49" t="str">
        <f t="shared" si="3"/>
        <v>58-3304(1)</v>
      </c>
      <c r="E2851" s="11" t="s">
        <v>133</v>
      </c>
      <c r="F2851" s="11">
        <v>3.0</v>
      </c>
      <c r="G2851" s="11">
        <v>3.0</v>
      </c>
      <c r="H2851" s="11">
        <v>3.0</v>
      </c>
      <c r="I2851" s="11">
        <v>3.0</v>
      </c>
    </row>
    <row r="2852">
      <c r="A2852" s="10" t="s">
        <v>9249</v>
      </c>
      <c r="B2852" s="49" t="str">
        <f t="shared" si="1"/>
        <v>Uniform Land Sales Practices Act</v>
      </c>
      <c r="C2852" s="49" t="str">
        <f t="shared" si="2"/>
        <v>Uniform Land Sales Practices Act; Penalty for willful violation of act</v>
      </c>
      <c r="D2852" s="49" t="str">
        <f t="shared" si="3"/>
        <v>58-3315</v>
      </c>
      <c r="E2852" s="11" t="s">
        <v>133</v>
      </c>
      <c r="F2852" s="11">
        <v>3.0</v>
      </c>
      <c r="G2852" s="11">
        <v>3.0</v>
      </c>
      <c r="H2852" s="11">
        <v>3.0</v>
      </c>
      <c r="I2852" s="11">
        <v>3.0</v>
      </c>
    </row>
    <row r="2853">
      <c r="A2853" s="10" t="s">
        <v>9250</v>
      </c>
      <c r="B2853" s="49" t="str">
        <f t="shared" si="1"/>
        <v>Uniform Vital Statistics Act</v>
      </c>
      <c r="C2853" s="49" t="str">
        <f t="shared" si="2"/>
        <v>Uniform Vital Statistics Act; Knowingly refuse or omit to provide notice to a person transporting dead body for disposition that the deceased had an infectious or contagious disease</v>
      </c>
      <c r="D2853" s="49" t="str">
        <f t="shared" si="3"/>
        <v>65-2438(a)</v>
      </c>
      <c r="E2853" s="11" t="s">
        <v>133</v>
      </c>
      <c r="F2853" s="11">
        <v>3.0</v>
      </c>
      <c r="G2853" s="11">
        <v>3.0</v>
      </c>
      <c r="H2853" s="11">
        <v>3.0</v>
      </c>
      <c r="I2853" s="11">
        <v>3.0</v>
      </c>
    </row>
    <row r="2854">
      <c r="A2854" s="10" t="s">
        <v>9251</v>
      </c>
      <c r="B2854" s="49" t="str">
        <f t="shared" si="1"/>
        <v>Uniform Vital Statistics Act</v>
      </c>
      <c r="C2854" s="49" t="str">
        <f t="shared" si="2"/>
        <v>Uniform Vital Statistics Act; Knowingly refuse or omit to provide notice to embalmer, funeral director or other person taking possession of body that the deceased had an infectious or contagious disease</v>
      </c>
      <c r="D2854" s="49" t="str">
        <f t="shared" si="3"/>
        <v>65-2438(b)</v>
      </c>
      <c r="E2854" s="11" t="s">
        <v>133</v>
      </c>
      <c r="F2854" s="11">
        <v>3.0</v>
      </c>
      <c r="G2854" s="11">
        <v>3.0</v>
      </c>
      <c r="H2854" s="11">
        <v>3.0</v>
      </c>
      <c r="I2854" s="11">
        <v>3.0</v>
      </c>
    </row>
    <row r="2855">
      <c r="A2855" s="10" t="s">
        <v>9252</v>
      </c>
      <c r="B2855" s="49" t="str">
        <f t="shared" si="1"/>
        <v>Uniform Vital Statistics Act</v>
      </c>
      <c r="C2855" s="49" t="str">
        <f t="shared" si="2"/>
        <v>Uniform Vital Statistics Act; Knowingly transports or accepts for transportation, a dead body located in this state to a location outside the boundaries of this state without an accompanying permit</v>
      </c>
      <c r="D2855" s="49" t="str">
        <f t="shared" si="3"/>
        <v>65-2434(b)</v>
      </c>
      <c r="E2855" s="11" t="s">
        <v>133</v>
      </c>
      <c r="F2855" s="11">
        <v>3.0</v>
      </c>
      <c r="G2855" s="11">
        <v>3.0</v>
      </c>
      <c r="H2855" s="11">
        <v>3.0</v>
      </c>
      <c r="I2855" s="11">
        <v>3.0</v>
      </c>
    </row>
    <row r="2856">
      <c r="A2856" s="10" t="s">
        <v>9253</v>
      </c>
      <c r="B2856" s="49" t="str">
        <f t="shared" si="1"/>
        <v>Uniform Vital Statistics Act</v>
      </c>
      <c r="C2856" s="49" t="str">
        <f t="shared" si="2"/>
        <v>Uniform Vital Statistics Act; Unauthorized disclosure of confidential information pertaining to a deceased persons infectious or contagious disease</v>
      </c>
      <c r="D2856" s="49" t="str">
        <f t="shared" si="3"/>
        <v>65-2438(d)</v>
      </c>
      <c r="E2856" s="11" t="s">
        <v>133</v>
      </c>
      <c r="F2856" s="11">
        <v>3.0</v>
      </c>
      <c r="G2856" s="11">
        <v>3.0</v>
      </c>
      <c r="H2856" s="11">
        <v>3.0</v>
      </c>
      <c r="I2856" s="11">
        <v>3.0</v>
      </c>
    </row>
    <row r="2857">
      <c r="A2857" s="10" t="s">
        <v>9254</v>
      </c>
      <c r="B2857" s="49" t="str">
        <f t="shared" si="1"/>
        <v>Uniform Vital Statistics Act</v>
      </c>
      <c r="C2857" s="49" t="str">
        <f t="shared" si="2"/>
        <v>Uniform Vital Statistics Act; Vital records identity fraud related to birth, death, marriage and divorce certificates prosecuted pursuant to K.S.A. 21-5918</v>
      </c>
      <c r="D2857" s="49" t="str">
        <f t="shared" si="3"/>
        <v>65-2434</v>
      </c>
      <c r="E2857" s="11" t="s">
        <v>133</v>
      </c>
      <c r="F2857" s="11">
        <v>3.0</v>
      </c>
      <c r="G2857" s="11">
        <v>3.0</v>
      </c>
      <c r="H2857" s="11">
        <v>3.0</v>
      </c>
      <c r="I2857" s="11">
        <v>3.0</v>
      </c>
    </row>
    <row r="2858">
      <c r="A2858" s="10" t="s">
        <v>9255</v>
      </c>
      <c r="B2858" s="49" t="str">
        <f t="shared" si="1"/>
        <v>Unjustifiably Exposing a Convicted or Charged Person</v>
      </c>
      <c r="C2858" s="49" t="str">
        <f t="shared" si="2"/>
        <v>Unjustifiably Exposing a Convicted or Charged Person; Communicating or threatening to communicate information that a person has been charged with or convicted of a felony, with intent to interfere with the employment or business of such person</v>
      </c>
      <c r="D2858" s="49" t="str">
        <f t="shared" si="3"/>
        <v>21-6105(a)</v>
      </c>
      <c r="E2858" s="11" t="s">
        <v>133</v>
      </c>
      <c r="F2858" s="11">
        <v>3.0</v>
      </c>
      <c r="G2858" s="11">
        <v>3.0</v>
      </c>
      <c r="H2858" s="11">
        <v>3.0</v>
      </c>
      <c r="I2858" s="11">
        <v>3.0</v>
      </c>
    </row>
    <row r="2859">
      <c r="A2859" s="10" t="s">
        <v>9256</v>
      </c>
      <c r="B2859" s="49" t="str">
        <f t="shared" si="1"/>
        <v>Unlawful Acts Concerning Certificates of Title</v>
      </c>
      <c r="C2859" s="49" t="str">
        <f t="shared" si="2"/>
        <v>Unlawful Acts Concerning Certificates of Title; Knowingly fail to show complete chain of title</v>
      </c>
      <c r="D2859" s="49" t="str">
        <f t="shared" si="3"/>
        <v>21-5836(a)</v>
      </c>
      <c r="E2859" s="11" t="s">
        <v>133</v>
      </c>
      <c r="F2859" s="11">
        <v>3.0</v>
      </c>
      <c r="G2859" s="11">
        <v>3.0</v>
      </c>
      <c r="H2859" s="11">
        <v>3.0</v>
      </c>
      <c r="I2859" s="11">
        <v>3.0</v>
      </c>
    </row>
    <row r="2860">
      <c r="A2860" s="10" t="s">
        <v>9257</v>
      </c>
      <c r="B2860" s="49" t="str">
        <f t="shared" si="1"/>
        <v>Unlawful Administration of a Substance</v>
      </c>
      <c r="C2860" s="49" t="str">
        <f t="shared" si="2"/>
        <v>Unlawful Administration of a Substance; Administration to another without consent and with intent to impair</v>
      </c>
      <c r="D2860" s="49" t="str">
        <f t="shared" si="3"/>
        <v>21-5425(a)</v>
      </c>
      <c r="E2860" s="11" t="s">
        <v>133</v>
      </c>
      <c r="F2860" s="11">
        <v>3.0</v>
      </c>
      <c r="G2860" s="11">
        <v>3.0</v>
      </c>
      <c r="H2860" s="11">
        <v>3.0</v>
      </c>
      <c r="I2860" s="11">
        <v>3.0</v>
      </c>
    </row>
    <row r="2861">
      <c r="A2861" s="10" t="s">
        <v>9258</v>
      </c>
      <c r="B2861" s="49" t="str">
        <f t="shared" si="1"/>
        <v>Unlawful Assembly</v>
      </c>
      <c r="C2861" s="49" t="str">
        <f t="shared" si="2"/>
        <v>Unlawful Assembly; Meeting or coming together of not less than 5 persons with intent to engage in disorderly conduct</v>
      </c>
      <c r="D2861" s="49" t="str">
        <f t="shared" si="3"/>
        <v>21-6202(a)(1)(A)</v>
      </c>
      <c r="E2861" s="11" t="s">
        <v>133</v>
      </c>
      <c r="F2861" s="11">
        <v>3.0</v>
      </c>
      <c r="G2861" s="11">
        <v>3.0</v>
      </c>
      <c r="H2861" s="11">
        <v>3.0</v>
      </c>
      <c r="I2861" s="11">
        <v>3.0</v>
      </c>
    </row>
    <row r="2862">
      <c r="A2862" s="10" t="s">
        <v>9259</v>
      </c>
      <c r="B2862" s="49" t="str">
        <f t="shared" si="1"/>
        <v>Unlawful Assembly</v>
      </c>
      <c r="C2862" s="49" t="str">
        <f t="shared" si="2"/>
        <v>Unlawful Assembly; Meeting or coming together of not less than 5 persons with intent to engage in riot</v>
      </c>
      <c r="D2862" s="49" t="str">
        <f t="shared" si="3"/>
        <v>21-6202(a)(1)(B)</v>
      </c>
      <c r="E2862" s="11" t="s">
        <v>133</v>
      </c>
      <c r="F2862" s="11">
        <v>3.0</v>
      </c>
      <c r="G2862" s="11">
        <v>3.0</v>
      </c>
      <c r="H2862" s="11">
        <v>3.0</v>
      </c>
      <c r="I2862" s="11">
        <v>3.0</v>
      </c>
    </row>
    <row r="2863">
      <c r="A2863" s="10" t="s">
        <v>9260</v>
      </c>
      <c r="B2863" s="49" t="str">
        <f t="shared" si="1"/>
        <v>Unlawful Assembly</v>
      </c>
      <c r="C2863" s="49" t="str">
        <f t="shared" si="2"/>
        <v>Unlawful Assembly; Remaining at an unlawful assembly; Intentionally failing to depart as directed by law enforcement</v>
      </c>
      <c r="D2863" s="49" t="str">
        <f t="shared" si="3"/>
        <v>21-6202(b)</v>
      </c>
      <c r="E2863" s="11" t="s">
        <v>133</v>
      </c>
      <c r="F2863" s="11">
        <v>3.0</v>
      </c>
      <c r="G2863" s="11">
        <v>3.0</v>
      </c>
      <c r="H2863" s="11">
        <v>3.0</v>
      </c>
      <c r="I2863" s="11">
        <v>3.0</v>
      </c>
    </row>
    <row r="2864">
      <c r="A2864" s="10" t="s">
        <v>9261</v>
      </c>
      <c r="B2864" s="49" t="str">
        <f t="shared" si="1"/>
        <v>Unlawful Assembly</v>
      </c>
      <c r="C2864" s="49" t="str">
        <f t="shared" si="2"/>
        <v>Unlawful Assembly; When lawful assembly of not less than 5 persons, agreeing to engage in conduct constituting disorderly conduct or riot</v>
      </c>
      <c r="D2864" s="49" t="str">
        <f t="shared" si="3"/>
        <v>21-6202(a)(2)</v>
      </c>
      <c r="E2864" s="11" t="s">
        <v>133</v>
      </c>
      <c r="F2864" s="11">
        <v>3.0</v>
      </c>
      <c r="G2864" s="11">
        <v>3.0</v>
      </c>
      <c r="H2864" s="11">
        <v>3.0</v>
      </c>
      <c r="I2864" s="11">
        <v>3.0</v>
      </c>
    </row>
    <row r="2865">
      <c r="A2865" s="10" t="s">
        <v>9262</v>
      </c>
      <c r="B2865" s="49" t="str">
        <f t="shared" si="1"/>
        <v>Unlawful Discharge of a Firearm</v>
      </c>
      <c r="C2865" s="49" t="str">
        <f t="shared" si="2"/>
        <v>Unlawful Discharge of a Firearm; Reckless discharge of a firearm within city limits</v>
      </c>
      <c r="D2865" s="49" t="str">
        <f t="shared" si="3"/>
        <v>21-6308a</v>
      </c>
      <c r="E2865" s="11" t="s">
        <v>133</v>
      </c>
      <c r="F2865" s="11">
        <v>3.0</v>
      </c>
      <c r="G2865" s="11">
        <v>3.0</v>
      </c>
      <c r="H2865" s="11">
        <v>3.0</v>
      </c>
      <c r="I2865" s="11">
        <v>3.0</v>
      </c>
    </row>
    <row r="2866">
      <c r="A2866" s="10" t="s">
        <v>9263</v>
      </c>
      <c r="B2866" s="49" t="str">
        <f t="shared" si="1"/>
        <v>Unlawful Disclosure of Authorized Interception of Wire</v>
      </c>
      <c r="C2866" s="49" t="str">
        <f t="shared" si="2"/>
        <v>Unlawful Disclosure of Authorized Interception of Wire</v>
      </c>
      <c r="D2866" s="49" t="str">
        <f t="shared" si="3"/>
        <v>21-5923(a)</v>
      </c>
      <c r="E2866" s="11" t="s">
        <v>133</v>
      </c>
      <c r="F2866" s="11">
        <v>3.0</v>
      </c>
      <c r="G2866" s="11">
        <v>3.0</v>
      </c>
      <c r="H2866" s="11">
        <v>3.0</v>
      </c>
      <c r="I2866" s="11">
        <v>3.0</v>
      </c>
    </row>
    <row r="2867">
      <c r="A2867" s="10" t="s">
        <v>9264</v>
      </c>
      <c r="B2867" s="49" t="str">
        <f t="shared" si="1"/>
        <v>Unlawful Disposition of Animals</v>
      </c>
      <c r="C2867" s="49" t="str">
        <f t="shared" si="2"/>
        <v>Unlawful Disposition of Animals; Knowingly raffling or giving as a prize or premium living rabbits or chickens, ducklings or goslings</v>
      </c>
      <c r="D2867" s="49" t="str">
        <f t="shared" si="3"/>
        <v>21-6413(a)</v>
      </c>
      <c r="E2867" s="11" t="s">
        <v>133</v>
      </c>
      <c r="F2867" s="11">
        <v>3.0</v>
      </c>
      <c r="G2867" s="11">
        <v>3.0</v>
      </c>
      <c r="H2867" s="11">
        <v>3.0</v>
      </c>
      <c r="I2867" s="11">
        <v>3.0</v>
      </c>
    </row>
    <row r="2868">
      <c r="A2868" s="10" t="s">
        <v>9265</v>
      </c>
      <c r="B2868" s="49" t="str">
        <f t="shared" si="1"/>
        <v>Unlawful Endangerment</v>
      </c>
      <c r="C2868" s="49" t="str">
        <f t="shared" si="2"/>
        <v>Unlawful Endangerment; Knowingly protect or attempt to protect the manufacture or cultivation of a controlled substance with a device or weapon which causes bodily harm</v>
      </c>
      <c r="D2868" s="49" t="str">
        <f t="shared" si="3"/>
        <v>21-6310(a)(2)</v>
      </c>
      <c r="E2868" s="11" t="s">
        <v>133</v>
      </c>
      <c r="F2868" s="11">
        <v>3.0</v>
      </c>
      <c r="G2868" s="11">
        <v>3.0</v>
      </c>
      <c r="H2868" s="11">
        <v>3.0</v>
      </c>
      <c r="I2868" s="11">
        <v>3.0</v>
      </c>
    </row>
    <row r="2869">
      <c r="A2869" s="10" t="s">
        <v>9266</v>
      </c>
      <c r="B2869" s="49" t="str">
        <f t="shared" si="1"/>
        <v>Unlawful Endangerment</v>
      </c>
      <c r="C2869" s="49" t="str">
        <f t="shared" si="2"/>
        <v>Unlawful Endangerment; Knowingly protect or attempt to protect the manufacture or cultivation of a controlled substance with a device or weapon which causes great bodily harm</v>
      </c>
      <c r="D2869" s="49" t="str">
        <f t="shared" si="3"/>
        <v>21-6310(a)(1)</v>
      </c>
      <c r="E2869" s="11" t="s">
        <v>133</v>
      </c>
      <c r="F2869" s="11">
        <v>3.0</v>
      </c>
      <c r="G2869" s="11">
        <v>3.0</v>
      </c>
      <c r="H2869" s="11">
        <v>3.0</v>
      </c>
      <c r="I2869" s="11">
        <v>3.0</v>
      </c>
    </row>
    <row r="2870">
      <c r="A2870" s="10" t="s">
        <v>9267</v>
      </c>
      <c r="B2870" s="49" t="str">
        <f t="shared" si="1"/>
        <v>Unlawful Endangerment</v>
      </c>
      <c r="C2870" s="49" t="str">
        <f t="shared" si="2"/>
        <v>Unlawful Endangerment; Knowingly protect or attempt to protect the manufacture or cultivation of a controlled substance with a device or weapon which causes or is intended to cause bodily harm to another person</v>
      </c>
      <c r="D2870" s="49" t="str">
        <f t="shared" si="3"/>
        <v>21-6310(a)(3)</v>
      </c>
      <c r="E2870" s="11" t="s">
        <v>133</v>
      </c>
      <c r="F2870" s="11">
        <v>3.0</v>
      </c>
      <c r="G2870" s="11">
        <v>3.0</v>
      </c>
      <c r="H2870" s="11">
        <v>3.0</v>
      </c>
      <c r="I2870" s="11">
        <v>3.0</v>
      </c>
    </row>
    <row r="2871">
      <c r="A2871" s="10" t="s">
        <v>9268</v>
      </c>
      <c r="B2871" s="49" t="str">
        <f t="shared" si="1"/>
        <v>Unlawful Hosting</v>
      </c>
      <c r="C2871" s="49" t="str">
        <f t="shared" si="2"/>
        <v>Unlawful Hosting; Minors consuming alcoholic liquor or cereal malt beverage; recklessly permitting a person's residence, land, building, structure or room owned, occupied or procured by such person to be used in such a manner that results in the possession or consumption of alcoholic liquor or cereal malt beverages by a minor</v>
      </c>
      <c r="D2871" s="49" t="str">
        <f t="shared" si="3"/>
        <v>21-5608(a)</v>
      </c>
      <c r="E2871" s="11" t="s">
        <v>133</v>
      </c>
      <c r="F2871" s="11">
        <v>3.0</v>
      </c>
      <c r="G2871" s="11">
        <v>3.0</v>
      </c>
      <c r="H2871" s="11">
        <v>3.0</v>
      </c>
      <c r="I2871" s="11">
        <v>3.0</v>
      </c>
    </row>
    <row r="2872">
      <c r="A2872" s="10" t="s">
        <v>9269</v>
      </c>
      <c r="B2872" s="49" t="str">
        <f t="shared" si="1"/>
        <v>Unlawful Interference with a Firefighter</v>
      </c>
      <c r="C2872" s="49" t="str">
        <f t="shared" si="2"/>
        <v>Unlawful Interference with a Firefighter; Knowingly interfering while firefighter is engaged in performance of duties</v>
      </c>
      <c r="D2872" s="49" t="str">
        <f t="shared" si="3"/>
        <v>21-6325(a)(1)</v>
      </c>
      <c r="E2872" s="11" t="s">
        <v>133</v>
      </c>
      <c r="F2872" s="11">
        <v>3.0</v>
      </c>
      <c r="G2872" s="11">
        <v>3.0</v>
      </c>
      <c r="H2872" s="11">
        <v>3.0</v>
      </c>
      <c r="I2872" s="11">
        <v>3.0</v>
      </c>
    </row>
    <row r="2873">
      <c r="A2873" s="10" t="s">
        <v>9270</v>
      </c>
      <c r="B2873" s="49" t="str">
        <f t="shared" si="1"/>
        <v>Unlawful Interference with a Firefighter</v>
      </c>
      <c r="C2873" s="49" t="str">
        <f t="shared" si="2"/>
        <v>Unlawful Interference with a Firefighter; Knowingly obstructing, interfering with or impeding the efforts of firefighter to reach the location of fire or other emergency</v>
      </c>
      <c r="D2873" s="49" t="str">
        <f t="shared" si="3"/>
        <v>21-6325(a)(2)</v>
      </c>
      <c r="E2873" s="11" t="s">
        <v>133</v>
      </c>
      <c r="F2873" s="11">
        <v>3.0</v>
      </c>
      <c r="G2873" s="11">
        <v>3.0</v>
      </c>
      <c r="H2873" s="11">
        <v>3.0</v>
      </c>
      <c r="I2873" s="11">
        <v>3.0</v>
      </c>
    </row>
    <row r="2874">
      <c r="A2874" s="10" t="s">
        <v>9271</v>
      </c>
      <c r="B2874" s="49" t="str">
        <f t="shared" si="1"/>
        <v>Unlawful Interference with EMS Attendant</v>
      </c>
      <c r="C2874" s="49" t="str">
        <f t="shared" si="2"/>
        <v>Unlawful Interference with EMS Attendant; Knowingly interfere while attendant is engaged in performance of duties</v>
      </c>
      <c r="D2874" s="49" t="str">
        <f t="shared" si="3"/>
        <v>21-6326(a)(1)</v>
      </c>
      <c r="E2874" s="11" t="s">
        <v>133</v>
      </c>
      <c r="F2874" s="11">
        <v>3.0</v>
      </c>
      <c r="G2874" s="11">
        <v>3.0</v>
      </c>
      <c r="H2874" s="11">
        <v>3.0</v>
      </c>
      <c r="I2874" s="11">
        <v>3.0</v>
      </c>
    </row>
    <row r="2875">
      <c r="A2875" s="10" t="s">
        <v>9272</v>
      </c>
      <c r="B2875" s="49" t="str">
        <f t="shared" si="1"/>
        <v>Unlawful Interference with EMS Attendant</v>
      </c>
      <c r="C2875" s="49" t="str">
        <f t="shared" si="2"/>
        <v>Unlawful Interference with EMS Attendant; Knowingly obstruct, interfere with or impede efforts of attendant to reach location of the emergency</v>
      </c>
      <c r="D2875" s="49" t="str">
        <f t="shared" si="3"/>
        <v>21-6326(a)(2)</v>
      </c>
      <c r="E2875" s="11" t="s">
        <v>133</v>
      </c>
      <c r="F2875" s="11">
        <v>3.0</v>
      </c>
      <c r="G2875" s="11">
        <v>3.0</v>
      </c>
      <c r="H2875" s="11">
        <v>3.0</v>
      </c>
      <c r="I2875" s="11">
        <v>3.0</v>
      </c>
    </row>
    <row r="2876">
      <c r="A2876" s="10" t="s">
        <v>9273</v>
      </c>
      <c r="B2876" s="49" t="str">
        <f t="shared" si="1"/>
        <v>Unlawful Manufacture or Disposal of False Tokens</v>
      </c>
      <c r="C2876" s="49" t="str">
        <f t="shared" si="2"/>
        <v>Unlawful Manufacture or Disposal of False Tokens</v>
      </c>
      <c r="D2876" s="49" t="str">
        <f t="shared" si="3"/>
        <v>21-5829(a)</v>
      </c>
      <c r="E2876" s="11" t="s">
        <v>133</v>
      </c>
      <c r="F2876" s="11">
        <v>3.0</v>
      </c>
      <c r="G2876" s="11">
        <v>3.0</v>
      </c>
      <c r="H2876" s="11">
        <v>3.0</v>
      </c>
      <c r="I2876" s="11">
        <v>3.0</v>
      </c>
    </row>
    <row r="2877">
      <c r="A2877" s="10" t="s">
        <v>9274</v>
      </c>
      <c r="B2877" s="49" t="str">
        <f t="shared" si="1"/>
        <v>Unlawful Possession of a Traffic Control Preemption Device</v>
      </c>
      <c r="C2877" s="49" t="str">
        <f t="shared" si="2"/>
        <v>Unlawful Possession of a Traffic Control Preemption Device</v>
      </c>
      <c r="D2877" s="49" t="str">
        <f t="shared" si="3"/>
        <v>21-6324(a)(1)</v>
      </c>
      <c r="E2877" s="11" t="s">
        <v>133</v>
      </c>
      <c r="F2877" s="11">
        <v>3.0</v>
      </c>
      <c r="G2877" s="11">
        <v>3.0</v>
      </c>
      <c r="H2877" s="11">
        <v>3.0</v>
      </c>
      <c r="I2877" s="11">
        <v>3.0</v>
      </c>
    </row>
    <row r="2878">
      <c r="A2878" s="10" t="s">
        <v>9275</v>
      </c>
      <c r="B2878" s="49" t="str">
        <f t="shared" si="1"/>
        <v>Unlawful possession of a visual depiction of a child</v>
      </c>
      <c r="C2878" s="49" t="str">
        <f t="shared" si="2"/>
        <v>Unlawful possession of a visual depiction of a child; Knowingly possession a visual depiction of a child 12 years of age or older but less than 16 years of age in a state of nudity, if committed by a person less than 19 years of age, and the possessor of such visual depiction received such directly and exclusively from the child who is the subject of such visual depiction.</v>
      </c>
      <c r="D2878" s="49" t="str">
        <f t="shared" si="3"/>
        <v>21-5610(a)</v>
      </c>
      <c r="E2878" s="11" t="s">
        <v>133</v>
      </c>
      <c r="F2878" s="11">
        <v>3.0</v>
      </c>
      <c r="G2878" s="11">
        <v>3.0</v>
      </c>
      <c r="H2878" s="11">
        <v>3.0</v>
      </c>
      <c r="I2878" s="11">
        <v>3.0</v>
      </c>
    </row>
    <row r="2879">
      <c r="A2879" s="10" t="s">
        <v>9276</v>
      </c>
      <c r="B2879" s="49" t="str">
        <f t="shared" si="1"/>
        <v>Unlawful Possession/Use of Reencoder</v>
      </c>
      <c r="C2879" s="49" t="str">
        <f t="shared" si="2"/>
        <v>Unlawful Possession/Use of Reencoder; With intent to defraud, having possession of or using a reencoder to place encoded information on the a computer chip or magnetic strip or stripe of a payment card or any electronic medium that allows an authorized transaction to occur</v>
      </c>
      <c r="D2879" s="49" t="str">
        <f t="shared" si="3"/>
        <v>21-6108(a)(2)</v>
      </c>
      <c r="E2879" s="11" t="s">
        <v>133</v>
      </c>
      <c r="F2879" s="11">
        <v>3.0</v>
      </c>
      <c r="G2879" s="11">
        <v>3.0</v>
      </c>
      <c r="H2879" s="11">
        <v>3.0</v>
      </c>
      <c r="I2879" s="11">
        <v>3.0</v>
      </c>
    </row>
    <row r="2880">
      <c r="A2880" s="10" t="s">
        <v>9277</v>
      </c>
      <c r="B2880" s="49" t="str">
        <f t="shared" si="1"/>
        <v>Unlawful Possession/Use of Scanning Device</v>
      </c>
      <c r="C2880" s="49" t="str">
        <f t="shared" si="2"/>
        <v>Unlawful Possession/Use of Scanning Device; With intent to defraud, having possession of or using a scanning device to access, read, obtain, memorize or store, either temporarily or permanently, information encoded on a computer chip or magnetic strip or stripe of a payment card</v>
      </c>
      <c r="D2880" s="49" t="str">
        <f t="shared" si="3"/>
        <v>21-6108(a)(1)</v>
      </c>
      <c r="E2880" s="11" t="s">
        <v>133</v>
      </c>
      <c r="F2880" s="11">
        <v>3.0</v>
      </c>
      <c r="G2880" s="11">
        <v>3.0</v>
      </c>
      <c r="H2880" s="11">
        <v>3.0</v>
      </c>
      <c r="I2880" s="11">
        <v>3.0</v>
      </c>
    </row>
    <row r="2881">
      <c r="A2881" s="10" t="s">
        <v>9278</v>
      </c>
      <c r="B2881" s="49" t="str">
        <f t="shared" si="1"/>
        <v>Unlawful Posting of Political Pictures and Political Advertisements</v>
      </c>
      <c r="C2881" s="49" t="str">
        <f t="shared" si="2"/>
        <v>Unlawful Posting of Political Pictures and Political Advertisements</v>
      </c>
      <c r="D2881" s="49" t="str">
        <f t="shared" si="3"/>
        <v>21-5820(a)</v>
      </c>
      <c r="E2881" s="11" t="s">
        <v>133</v>
      </c>
      <c r="F2881" s="11">
        <v>3.0</v>
      </c>
      <c r="G2881" s="11">
        <v>3.0</v>
      </c>
      <c r="H2881" s="11">
        <v>3.0</v>
      </c>
      <c r="I2881" s="11">
        <v>3.0</v>
      </c>
    </row>
    <row r="2882">
      <c r="A2882" s="10" t="s">
        <v>9279</v>
      </c>
      <c r="B2882" s="49" t="str">
        <f t="shared" si="1"/>
        <v>Unlawful Public Demonstration at a Funeral</v>
      </c>
      <c r="C2882" s="49" t="str">
        <f t="shared" si="2"/>
        <v>Unlawful Public Demonstration at a Funeral; Engaging in public demonstration within 150 feet of any entrance to cemetery, church, mortuary or other funeral location, within one hour prior to scheduled commencement of funeral, during funeral or within 2 hours following completion of funeral</v>
      </c>
      <c r="D2882" s="49" t="str">
        <f t="shared" si="3"/>
        <v>21-6106(a)(1)</v>
      </c>
      <c r="E2882" s="11" t="s">
        <v>133</v>
      </c>
      <c r="F2882" s="11">
        <v>3.0</v>
      </c>
      <c r="G2882" s="11">
        <v>3.0</v>
      </c>
      <c r="H2882" s="11">
        <v>3.0</v>
      </c>
      <c r="I2882" s="11">
        <v>3.0</v>
      </c>
    </row>
    <row r="2883">
      <c r="A2883" s="10" t="s">
        <v>9280</v>
      </c>
      <c r="B2883" s="49" t="str">
        <f t="shared" si="1"/>
        <v>Unlawful Public Demonstration at a Funeral</v>
      </c>
      <c r="C2883" s="49" t="str">
        <f t="shared" si="2"/>
        <v>Unlawful Public Demonstration at a Funeral; Knowingly impede vehicles which are part of a funeral procession</v>
      </c>
      <c r="D2883" s="49" t="str">
        <f t="shared" si="3"/>
        <v>21-6106(a)(3)</v>
      </c>
      <c r="E2883" s="11" t="s">
        <v>133</v>
      </c>
      <c r="F2883" s="11">
        <v>3.0</v>
      </c>
      <c r="G2883" s="11">
        <v>3.0</v>
      </c>
      <c r="H2883" s="11">
        <v>3.0</v>
      </c>
      <c r="I2883" s="11">
        <v>3.0</v>
      </c>
    </row>
    <row r="2884">
      <c r="A2884" s="10" t="s">
        <v>9281</v>
      </c>
      <c r="B2884" s="49" t="str">
        <f t="shared" si="1"/>
        <v>Unlawful Public Demonstration at a Funeral</v>
      </c>
      <c r="C2884" s="49" t="str">
        <f t="shared" si="2"/>
        <v>Unlawful Public Demonstration at a Funeral; Knowingly obstruct, hinder, impede or block another person's entry to or exit from a funeral</v>
      </c>
      <c r="D2884" s="49" t="str">
        <f t="shared" si="3"/>
        <v>21-6106(a)(2)</v>
      </c>
      <c r="E2884" s="11" t="s">
        <v>133</v>
      </c>
      <c r="F2884" s="11">
        <v>3.0</v>
      </c>
      <c r="G2884" s="11">
        <v>3.0</v>
      </c>
      <c r="H2884" s="11">
        <v>3.0</v>
      </c>
      <c r="I2884" s="11">
        <v>3.0</v>
      </c>
    </row>
    <row r="2885">
      <c r="A2885" s="10" t="s">
        <v>9282</v>
      </c>
      <c r="B2885" s="49" t="str">
        <f t="shared" si="1"/>
        <v>Unlawful Sexual Relations</v>
      </c>
      <c r="C2885" s="49" t="str">
        <f t="shared" si="2"/>
        <v>Unlawful Sexual Relations; Consensual; between Community Correctional Officer or contract employee and person 16 or older and under supervision</v>
      </c>
      <c r="D2885" s="49" t="str">
        <f t="shared" si="3"/>
        <v>21-5512(a)(11)</v>
      </c>
      <c r="E2885" s="11" t="s">
        <v>133</v>
      </c>
      <c r="F2885" s="11">
        <v>3.0</v>
      </c>
      <c r="G2885" s="11">
        <v>3.0</v>
      </c>
      <c r="H2885" s="11">
        <v>3.0</v>
      </c>
      <c r="I2885" s="11">
        <v>3.0</v>
      </c>
    </row>
    <row r="2886">
      <c r="A2886" s="10" t="s">
        <v>9283</v>
      </c>
      <c r="B2886" s="49" t="str">
        <f t="shared" si="1"/>
        <v>Unlawful Sexual Relations</v>
      </c>
      <c r="C2886" s="49" t="str">
        <f t="shared" si="2"/>
        <v>Unlawful Sexual Relations; Consensual; between Court Services Officer or contract employee and person 16 or older and under supervision</v>
      </c>
      <c r="D2886" s="49" t="str">
        <f t="shared" si="3"/>
        <v>21-5512(a)(10)</v>
      </c>
      <c r="E2886" s="11" t="s">
        <v>133</v>
      </c>
      <c r="F2886" s="11">
        <v>3.0</v>
      </c>
      <c r="G2886" s="11">
        <v>3.0</v>
      </c>
      <c r="H2886" s="11">
        <v>3.0</v>
      </c>
      <c r="I2886" s="11">
        <v>3.0</v>
      </c>
    </row>
    <row r="2887">
      <c r="A2887" s="10" t="s">
        <v>9284</v>
      </c>
      <c r="B2887" s="49" t="str">
        <f t="shared" si="1"/>
        <v>Unlawful Sexual Relations</v>
      </c>
      <c r="C2887" s="49" t="str">
        <f t="shared" si="2"/>
        <v>Unlawful Sexual Relations; Consensual; between JJA staff or contract staff and inmate 16 or older</v>
      </c>
      <c r="D2887" s="49" t="str">
        <f t="shared" si="3"/>
        <v>21-5512(a)(5)</v>
      </c>
      <c r="E2887" s="11" t="s">
        <v>133</v>
      </c>
      <c r="F2887" s="11">
        <v>3.0</v>
      </c>
      <c r="G2887" s="11">
        <v>3.0</v>
      </c>
      <c r="H2887" s="11">
        <v>3.0</v>
      </c>
      <c r="I2887" s="11">
        <v>3.0</v>
      </c>
    </row>
    <row r="2888">
      <c r="A2888" s="10" t="s">
        <v>9285</v>
      </c>
      <c r="B2888" s="49" t="str">
        <f t="shared" si="1"/>
        <v>Unlawful Sexual Relations</v>
      </c>
      <c r="C2888" s="49" t="str">
        <f t="shared" si="2"/>
        <v>Unlawful Sexual Relations; Consensual; between JJA staff or contract staff and person 16 or older who has been placed in the custody of JJA under the supervision or control of JJA or a juvenile community supervision agency and offender has knowledge person is currently under supervision</v>
      </c>
      <c r="D2888" s="49" t="str">
        <f t="shared" si="3"/>
        <v>21-5512(a)(6)(A)(ii) and (B)</v>
      </c>
      <c r="E2888" s="11" t="s">
        <v>133</v>
      </c>
      <c r="F2888" s="11">
        <v>3.0</v>
      </c>
      <c r="G2888" s="11">
        <v>3.0</v>
      </c>
      <c r="H2888" s="11">
        <v>3.0</v>
      </c>
      <c r="I2888" s="11">
        <v>3.0</v>
      </c>
    </row>
    <row r="2889">
      <c r="A2889" s="10" t="s">
        <v>9286</v>
      </c>
      <c r="B2889" s="49" t="str">
        <f t="shared" si="1"/>
        <v>Unlawful Sexual Relations</v>
      </c>
      <c r="C2889" s="49" t="str">
        <f t="shared" si="2"/>
        <v>Unlawful Sexual Relations; Consensual; between JJA staff or contract staff and person 16 or older who has been under conditional release supervision of JJA or a juvenile community supervision agency and offender has knowledge person is currently under supervision</v>
      </c>
      <c r="D2889" s="49" t="str">
        <f t="shared" si="3"/>
        <v>21-5512(a)(6)(A)(i) and (B)</v>
      </c>
      <c r="E2889" s="11" t="s">
        <v>133</v>
      </c>
      <c r="F2889" s="11">
        <v>3.0</v>
      </c>
      <c r="G2889" s="11">
        <v>3.0</v>
      </c>
      <c r="H2889" s="11">
        <v>3.0</v>
      </c>
      <c r="I2889" s="11">
        <v>3.0</v>
      </c>
    </row>
    <row r="2890">
      <c r="A2890" s="10" t="s">
        <v>9287</v>
      </c>
      <c r="B2890" s="49" t="str">
        <f t="shared" si="1"/>
        <v>Unlawful Sexual Relations</v>
      </c>
      <c r="C2890" s="49" t="str">
        <f t="shared" si="2"/>
        <v>Unlawful Sexual Relations; Consensual; between KDOC staff, volunteer or contract staff and inmate 16 or older</v>
      </c>
      <c r="D2890" s="49" t="str">
        <f t="shared" si="3"/>
        <v>21-5512(a)(1)</v>
      </c>
      <c r="E2890" s="11" t="s">
        <v>133</v>
      </c>
      <c r="F2890" s="11">
        <v>3.0</v>
      </c>
      <c r="G2890" s="11">
        <v>3.0</v>
      </c>
      <c r="H2890" s="11">
        <v>3.0</v>
      </c>
      <c r="I2890" s="11">
        <v>3.0</v>
      </c>
    </row>
    <row r="2891">
      <c r="A2891" s="10" t="s">
        <v>9288</v>
      </c>
      <c r="B2891" s="49" t="str">
        <f t="shared" si="1"/>
        <v>Unlawful Sexual Relations</v>
      </c>
      <c r="C2891" s="49" t="str">
        <f t="shared" si="2"/>
        <v>Unlawful Sexual Relations; Consensual; between LEO, jail staff or contract staff and inmate 16 or older</v>
      </c>
      <c r="D2891" s="49" t="str">
        <f t="shared" si="3"/>
        <v>21-5512(a)(3)</v>
      </c>
      <c r="E2891" s="11" t="s">
        <v>133</v>
      </c>
      <c r="F2891" s="11">
        <v>3.0</v>
      </c>
      <c r="G2891" s="11">
        <v>3.0</v>
      </c>
      <c r="H2891" s="11">
        <v>3.0</v>
      </c>
      <c r="I2891" s="11">
        <v>3.0</v>
      </c>
    </row>
    <row r="2892">
      <c r="A2892" s="10" t="s">
        <v>9289</v>
      </c>
      <c r="B2892" s="49" t="str">
        <f t="shared" si="1"/>
        <v>Unlawful Sexual Relations</v>
      </c>
      <c r="C2892" s="49" t="str">
        <f t="shared" si="2"/>
        <v>Unlawful Sexual Relations; Consensual; between LEO, Juvenile Detention officer or contract staff and inmate 16 or older</v>
      </c>
      <c r="D2892" s="49" t="str">
        <f t="shared" si="3"/>
        <v>21-5512(a)(4)</v>
      </c>
      <c r="E2892" s="11" t="s">
        <v>133</v>
      </c>
      <c r="F2892" s="11">
        <v>3.0</v>
      </c>
      <c r="G2892" s="11">
        <v>3.0</v>
      </c>
      <c r="H2892" s="11">
        <v>3.0</v>
      </c>
      <c r="I2892" s="11">
        <v>3.0</v>
      </c>
    </row>
    <row r="2893">
      <c r="A2893" s="10" t="s">
        <v>9290</v>
      </c>
      <c r="B2893" s="49" t="str">
        <f t="shared" si="1"/>
        <v>Unlawful Sexual Relations</v>
      </c>
      <c r="C2893" s="49" t="str">
        <f t="shared" si="2"/>
        <v>Unlawful Sexual Relations; Consensual; between parole officer, volunteer or contract staff and a person 16 or older who is an inmate or person under supervision</v>
      </c>
      <c r="D2893" s="49" t="str">
        <f t="shared" si="3"/>
        <v>21-5512(a)(2)</v>
      </c>
      <c r="E2893" s="11" t="s">
        <v>133</v>
      </c>
      <c r="F2893" s="11">
        <v>3.0</v>
      </c>
      <c r="G2893" s="11">
        <v>3.0</v>
      </c>
      <c r="H2893" s="11">
        <v>3.0</v>
      </c>
      <c r="I2893" s="11">
        <v>3.0</v>
      </c>
    </row>
    <row r="2894">
      <c r="A2894" s="10" t="s">
        <v>9291</v>
      </c>
      <c r="B2894" s="49" t="str">
        <f t="shared" si="1"/>
        <v>Unlawful Sexual Relations</v>
      </c>
      <c r="C2894" s="49" t="str">
        <f t="shared" si="2"/>
        <v>Unlawful Sexual Relations; Consensual; between person in a position of authority in family foster home licensed by KDHE and person 16 or older who is a foster child in the home</v>
      </c>
      <c r="D2894" s="49" t="str">
        <f t="shared" si="3"/>
        <v>21-5512(a)(8)</v>
      </c>
      <c r="E2894" s="11" t="s">
        <v>133</v>
      </c>
      <c r="F2894" s="11">
        <v>3.0</v>
      </c>
      <c r="G2894" s="11">
        <v>3.0</v>
      </c>
      <c r="H2894" s="11">
        <v>3.0</v>
      </c>
      <c r="I2894" s="11">
        <v>3.0</v>
      </c>
    </row>
    <row r="2895">
      <c r="A2895" s="10" t="s">
        <v>9292</v>
      </c>
      <c r="B2895" s="49" t="str">
        <f t="shared" si="1"/>
        <v>Unlawful Sexual Relations</v>
      </c>
      <c r="C2895" s="49" t="str">
        <f t="shared" si="2"/>
        <v>Unlawful Sexual Relations; Consensual; between SRS staff or contract staff and patient 16 or older</v>
      </c>
      <c r="D2895" s="49" t="str">
        <f t="shared" si="3"/>
        <v>21-5512(a)(7)</v>
      </c>
      <c r="E2895" s="11" t="s">
        <v>133</v>
      </c>
      <c r="F2895" s="11">
        <v>3.0</v>
      </c>
      <c r="G2895" s="11">
        <v>3.0</v>
      </c>
      <c r="H2895" s="11">
        <v>3.0</v>
      </c>
      <c r="I2895" s="11">
        <v>3.0</v>
      </c>
    </row>
    <row r="2896">
      <c r="A2896" s="10" t="s">
        <v>9293</v>
      </c>
      <c r="B2896" s="49" t="str">
        <f t="shared" si="1"/>
        <v>Unlawful Sexual Relations</v>
      </c>
      <c r="C2896" s="49" t="str">
        <f t="shared" si="2"/>
        <v>Unlawful Sexual Relations; Consensual; between teacher/other person in authority and student 16 or older</v>
      </c>
      <c r="D2896" s="49" t="str">
        <f t="shared" si="3"/>
        <v>21-5512(a)(9)</v>
      </c>
      <c r="E2896" s="11" t="s">
        <v>133</v>
      </c>
      <c r="F2896" s="11">
        <v>3.0</v>
      </c>
      <c r="G2896" s="11">
        <v>3.0</v>
      </c>
      <c r="H2896" s="11">
        <v>3.0</v>
      </c>
      <c r="I2896" s="11">
        <v>3.0</v>
      </c>
    </row>
    <row r="2897">
      <c r="A2897" s="10" t="s">
        <v>9294</v>
      </c>
      <c r="B2897" s="49" t="str">
        <f t="shared" si="1"/>
        <v>Unlawful transmission of a visual depiction of a child</v>
      </c>
      <c r="C2897" s="49" t="str">
        <f t="shared" si="2"/>
        <v>Unlawful transmission of a visual depiction of a child; Knowingly transmitting a visual depiction of a child 12 or more years of age but less than 18 years of age in a state of nudity when the offender is less than 19 years of age.</v>
      </c>
      <c r="D2897" s="49" t="str">
        <f t="shared" si="3"/>
        <v>21-5611(a)</v>
      </c>
      <c r="E2897" s="11" t="s">
        <v>133</v>
      </c>
      <c r="F2897" s="11">
        <v>3.0</v>
      </c>
      <c r="G2897" s="11">
        <v>3.0</v>
      </c>
      <c r="H2897" s="11">
        <v>3.0</v>
      </c>
      <c r="I2897" s="11">
        <v>3.0</v>
      </c>
    </row>
    <row r="2898">
      <c r="A2898" s="10" t="s">
        <v>9295</v>
      </c>
      <c r="B2898" s="49" t="str">
        <f t="shared" si="1"/>
        <v>Unlawful transmission of a visual depiction of a child</v>
      </c>
      <c r="C2898" s="49" t="str">
        <f t="shared" si="2"/>
        <v>Unlawful transmission of a visual depiction of a child; Knowingly transmitting a visual depiction of a child 12 or more years of age but less than 18 years of age in a state of nudity when the offender is less than 19 years of age; 2nd or subsequent</v>
      </c>
      <c r="D2898" s="49" t="str">
        <f t="shared" si="3"/>
        <v>21-5611(a)</v>
      </c>
      <c r="E2898" s="11" t="s">
        <v>133</v>
      </c>
      <c r="F2898" s="11">
        <v>3.0</v>
      </c>
      <c r="G2898" s="11">
        <v>3.0</v>
      </c>
      <c r="H2898" s="11">
        <v>3.0</v>
      </c>
      <c r="I2898" s="11">
        <v>3.0</v>
      </c>
    </row>
    <row r="2899">
      <c r="A2899" s="10" t="s">
        <v>9296</v>
      </c>
      <c r="B2899" s="49" t="str">
        <f t="shared" si="1"/>
        <v>Unlawful Use of Recordings</v>
      </c>
      <c r="C2899" s="49" t="str">
        <f t="shared" si="2"/>
        <v>Unlawful Use of Recordings; Distributing or possessing with intent to distribute any item in (a)(1) knowing the item was illegally produced; less than 7 audio visual recordings or fewer than 100 sound recordings within 180 days</v>
      </c>
      <c r="D2899" s="49" t="str">
        <f t="shared" si="3"/>
        <v>21-5806(a)(2)</v>
      </c>
      <c r="E2899" s="11" t="s">
        <v>133</v>
      </c>
      <c r="F2899" s="11">
        <v>3.0</v>
      </c>
      <c r="G2899" s="11">
        <v>3.0</v>
      </c>
      <c r="H2899" s="11">
        <v>3.0</v>
      </c>
      <c r="I2899" s="11">
        <v>3.0</v>
      </c>
    </row>
    <row r="2900">
      <c r="A2900" s="10" t="s">
        <v>9297</v>
      </c>
      <c r="B2900" s="49" t="str">
        <f t="shared" si="1"/>
        <v>Unlawful Use of Recordings</v>
      </c>
      <c r="C2900" s="49" t="str">
        <f t="shared" si="2"/>
        <v>Unlawful Use of Recordings; Distributing or possessing with intent to distribute any item in K.S.A. 2011 Supp. 21-5806(a)(1) knowing the item was illegally produced; at least 7 or more audio/visual or 100 or more sound recordings within 180 days</v>
      </c>
      <c r="D2900" s="49" t="str">
        <f t="shared" si="3"/>
        <v>21-5806(a)(2)</v>
      </c>
      <c r="E2900" s="11" t="s">
        <v>133</v>
      </c>
      <c r="F2900" s="11">
        <v>3.0</v>
      </c>
      <c r="G2900" s="11">
        <v>3.0</v>
      </c>
      <c r="H2900" s="11">
        <v>3.0</v>
      </c>
      <c r="I2900" s="11">
        <v>3.0</v>
      </c>
    </row>
    <row r="2901">
      <c r="A2901" s="10" t="s">
        <v>9298</v>
      </c>
      <c r="B2901" s="49" t="str">
        <f t="shared" si="1"/>
        <v>Unlawful Use of Recordings</v>
      </c>
      <c r="C2901" s="49" t="str">
        <f t="shared" si="2"/>
        <v>Unlawful Use of Recordings; Knowingly selling, renting, possessing, transporting or manufacturing an item in which sounds or images may be stored unless outside cover, box or jacket discloses manufacturer; at least 7 or more audio/visual or 100 or more sound recordings within 180 days</v>
      </c>
      <c r="D2901" s="49" t="str">
        <f t="shared" si="3"/>
        <v>21-5806(a)(4)</v>
      </c>
      <c r="E2901" s="11" t="s">
        <v>133</v>
      </c>
      <c r="F2901" s="11">
        <v>3.0</v>
      </c>
      <c r="G2901" s="11">
        <v>3.0</v>
      </c>
      <c r="H2901" s="11">
        <v>3.0</v>
      </c>
      <c r="I2901" s="11">
        <v>3.0</v>
      </c>
    </row>
    <row r="2902">
      <c r="A2902" s="10" t="s">
        <v>9299</v>
      </c>
      <c r="B2902" s="49" t="str">
        <f t="shared" si="1"/>
        <v>Unlawful Use of Recordings</v>
      </c>
      <c r="C2902" s="49" t="str">
        <f t="shared" si="2"/>
        <v>Unlawful Use of Recordings; Knowingly selling, renting, possessing, transporting or manufacturing an item in which sounds or images may be stored unless outside cover, box or jacket discloses manufacturer; less than 7 audio visual recordings or fewer than 100 sound recordings within 180 days</v>
      </c>
      <c r="D2902" s="49" t="str">
        <f t="shared" si="3"/>
        <v>21-5806(a)(4)</v>
      </c>
      <c r="E2902" s="11" t="s">
        <v>133</v>
      </c>
      <c r="F2902" s="11">
        <v>3.0</v>
      </c>
      <c r="G2902" s="11">
        <v>3.0</v>
      </c>
      <c r="H2902" s="11">
        <v>3.0</v>
      </c>
      <c r="I2902" s="11">
        <v>3.0</v>
      </c>
    </row>
    <row r="2903">
      <c r="A2903" s="10" t="s">
        <v>9300</v>
      </c>
      <c r="B2903" s="49" t="str">
        <f t="shared" si="1"/>
        <v>Unlawful Use of Recordings</v>
      </c>
      <c r="C2903" s="49" t="str">
        <f t="shared" si="2"/>
        <v>Unlawful Use of Recordings; Piracy of recordings; knowingly and without consent duplicating sound recordings with intent to sell, rent or cause to be sold or rented or given away as part of a promotion</v>
      </c>
      <c r="D2903" s="49" t="str">
        <f t="shared" si="3"/>
        <v>21-5806(a)(1)</v>
      </c>
      <c r="E2903" s="11" t="s">
        <v>133</v>
      </c>
      <c r="F2903" s="11">
        <v>3.0</v>
      </c>
      <c r="G2903" s="11">
        <v>3.0</v>
      </c>
      <c r="H2903" s="11">
        <v>3.0</v>
      </c>
      <c r="I2903" s="11">
        <v>3.0</v>
      </c>
    </row>
    <row r="2904">
      <c r="A2904" s="10" t="s">
        <v>9301</v>
      </c>
      <c r="B2904" s="49" t="str">
        <f t="shared" si="1"/>
        <v>Unlawful Use of Recordings</v>
      </c>
      <c r="C2904" s="49" t="str">
        <f t="shared" si="2"/>
        <v>Unlawful Use of Recordings; Possessing any article produced in violation of (a)(1) knowing that it was produced illegally</v>
      </c>
      <c r="D2904" s="49" t="str">
        <f t="shared" si="3"/>
        <v>21-5806(a)(3)</v>
      </c>
      <c r="E2904" s="11" t="s">
        <v>133</v>
      </c>
      <c r="F2904" s="11">
        <v>3.0</v>
      </c>
      <c r="G2904" s="11">
        <v>3.0</v>
      </c>
      <c r="H2904" s="11">
        <v>3.0</v>
      </c>
      <c r="I2904" s="11">
        <v>3.0</v>
      </c>
    </row>
    <row r="2905">
      <c r="A2905" s="10" t="s">
        <v>9302</v>
      </c>
      <c r="B2905" s="49" t="str">
        <f t="shared" si="1"/>
        <v>Unlawful Use of State Postage</v>
      </c>
      <c r="C2905" s="49" t="str">
        <f t="shared" si="2"/>
        <v>Unlawful Use of State Postage</v>
      </c>
      <c r="D2905" s="49" t="str">
        <f t="shared" si="3"/>
        <v>21-6006(a)</v>
      </c>
      <c r="E2905" s="11" t="s">
        <v>133</v>
      </c>
      <c r="F2905" s="11">
        <v>3.0</v>
      </c>
      <c r="G2905" s="11">
        <v>3.0</v>
      </c>
      <c r="H2905" s="11">
        <v>3.0</v>
      </c>
      <c r="I2905" s="11">
        <v>3.0</v>
      </c>
    </row>
    <row r="2906">
      <c r="A2906" s="10" t="s">
        <v>9303</v>
      </c>
      <c r="B2906" s="49" t="str">
        <f t="shared" si="1"/>
        <v>Unlawful Voluntary Sexual Relations</v>
      </c>
      <c r="C2906" s="49" t="str">
        <f t="shared" si="2"/>
        <v>Unlawful Voluntary Sexual Relations; Lewd fondling/touching of a child 14 or 15 by a person less than 19 and less than four yrs older than the child</v>
      </c>
      <c r="D2906" s="49" t="str">
        <f t="shared" si="3"/>
        <v>21-5507(a)(1)(C)</v>
      </c>
      <c r="E2906" s="11" t="s">
        <v>133</v>
      </c>
      <c r="F2906" s="11">
        <v>3.0</v>
      </c>
      <c r="G2906" s="11">
        <v>3.0</v>
      </c>
      <c r="H2906" s="11">
        <v>3.0</v>
      </c>
      <c r="I2906" s="11">
        <v>3.0</v>
      </c>
    </row>
    <row r="2907">
      <c r="A2907" s="10" t="s">
        <v>9304</v>
      </c>
      <c r="B2907" s="49" t="str">
        <f t="shared" si="1"/>
        <v>Unlawful Voluntary Sexual Relations</v>
      </c>
      <c r="C2907" s="49" t="str">
        <f t="shared" si="2"/>
        <v>Unlawful Voluntary Sexual Relations; Sexual intercourse between a child 14 or 15 and a person less than 19 and less than four yrs older than the child</v>
      </c>
      <c r="D2907" s="49" t="str">
        <f t="shared" si="3"/>
        <v>21-5507(a)(1)(A)</v>
      </c>
      <c r="E2907" s="11" t="s">
        <v>133</v>
      </c>
      <c r="F2907" s="11">
        <v>3.0</v>
      </c>
      <c r="G2907" s="11">
        <v>3.0</v>
      </c>
      <c r="H2907" s="11">
        <v>3.0</v>
      </c>
      <c r="I2907" s="11">
        <v>3.0</v>
      </c>
    </row>
    <row r="2908">
      <c r="A2908" s="10" t="s">
        <v>9305</v>
      </c>
      <c r="B2908" s="49" t="str">
        <f t="shared" si="1"/>
        <v>Unlawful Voluntary Sexual Relations</v>
      </c>
      <c r="C2908" s="49" t="str">
        <f t="shared" si="2"/>
        <v>Unlawful Voluntary Sexual Relations; Sodomy between a child 14 or 15 and a person less than 19 and less than four yrs older than the child</v>
      </c>
      <c r="D2908" s="49" t="str">
        <f t="shared" si="3"/>
        <v>21-5507(a)(1)(B)</v>
      </c>
      <c r="E2908" s="11" t="s">
        <v>133</v>
      </c>
      <c r="F2908" s="11">
        <v>3.0</v>
      </c>
      <c r="G2908" s="11">
        <v>3.0</v>
      </c>
      <c r="H2908" s="11">
        <v>3.0</v>
      </c>
      <c r="I2908" s="11">
        <v>3.0</v>
      </c>
    </row>
    <row r="2909">
      <c r="A2909" s="10" t="s">
        <v>9306</v>
      </c>
      <c r="B2909" s="49" t="str">
        <f t="shared" si="1"/>
        <v>Vehicular Homicide</v>
      </c>
      <c r="C2909" s="49" t="str">
        <f t="shared" si="2"/>
        <v>Vehicular Homicide; Killing by operation of a vehicle in a manner which creates an unreasonable risk of injury and which constitutes a material deviation from the reasonable standard of care</v>
      </c>
      <c r="D2909" s="49" t="str">
        <f t="shared" si="3"/>
        <v>21-5406(a)</v>
      </c>
      <c r="E2909" s="11" t="s">
        <v>133</v>
      </c>
      <c r="F2909" s="11">
        <v>3.0</v>
      </c>
      <c r="G2909" s="11">
        <v>3.0</v>
      </c>
      <c r="H2909" s="11">
        <v>3.0</v>
      </c>
      <c r="I2909" s="11">
        <v>3.0</v>
      </c>
    </row>
    <row r="2910">
      <c r="A2910" s="10" t="s">
        <v>9307</v>
      </c>
      <c r="B2910" s="49" t="str">
        <f t="shared" si="1"/>
        <v>Veterinary Practice Act</v>
      </c>
      <c r="C2910" s="49" t="str">
        <f t="shared" si="2"/>
        <v>Veterinary Practice Act; Unlawful operation or management of veterinary premises</v>
      </c>
      <c r="D2910" s="49" t="str">
        <f t="shared" si="3"/>
        <v>47-834(b)</v>
      </c>
      <c r="E2910" s="11" t="s">
        <v>133</v>
      </c>
      <c r="F2910" s="11">
        <v>3.0</v>
      </c>
      <c r="G2910" s="11">
        <v>3.0</v>
      </c>
      <c r="H2910" s="11">
        <v>3.0</v>
      </c>
      <c r="I2910" s="11">
        <v>3.0</v>
      </c>
    </row>
    <row r="2911">
      <c r="A2911" s="10" t="s">
        <v>9308</v>
      </c>
      <c r="B2911" s="49" t="str">
        <f t="shared" si="1"/>
        <v>Veterinary Practice Act</v>
      </c>
      <c r="C2911" s="49" t="str">
        <f t="shared" si="2"/>
        <v>Veterinary Practice Act; Unlawful practice of veterinary medicine</v>
      </c>
      <c r="D2911" s="49" t="str">
        <f t="shared" si="3"/>
        <v>47-834(a)</v>
      </c>
      <c r="E2911" s="11" t="s">
        <v>133</v>
      </c>
      <c r="F2911" s="11">
        <v>3.0</v>
      </c>
      <c r="G2911" s="11">
        <v>3.0</v>
      </c>
      <c r="H2911" s="11">
        <v>3.0</v>
      </c>
      <c r="I2911" s="11">
        <v>3.0</v>
      </c>
    </row>
    <row r="2912">
      <c r="A2912" s="10" t="s">
        <v>9309</v>
      </c>
      <c r="B2912" s="49" t="str">
        <f t="shared" si="1"/>
        <v>Viatical Settlements Act</v>
      </c>
      <c r="C2912" s="49" t="str">
        <f t="shared" si="2"/>
        <v>Viatical Settlements Act; Violation of Act; contract is $25,000 or more</v>
      </c>
      <c r="D2912" s="49" t="str">
        <f t="shared" si="3"/>
        <v>40-5013</v>
      </c>
      <c r="E2912" s="11" t="s">
        <v>133</v>
      </c>
      <c r="F2912" s="11">
        <v>3.0</v>
      </c>
      <c r="G2912" s="11">
        <v>3.0</v>
      </c>
      <c r="H2912" s="11">
        <v>3.0</v>
      </c>
      <c r="I2912" s="11">
        <v>3.0</v>
      </c>
    </row>
    <row r="2913">
      <c r="A2913" s="10" t="s">
        <v>9310</v>
      </c>
      <c r="B2913" s="49" t="str">
        <f t="shared" si="1"/>
        <v>Viatical Settlements Act</v>
      </c>
      <c r="C2913" s="49" t="str">
        <f t="shared" si="2"/>
        <v>Viatical Settlements Act; Violation of Act; contract is at least $1,000 but less than $25,000</v>
      </c>
      <c r="D2913" s="49" t="str">
        <f t="shared" si="3"/>
        <v>40-5013</v>
      </c>
      <c r="E2913" s="11" t="s">
        <v>133</v>
      </c>
      <c r="F2913" s="11">
        <v>3.0</v>
      </c>
      <c r="G2913" s="11">
        <v>3.0</v>
      </c>
      <c r="H2913" s="11">
        <v>3.0</v>
      </c>
      <c r="I2913" s="11">
        <v>3.0</v>
      </c>
    </row>
    <row r="2914">
      <c r="A2914" s="10" t="s">
        <v>9311</v>
      </c>
      <c r="B2914" s="49" t="str">
        <f t="shared" si="1"/>
        <v>Viatical Settlements Act</v>
      </c>
      <c r="C2914" s="49" t="str">
        <f t="shared" si="2"/>
        <v>Viatical Settlements Act; Violation of act; contract is less than $1,000</v>
      </c>
      <c r="D2914" s="49" t="str">
        <f t="shared" si="3"/>
        <v>40-5013</v>
      </c>
      <c r="E2914" s="11" t="s">
        <v>133</v>
      </c>
      <c r="F2914" s="11">
        <v>3.0</v>
      </c>
      <c r="G2914" s="11">
        <v>3.0</v>
      </c>
      <c r="H2914" s="11">
        <v>3.0</v>
      </c>
      <c r="I2914" s="11">
        <v>3.0</v>
      </c>
    </row>
    <row r="2915">
      <c r="A2915" s="10" t="s">
        <v>9312</v>
      </c>
      <c r="B2915" s="49" t="str">
        <f t="shared" si="1"/>
        <v>Viatical Settlements Act</v>
      </c>
      <c r="C2915" s="49" t="str">
        <f t="shared" si="2"/>
        <v>Viatical Settlements Act; Violation of Act; contract is less than $1,000 but committed by a person who has been convicted of this crime two or more times within 5 yrs preceding the commission of this crime</v>
      </c>
      <c r="D2915" s="49" t="str">
        <f t="shared" si="3"/>
        <v>40-5013</v>
      </c>
      <c r="E2915" s="11" t="s">
        <v>133</v>
      </c>
      <c r="F2915" s="11">
        <v>3.0</v>
      </c>
      <c r="G2915" s="11">
        <v>3.0</v>
      </c>
      <c r="H2915" s="11">
        <v>3.0</v>
      </c>
      <c r="I2915" s="11">
        <v>3.0</v>
      </c>
    </row>
    <row r="2916">
      <c r="A2916" s="10" t="s">
        <v>9313</v>
      </c>
      <c r="B2916" s="49" t="str">
        <f t="shared" si="1"/>
        <v>Vital Records</v>
      </c>
      <c r="C2916" s="49" t="str">
        <f t="shared" si="2"/>
        <v>Vital Records; Identity Fraud; Make, counterfeit, alter, amend or mutilate any certified copy of a vital record without lawful authority and with intent to deceive</v>
      </c>
      <c r="D2916" s="49" t="str">
        <f t="shared" si="3"/>
        <v>21-5918(b)(2)</v>
      </c>
      <c r="E2916" s="11" t="s">
        <v>133</v>
      </c>
      <c r="F2916" s="11">
        <v>3.0</v>
      </c>
      <c r="G2916" s="11">
        <v>3.0</v>
      </c>
      <c r="H2916" s="11">
        <v>3.0</v>
      </c>
      <c r="I2916" s="11">
        <v>3.0</v>
      </c>
    </row>
    <row r="2917">
      <c r="A2917" s="10" t="s">
        <v>9314</v>
      </c>
      <c r="B2917" s="49" t="str">
        <f t="shared" si="1"/>
        <v>Vital Records</v>
      </c>
      <c r="C2917" s="49" t="str">
        <f t="shared" si="2"/>
        <v>Vital Records; Identity Fraud; Obtain, possess, use, sell or furnish or attempt to obtain, possess or furnish to another a certified copy of a vital record with the intent to deceive</v>
      </c>
      <c r="D2917" s="49" t="str">
        <f t="shared" si="3"/>
        <v>21-5918(b)(3)</v>
      </c>
      <c r="E2917" s="11" t="s">
        <v>133</v>
      </c>
      <c r="F2917" s="11">
        <v>3.0</v>
      </c>
      <c r="G2917" s="11">
        <v>3.0</v>
      </c>
      <c r="H2917" s="11">
        <v>3.0</v>
      </c>
      <c r="I2917" s="11">
        <v>3.0</v>
      </c>
    </row>
    <row r="2918">
      <c r="A2918" s="10" t="s">
        <v>9315</v>
      </c>
      <c r="B2918" s="49" t="str">
        <f t="shared" si="1"/>
        <v>Vital Records</v>
      </c>
      <c r="C2918" s="49" t="str">
        <f t="shared" si="2"/>
        <v>Vital Records; Identity Fraud; Supply false information to obtain a certified copy of a vital record</v>
      </c>
      <c r="D2918" s="49" t="str">
        <f t="shared" si="3"/>
        <v>21-5918(b)(1)</v>
      </c>
      <c r="E2918" s="11" t="s">
        <v>133</v>
      </c>
      <c r="F2918" s="11">
        <v>3.0</v>
      </c>
      <c r="G2918" s="11">
        <v>3.0</v>
      </c>
      <c r="H2918" s="11">
        <v>3.0</v>
      </c>
      <c r="I2918" s="11">
        <v>3.0</v>
      </c>
    </row>
    <row r="2919">
      <c r="A2919" s="10" t="s">
        <v>9316</v>
      </c>
      <c r="B2919" s="49" t="str">
        <f t="shared" si="1"/>
        <v>Warehouse Receipt Fraud</v>
      </c>
      <c r="C2919" s="49" t="str">
        <f t="shared" si="2"/>
        <v>Warehouse Receipt Fraud; Make, draw, issue or deliver; a duplicate or additional negotiable receipt for goods with knowledge that a former negotiable receipt for the same goods or any part thereof is outstanding and uncanceled, without plainly placing "duplicate" on the face thereof</v>
      </c>
      <c r="D2919" s="49" t="str">
        <f t="shared" si="3"/>
        <v>21-5831(a)(3)</v>
      </c>
      <c r="E2919" s="11" t="s">
        <v>133</v>
      </c>
      <c r="F2919" s="11">
        <v>3.0</v>
      </c>
      <c r="G2919" s="11">
        <v>3.0</v>
      </c>
      <c r="H2919" s="11">
        <v>3.0</v>
      </c>
      <c r="I2919" s="11">
        <v>3.0</v>
      </c>
    </row>
    <row r="2920">
      <c r="A2920" s="10" t="s">
        <v>9317</v>
      </c>
      <c r="B2920" s="49" t="str">
        <f t="shared" si="1"/>
        <v>Warehouse Receipt Fraud</v>
      </c>
      <c r="C2920" s="49" t="str">
        <f t="shared" si="2"/>
        <v>Warehouse Receipt Fraud; Make, draw, issue or deliver; a negotiable receipt for good with knowledge that the receipt contains a false statement</v>
      </c>
      <c r="D2920" s="49" t="str">
        <f t="shared" si="3"/>
        <v>21-5831(a)(2)</v>
      </c>
      <c r="E2920" s="11" t="s">
        <v>133</v>
      </c>
      <c r="F2920" s="11">
        <v>3.0</v>
      </c>
      <c r="G2920" s="11">
        <v>3.0</v>
      </c>
      <c r="H2920" s="11">
        <v>3.0</v>
      </c>
      <c r="I2920" s="11">
        <v>3.0</v>
      </c>
    </row>
    <row r="2921">
      <c r="A2921" s="10" t="s">
        <v>9318</v>
      </c>
      <c r="B2921" s="49" t="str">
        <f t="shared" si="1"/>
        <v>Warehouse Receipt Fraud</v>
      </c>
      <c r="C2921" s="49" t="str">
        <f t="shared" si="2"/>
        <v>Warehouse Receipt Fraud; Make, draw, issue or deliver; a negotiable receipt for goods with knowledge that the goods have not actually been received</v>
      </c>
      <c r="D2921" s="49" t="str">
        <f t="shared" si="3"/>
        <v>21-5831(a)(1)</v>
      </c>
      <c r="E2921" s="11" t="s">
        <v>133</v>
      </c>
      <c r="F2921" s="11">
        <v>3.0</v>
      </c>
      <c r="G2921" s="11">
        <v>3.0</v>
      </c>
      <c r="H2921" s="11">
        <v>3.0</v>
      </c>
      <c r="I2921" s="11">
        <v>3.0</v>
      </c>
    </row>
    <row r="2922">
      <c r="A2922" s="10" t="s">
        <v>9319</v>
      </c>
      <c r="B2922" s="49" t="str">
        <f t="shared" si="1"/>
        <v>Warehouses</v>
      </c>
      <c r="C2922" s="49" t="str">
        <f t="shared" si="2"/>
        <v>Warehouses; Warehouse Receipts; warehousemen; penalty for violation of act</v>
      </c>
      <c r="D2922" s="49" t="str">
        <f t="shared" si="3"/>
        <v>82-170</v>
      </c>
      <c r="E2922" s="11" t="s">
        <v>133</v>
      </c>
      <c r="F2922" s="11">
        <v>3.0</v>
      </c>
      <c r="G2922" s="11">
        <v>3.0</v>
      </c>
      <c r="H2922" s="11">
        <v>3.0</v>
      </c>
      <c r="I2922" s="11">
        <v>3.0</v>
      </c>
    </row>
    <row r="2923">
      <c r="A2923" s="10" t="s">
        <v>9320</v>
      </c>
      <c r="B2923" s="49" t="str">
        <f t="shared" si="1"/>
        <v>Water Conditioning Contractors Act</v>
      </c>
      <c r="C2923" s="49" t="str">
        <f t="shared" si="2"/>
        <v>Water Conditioning Contractors Act; Engage in business in Kansas without insurance and bond as required</v>
      </c>
      <c r="D2923" s="49" t="str">
        <f t="shared" si="3"/>
        <v>12-3602(c)</v>
      </c>
      <c r="E2923" s="11" t="s">
        <v>133</v>
      </c>
      <c r="F2923" s="11">
        <v>3.0</v>
      </c>
      <c r="G2923" s="11">
        <v>3.0</v>
      </c>
      <c r="H2923" s="11">
        <v>3.0</v>
      </c>
      <c r="I2923" s="11">
        <v>3.0</v>
      </c>
    </row>
    <row r="2924">
      <c r="A2924" s="10" t="s">
        <v>9321</v>
      </c>
      <c r="B2924" s="49" t="str">
        <f t="shared" si="1"/>
        <v>Water Conditioning Contractors Act</v>
      </c>
      <c r="C2924" s="49" t="str">
        <f t="shared" si="2"/>
        <v>Water Conditioning Contractors Act; Engage in business without registration</v>
      </c>
      <c r="D2924" s="49" t="str">
        <f t="shared" si="3"/>
        <v>12-3602(a)</v>
      </c>
      <c r="E2924" s="11" t="s">
        <v>133</v>
      </c>
      <c r="F2924" s="11">
        <v>3.0</v>
      </c>
      <c r="G2924" s="11">
        <v>3.0</v>
      </c>
      <c r="H2924" s="11">
        <v>3.0</v>
      </c>
      <c r="I2924" s="11">
        <v>3.0</v>
      </c>
    </row>
    <row r="2925">
      <c r="A2925" s="10" t="s">
        <v>9322</v>
      </c>
      <c r="B2925" s="49" t="str">
        <f t="shared" si="1"/>
        <v>Water Supply and Distribution Districts</v>
      </c>
      <c r="C2925" s="49" t="str">
        <f t="shared" si="2"/>
        <v>Water Supply and Distribution Districts; Fraudulent claims less than $1000</v>
      </c>
      <c r="D2925" s="49" t="str">
        <f t="shared" si="3"/>
        <v>19-3519(b)(1)</v>
      </c>
      <c r="E2925" s="11" t="s">
        <v>133</v>
      </c>
      <c r="F2925" s="11">
        <v>3.0</v>
      </c>
      <c r="G2925" s="11">
        <v>3.0</v>
      </c>
      <c r="H2925" s="11">
        <v>3.0</v>
      </c>
      <c r="I2925" s="11">
        <v>3.0</v>
      </c>
    </row>
    <row r="2926">
      <c r="A2926" s="10" t="s">
        <v>9323</v>
      </c>
      <c r="B2926" s="49" t="str">
        <f t="shared" si="1"/>
        <v>Waters &amp; Watercourses</v>
      </c>
      <c r="C2926" s="49" t="str">
        <f t="shared" si="2"/>
        <v>Waters &amp; Watercourses; Appropriation of Water for Beneficial Use; file water use report or other documents required knowing it to contain any false information as to a material matter</v>
      </c>
      <c r="D2926" s="49" t="str">
        <f t="shared" si="3"/>
        <v>82a-732(b)</v>
      </c>
      <c r="E2926" s="11" t="s">
        <v>133</v>
      </c>
      <c r="F2926" s="11">
        <v>3.0</v>
      </c>
      <c r="G2926" s="11">
        <v>3.0</v>
      </c>
      <c r="H2926" s="11">
        <v>3.0</v>
      </c>
      <c r="I2926" s="11">
        <v>3.0</v>
      </c>
    </row>
    <row r="2927">
      <c r="A2927" s="10" t="s">
        <v>9324</v>
      </c>
      <c r="B2927" s="49" t="str">
        <f t="shared" si="1"/>
        <v>Waters &amp; Watercourses</v>
      </c>
      <c r="C2927" s="49" t="str">
        <f t="shared" si="2"/>
        <v>Waters &amp; Watercourses; Appropriation of Water for Beneficial Use; unauthorized appropriation of water</v>
      </c>
      <c r="D2927" s="49" t="str">
        <f t="shared" si="3"/>
        <v>82a-728(a)</v>
      </c>
      <c r="E2927" s="11" t="s">
        <v>133</v>
      </c>
      <c r="F2927" s="11">
        <v>3.0</v>
      </c>
      <c r="G2927" s="11">
        <v>3.0</v>
      </c>
      <c r="H2927" s="11">
        <v>3.0</v>
      </c>
      <c r="I2927" s="11">
        <v>3.0</v>
      </c>
    </row>
    <row r="2928">
      <c r="A2928" s="10" t="s">
        <v>9325</v>
      </c>
      <c r="B2928" s="49" t="str">
        <f t="shared" si="1"/>
        <v>Waters &amp; Watercourses</v>
      </c>
      <c r="C2928" s="49" t="str">
        <f t="shared" si="2"/>
        <v>Waters &amp; Watercourses; Conduct a weather modification activity without license and permit; knowingly make a false statement in an application for a license or permit; fail to file any report or reports as required; conduct any weather modification activity after a license is revoked or a permit is denied, revoked, modified or temporarily suspended; violation of any other provisions of this act</v>
      </c>
      <c r="D2928" s="49" t="str">
        <f t="shared" si="3"/>
        <v>82a-1423</v>
      </c>
      <c r="E2928" s="11" t="s">
        <v>133</v>
      </c>
      <c r="F2928" s="11">
        <v>3.0</v>
      </c>
      <c r="G2928" s="11">
        <v>3.0</v>
      </c>
      <c r="H2928" s="11">
        <v>3.0</v>
      </c>
      <c r="I2928" s="11">
        <v>3.0</v>
      </c>
    </row>
    <row r="2929">
      <c r="A2929" s="10" t="s">
        <v>9326</v>
      </c>
      <c r="B2929" s="49" t="str">
        <f t="shared" si="1"/>
        <v>Waters &amp; Watercourses</v>
      </c>
      <c r="C2929" s="49" t="str">
        <f t="shared" si="2"/>
        <v>Waters &amp; Watercourses; Groundwater Exploration &amp; Protection; penalty for violations of act</v>
      </c>
      <c r="D2929" s="49" t="str">
        <f t="shared" si="3"/>
        <v>82a-1214</v>
      </c>
      <c r="E2929" s="11" t="s">
        <v>133</v>
      </c>
      <c r="F2929" s="11">
        <v>3.0</v>
      </c>
      <c r="G2929" s="11">
        <v>3.0</v>
      </c>
      <c r="H2929" s="11">
        <v>3.0</v>
      </c>
      <c r="I2929" s="11">
        <v>3.0</v>
      </c>
    </row>
    <row r="2930">
      <c r="A2930" s="10" t="s">
        <v>9327</v>
      </c>
      <c r="B2930" s="49" t="str">
        <f t="shared" si="1"/>
        <v>Waters &amp; Watercourses</v>
      </c>
      <c r="C2930" s="49" t="str">
        <f t="shared" si="2"/>
        <v>Waters &amp; Watercourses; Obstructions in Streams; penalty for violation of act</v>
      </c>
      <c r="D2930" s="49" t="str">
        <f t="shared" si="3"/>
        <v>82a-305a</v>
      </c>
      <c r="E2930" s="11" t="s">
        <v>133</v>
      </c>
      <c r="F2930" s="11">
        <v>3.0</v>
      </c>
      <c r="G2930" s="11">
        <v>3.0</v>
      </c>
      <c r="H2930" s="11">
        <v>3.0</v>
      </c>
      <c r="I2930" s="11">
        <v>3.0</v>
      </c>
    </row>
    <row r="2931">
      <c r="A2931" s="10" t="s">
        <v>9328</v>
      </c>
      <c r="B2931" s="49" t="str">
        <f t="shared" si="1"/>
        <v>Weeds</v>
      </c>
      <c r="C2931" s="49" t="str">
        <f t="shared" si="2"/>
        <v>Weeds; Bringing certain machinery into the state without freeing equipment from weed seed and litter</v>
      </c>
      <c r="D2931" s="49" t="str">
        <f t="shared" si="3"/>
        <v>2-1327(1)</v>
      </c>
      <c r="E2931" s="11" t="s">
        <v>133</v>
      </c>
      <c r="F2931" s="11">
        <v>3.0</v>
      </c>
      <c r="G2931" s="11">
        <v>3.0</v>
      </c>
      <c r="H2931" s="11">
        <v>3.0</v>
      </c>
      <c r="I2931" s="11">
        <v>3.0</v>
      </c>
    </row>
    <row r="2932">
      <c r="A2932" s="10" t="s">
        <v>9329</v>
      </c>
      <c r="B2932" s="49" t="str">
        <f t="shared" si="1"/>
        <v>Weeds</v>
      </c>
      <c r="C2932" s="49" t="str">
        <f t="shared" si="2"/>
        <v>Weeds; Moving certain machines from a field/farm infested with any noxious weed without freeing equipment of all weed seed and litter</v>
      </c>
      <c r="D2932" s="49" t="str">
        <f t="shared" si="3"/>
        <v>2-1327(2)</v>
      </c>
      <c r="E2932" s="11" t="s">
        <v>133</v>
      </c>
      <c r="F2932" s="11">
        <v>3.0</v>
      </c>
      <c r="G2932" s="11">
        <v>3.0</v>
      </c>
      <c r="H2932" s="11">
        <v>3.0</v>
      </c>
      <c r="I2932" s="11">
        <v>3.0</v>
      </c>
    </row>
    <row r="2933">
      <c r="A2933" s="10" t="s">
        <v>9330</v>
      </c>
      <c r="B2933" s="49" t="str">
        <f t="shared" si="1"/>
        <v>Weeds</v>
      </c>
      <c r="C2933" s="49" t="str">
        <f t="shared" si="2"/>
        <v>Weeds; Unlawful disposal of nursery stock, plants, packing materials, animal fertilizer and soil or sod for landscaping or fertilizer uses containing or infested with noxious weed plant material or seeds</v>
      </c>
      <c r="D2933" s="49" t="str">
        <f t="shared" si="3"/>
        <v>-209616</v>
      </c>
      <c r="E2933" s="11" t="s">
        <v>133</v>
      </c>
      <c r="F2933" s="11">
        <v>3.0</v>
      </c>
      <c r="G2933" s="11">
        <v>3.0</v>
      </c>
      <c r="H2933" s="11">
        <v>3.0</v>
      </c>
      <c r="I2933" s="11">
        <v>3.0</v>
      </c>
    </row>
    <row r="2934">
      <c r="A2934" s="10" t="s">
        <v>9331</v>
      </c>
      <c r="B2934" s="49" t="str">
        <f t="shared" si="1"/>
        <v>Weeds</v>
      </c>
      <c r="C2934" s="49" t="str">
        <f t="shared" si="2"/>
        <v>Weeds; Unlawful disposal of screening or offal material containing noxious weed seeds</v>
      </c>
      <c r="D2934" s="49" t="str">
        <f t="shared" si="3"/>
        <v>-209981</v>
      </c>
      <c r="E2934" s="11" t="s">
        <v>133</v>
      </c>
      <c r="F2934" s="11">
        <v>3.0</v>
      </c>
      <c r="G2934" s="11">
        <v>3.0</v>
      </c>
      <c r="H2934" s="11">
        <v>3.0</v>
      </c>
      <c r="I2934" s="11">
        <v>3.0</v>
      </c>
    </row>
    <row r="2935">
      <c r="A2935" s="10" t="s">
        <v>9332</v>
      </c>
      <c r="B2935" s="49" t="str">
        <f t="shared" si="1"/>
        <v>Weeds</v>
      </c>
      <c r="C2935" s="49" t="str">
        <f t="shared" si="2"/>
        <v>Weeds; Unlawful feeding of unprocessed livestock feed material</v>
      </c>
      <c r="D2935" s="49" t="str">
        <f t="shared" si="3"/>
        <v>-208520</v>
      </c>
      <c r="E2935" s="11" t="s">
        <v>133</v>
      </c>
      <c r="F2935" s="11">
        <v>3.0</v>
      </c>
      <c r="G2935" s="11">
        <v>3.0</v>
      </c>
      <c r="H2935" s="11">
        <v>3.0</v>
      </c>
      <c r="I2935" s="11">
        <v>3.0</v>
      </c>
    </row>
    <row r="2936">
      <c r="A2936" s="10" t="s">
        <v>9333</v>
      </c>
      <c r="B2936" s="49" t="str">
        <f t="shared" si="1"/>
        <v>Weeds</v>
      </c>
      <c r="C2936" s="49" t="str">
        <f t="shared" si="2"/>
        <v>Weeds; Unlawful sale of unprocessed, infested livestock feed material</v>
      </c>
      <c r="D2936" s="49" t="str">
        <f t="shared" si="3"/>
        <v>-208886</v>
      </c>
      <c r="E2936" s="11" t="s">
        <v>133</v>
      </c>
      <c r="F2936" s="11">
        <v>3.0</v>
      </c>
      <c r="G2936" s="11">
        <v>3.0</v>
      </c>
      <c r="H2936" s="11">
        <v>3.0</v>
      </c>
      <c r="I2936" s="11">
        <v>3.0</v>
      </c>
    </row>
    <row r="2937">
      <c r="A2937" s="10" t="s">
        <v>9334</v>
      </c>
      <c r="B2937" s="49" t="str">
        <f t="shared" si="1"/>
        <v>Weights &amp; Measures</v>
      </c>
      <c r="C2937" s="49" t="str">
        <f t="shared" si="2"/>
        <v>Weights &amp; Measures; Dispensing Devices; violate or fail to comply with any of the provisions of K.S.A. 83-401 through 83-410</v>
      </c>
      <c r="D2937" s="49" t="str">
        <f t="shared" si="3"/>
        <v>83-410</v>
      </c>
      <c r="E2937" s="11" t="s">
        <v>133</v>
      </c>
      <c r="F2937" s="11">
        <v>3.0</v>
      </c>
      <c r="G2937" s="11">
        <v>3.0</v>
      </c>
      <c r="H2937" s="11">
        <v>3.0</v>
      </c>
      <c r="I2937" s="11">
        <v>3.0</v>
      </c>
    </row>
    <row r="2938">
      <c r="A2938" s="10" t="s">
        <v>9335</v>
      </c>
      <c r="B2938" s="49" t="str">
        <f t="shared" si="1"/>
        <v>Weights &amp; Measures</v>
      </c>
      <c r="C2938" s="49" t="str">
        <f t="shared" si="2"/>
        <v>Weights &amp; Measures; Fail to comply with requirements pertaining to scale ticket or written record relating to weights</v>
      </c>
      <c r="D2938" s="49" t="str">
        <f t="shared" si="3"/>
        <v>83-155</v>
      </c>
      <c r="E2938" s="11" t="s">
        <v>133</v>
      </c>
      <c r="F2938" s="11">
        <v>3.0</v>
      </c>
      <c r="G2938" s="11">
        <v>3.0</v>
      </c>
      <c r="H2938" s="11">
        <v>3.0</v>
      </c>
      <c r="I2938" s="11">
        <v>3.0</v>
      </c>
    </row>
    <row r="2939">
      <c r="A2939" s="10" t="s">
        <v>9336</v>
      </c>
      <c r="B2939" s="49" t="str">
        <f t="shared" si="1"/>
        <v>Weights &amp; Measures</v>
      </c>
      <c r="C2939" s="49" t="str">
        <f t="shared" si="2"/>
        <v>Weights &amp; Measures; Falsely making or altering scale ticket or other written records</v>
      </c>
      <c r="D2939" s="49" t="str">
        <f t="shared" si="3"/>
        <v>83-154</v>
      </c>
      <c r="E2939" s="11" t="s">
        <v>133</v>
      </c>
      <c r="F2939" s="11">
        <v>3.0</v>
      </c>
      <c r="G2939" s="11">
        <v>3.0</v>
      </c>
      <c r="H2939" s="11">
        <v>3.0</v>
      </c>
      <c r="I2939" s="11">
        <v>3.0</v>
      </c>
    </row>
    <row r="2940">
      <c r="A2940" s="10" t="s">
        <v>9337</v>
      </c>
      <c r="B2940" s="49" t="str">
        <f t="shared" si="1"/>
        <v>Weights &amp; Measures</v>
      </c>
      <c r="C2940" s="49" t="str">
        <f t="shared" si="2"/>
        <v>Weights &amp; Measures; Scales; Violate or fail to comply with any of the provisions of K.S.A. 83-301 through 83-311 and K.S.A. 83-321 through 83-325</v>
      </c>
      <c r="D2940" s="49" t="str">
        <f t="shared" si="3"/>
        <v>83-311</v>
      </c>
      <c r="E2940" s="11" t="s">
        <v>133</v>
      </c>
      <c r="F2940" s="11">
        <v>3.0</v>
      </c>
      <c r="G2940" s="11">
        <v>3.0</v>
      </c>
      <c r="H2940" s="11">
        <v>3.0</v>
      </c>
      <c r="I2940" s="11">
        <v>3.0</v>
      </c>
    </row>
    <row r="2941">
      <c r="A2941" s="10" t="s">
        <v>9338</v>
      </c>
      <c r="B2941" s="49" t="str">
        <f t="shared" si="1"/>
        <v>Weights &amp; Measures</v>
      </c>
      <c r="C2941" s="49" t="str">
        <f t="shared" si="2"/>
        <v>Weights &amp; Measures; Standards &amp; Enforcement; interfere with an inspection; fail to produce, upon demand, all weights, measures, balances or measuring devices for use in manufacture or trade</v>
      </c>
      <c r="D2941" s="49" t="str">
        <f t="shared" si="3"/>
        <v>83-208</v>
      </c>
      <c r="E2941" s="11" t="s">
        <v>133</v>
      </c>
      <c r="F2941" s="11">
        <v>3.0</v>
      </c>
      <c r="G2941" s="11">
        <v>3.0</v>
      </c>
      <c r="H2941" s="11">
        <v>3.0</v>
      </c>
      <c r="I2941" s="11">
        <v>3.0</v>
      </c>
    </row>
    <row r="2942">
      <c r="A2942" s="10" t="s">
        <v>9339</v>
      </c>
      <c r="B2942" s="49" t="str">
        <f t="shared" si="1"/>
        <v>Weights &amp; Measures</v>
      </c>
      <c r="C2942" s="49" t="str">
        <f t="shared" si="2"/>
        <v>Weights &amp; Measures; Standards &amp; Enforcement; violation of any of the provisions of article 2 of chapter 83 of the Kansas Statutes Annotated</v>
      </c>
      <c r="D2942" s="49" t="str">
        <f t="shared" si="3"/>
        <v>83-220</v>
      </c>
      <c r="E2942" s="11" t="s">
        <v>133</v>
      </c>
      <c r="F2942" s="11">
        <v>3.0</v>
      </c>
      <c r="G2942" s="11">
        <v>3.0</v>
      </c>
      <c r="H2942" s="11">
        <v>3.0</v>
      </c>
      <c r="I2942" s="11">
        <v>3.0</v>
      </c>
    </row>
    <row r="2943">
      <c r="A2943" s="10" t="s">
        <v>9340</v>
      </c>
      <c r="B2943" s="49" t="str">
        <f t="shared" si="1"/>
        <v>Weights &amp; Measures</v>
      </c>
      <c r="C2943" s="49" t="str">
        <f t="shared" si="2"/>
        <v>Weights &amp; Measures; Violation of any of the provisions of article 1 of chapter 83 of the Kansas Statutes Annotated</v>
      </c>
      <c r="D2943" s="49" t="str">
        <f t="shared" si="3"/>
        <v>83-149</v>
      </c>
      <c r="E2943" s="11" t="s">
        <v>133</v>
      </c>
      <c r="F2943" s="11">
        <v>3.0</v>
      </c>
      <c r="G2943" s="11">
        <v>3.0</v>
      </c>
      <c r="H2943" s="11">
        <v>3.0</v>
      </c>
      <c r="I2943" s="11">
        <v>3.0</v>
      </c>
    </row>
    <row r="2944">
      <c r="A2944" s="10" t="s">
        <v>9341</v>
      </c>
      <c r="B2944" s="49" t="str">
        <f t="shared" si="1"/>
        <v>Wildlife Parks &amp; Tourism</v>
      </c>
      <c r="C2944" s="49" t="str">
        <f t="shared" si="2"/>
        <v>Wildlife Parks &amp; Tourism; 2nd conviction for obstruction or impeding of lawful activities</v>
      </c>
      <c r="D2944" s="49" t="str">
        <f t="shared" si="3"/>
        <v>32-1034(a)</v>
      </c>
      <c r="E2944" s="11" t="s">
        <v>133</v>
      </c>
      <c r="F2944" s="11">
        <v>3.0</v>
      </c>
      <c r="G2944" s="11">
        <v>3.0</v>
      </c>
      <c r="H2944" s="11">
        <v>3.0</v>
      </c>
      <c r="I2944" s="11">
        <v>3.0</v>
      </c>
    </row>
    <row r="2945">
      <c r="A2945" s="10" t="s">
        <v>9342</v>
      </c>
      <c r="B2945" s="49" t="str">
        <f t="shared" si="1"/>
        <v>Wildlife Parks &amp; Tourism</v>
      </c>
      <c r="C2945" s="49" t="str">
        <f t="shared" si="2"/>
        <v>Wildlife Parks &amp; Tourism; Cause to be shipped within, from or into this state any illegally taken or possessed wildlife</v>
      </c>
      <c r="D2945" s="49" t="str">
        <f t="shared" si="3"/>
        <v>32-1004(a)(5)</v>
      </c>
      <c r="E2945" s="11" t="s">
        <v>133</v>
      </c>
      <c r="F2945" s="11">
        <v>3.0</v>
      </c>
      <c r="G2945" s="11">
        <v>3.0</v>
      </c>
      <c r="H2945" s="11">
        <v>3.0</v>
      </c>
      <c r="I2945" s="11">
        <v>3.0</v>
      </c>
    </row>
    <row r="2946">
      <c r="A2946" s="10" t="s">
        <v>9343</v>
      </c>
      <c r="B2946" s="49" t="str">
        <f t="shared" si="1"/>
        <v>Wildlife Parks &amp; Tourism</v>
      </c>
      <c r="C2946" s="49" t="str">
        <f t="shared" si="2"/>
        <v>Wildlife Parks &amp; Tourism; Commercialization of wildlife; value less than $1,000</v>
      </c>
      <c r="D2946" s="49" t="str">
        <f t="shared" si="3"/>
        <v>32-1005(d)</v>
      </c>
      <c r="E2946" s="11" t="s">
        <v>133</v>
      </c>
      <c r="F2946" s="11">
        <v>3.0</v>
      </c>
      <c r="G2946" s="11">
        <v>3.0</v>
      </c>
      <c r="H2946" s="11">
        <v>3.0</v>
      </c>
      <c r="I2946" s="11">
        <v>3.0</v>
      </c>
    </row>
    <row r="2947">
      <c r="A2947" s="10" t="s">
        <v>9344</v>
      </c>
      <c r="B2947" s="49" t="str">
        <f t="shared" si="1"/>
        <v>Wildlife Parks &amp; Tourism</v>
      </c>
      <c r="C2947" s="49" t="str">
        <f t="shared" si="2"/>
        <v>Wildlife Parks &amp; Tourism; Destroy any muskrat house, beaver dam, mink run or any hole, den or runway of any furbearing animal, or cut down or destroy any tree that is the home, habitat or refuge of any furbearing animal</v>
      </c>
      <c r="D2947" s="49" t="str">
        <f t="shared" si="3"/>
        <v>32-1015(a)(1)</v>
      </c>
      <c r="E2947" s="11" t="s">
        <v>133</v>
      </c>
      <c r="F2947" s="11">
        <v>3.0</v>
      </c>
      <c r="G2947" s="11">
        <v>3.0</v>
      </c>
      <c r="H2947" s="11">
        <v>3.0</v>
      </c>
      <c r="I2947" s="11">
        <v>3.0</v>
      </c>
    </row>
    <row r="2948">
      <c r="A2948" s="10" t="s">
        <v>9345</v>
      </c>
      <c r="B2948" s="49" t="str">
        <f t="shared" si="1"/>
        <v>Wildlife Parks &amp; Tourism</v>
      </c>
      <c r="C2948" s="49" t="str">
        <f t="shared" si="2"/>
        <v>Wildlife Parks &amp; Tourism; Do any act or engage in any activity within any state park, state lake, recreational ground, wildlife area or sanctuary, natural area or other area under the control of the secretary which is in violation of or contrary to law or rules and regulations of the secretary</v>
      </c>
      <c r="D2948" s="49" t="str">
        <f t="shared" si="3"/>
        <v>32-1015(a)(3)</v>
      </c>
      <c r="E2948" s="11" t="s">
        <v>133</v>
      </c>
      <c r="F2948" s="11">
        <v>3.0</v>
      </c>
      <c r="G2948" s="11">
        <v>3.0</v>
      </c>
      <c r="H2948" s="11">
        <v>3.0</v>
      </c>
      <c r="I2948" s="11">
        <v>3.0</v>
      </c>
    </row>
    <row r="2949">
      <c r="A2949" s="10" t="s">
        <v>9346</v>
      </c>
      <c r="B2949" s="49" t="str">
        <f t="shared" si="1"/>
        <v>Wildlife Parks &amp; Tourism</v>
      </c>
      <c r="C2949" s="49" t="str">
        <f t="shared" si="2"/>
        <v>Wildlife Parks &amp; Tourism; Fail to carry card or other evidence required pursuant to K.S.A. 32-980 while participating or engaging in fishing or hunting</v>
      </c>
      <c r="D2949" s="49" t="str">
        <f t="shared" si="3"/>
        <v>32-1001(a)(4)(A)</v>
      </c>
      <c r="E2949" s="11" t="s">
        <v>133</v>
      </c>
      <c r="F2949" s="11">
        <v>3.0</v>
      </c>
      <c r="G2949" s="11">
        <v>3.0</v>
      </c>
      <c r="H2949" s="11">
        <v>3.0</v>
      </c>
      <c r="I2949" s="11">
        <v>3.0</v>
      </c>
    </row>
    <row r="2950">
      <c r="A2950" s="10" t="s">
        <v>9347</v>
      </c>
      <c r="B2950" s="49" t="str">
        <f t="shared" si="1"/>
        <v>Wildlife Parks &amp; Tourism</v>
      </c>
      <c r="C2950" s="49" t="str">
        <f t="shared" si="2"/>
        <v>Wildlife Parks &amp; Tourism; Failure to carry license, stamp or permit on person</v>
      </c>
      <c r="D2950" s="49" t="str">
        <f t="shared" si="3"/>
        <v>32-1001(a)(2)</v>
      </c>
      <c r="E2950" s="11" t="s">
        <v>133</v>
      </c>
      <c r="F2950" s="11">
        <v>3.0</v>
      </c>
      <c r="G2950" s="11">
        <v>3.0</v>
      </c>
      <c r="H2950" s="11">
        <v>3.0</v>
      </c>
      <c r="I2950" s="11">
        <v>3.0</v>
      </c>
    </row>
    <row r="2951">
      <c r="A2951" s="10" t="s">
        <v>9348</v>
      </c>
      <c r="B2951" s="49" t="str">
        <f t="shared" si="1"/>
        <v>Wildlife Parks &amp; Tourism</v>
      </c>
      <c r="C2951" s="49" t="str">
        <f t="shared" si="2"/>
        <v>Wildlife Parks &amp; Tourism; Failure to Comply with a Citation</v>
      </c>
      <c r="D2951" s="49" t="str">
        <f t="shared" si="3"/>
        <v>32-1049a(a)</v>
      </c>
      <c r="E2951" s="11" t="s">
        <v>133</v>
      </c>
      <c r="F2951" s="11">
        <v>3.0</v>
      </c>
      <c r="G2951" s="11">
        <v>3.0</v>
      </c>
      <c r="H2951" s="11">
        <v>3.0</v>
      </c>
      <c r="I2951" s="11">
        <v>3.0</v>
      </c>
    </row>
    <row r="2952">
      <c r="A2952" s="10" t="s">
        <v>9349</v>
      </c>
      <c r="B2952" s="49" t="str">
        <f t="shared" si="1"/>
        <v>Wildlife Parks &amp; Tourism</v>
      </c>
      <c r="C2952" s="49" t="str">
        <f t="shared" si="2"/>
        <v>Wildlife Parks &amp; Tourism; Falsely obtaining or using a physical disability, crossbow permit</v>
      </c>
      <c r="D2952" s="49" t="str">
        <f t="shared" si="3"/>
        <v>32-932(c)</v>
      </c>
      <c r="E2952" s="11" t="s">
        <v>133</v>
      </c>
      <c r="F2952" s="11">
        <v>3.0</v>
      </c>
      <c r="G2952" s="11">
        <v>3.0</v>
      </c>
      <c r="H2952" s="11">
        <v>3.0</v>
      </c>
      <c r="I2952" s="11">
        <v>3.0</v>
      </c>
    </row>
    <row r="2953">
      <c r="A2953" s="10" t="s">
        <v>9350</v>
      </c>
      <c r="B2953" s="49" t="str">
        <f t="shared" si="1"/>
        <v>Wildlife Parks &amp; Tourism</v>
      </c>
      <c r="C2953" s="49" t="str">
        <f t="shared" si="2"/>
        <v>Wildlife Parks &amp; Tourism; Falsely obtaining or using a physical or visual disability, assistance permit</v>
      </c>
      <c r="D2953" s="49" t="str">
        <f t="shared" si="3"/>
        <v>32-933(c)</v>
      </c>
      <c r="E2953" s="11" t="s">
        <v>133</v>
      </c>
      <c r="F2953" s="11">
        <v>3.0</v>
      </c>
      <c r="G2953" s="11">
        <v>3.0</v>
      </c>
      <c r="H2953" s="11">
        <v>3.0</v>
      </c>
      <c r="I2953" s="11">
        <v>3.0</v>
      </c>
    </row>
    <row r="2954">
      <c r="A2954" s="10" t="s">
        <v>9351</v>
      </c>
      <c r="B2954" s="49" t="str">
        <f t="shared" si="1"/>
        <v>Wildlife Parks &amp; Tourism</v>
      </c>
      <c r="C2954" s="49" t="str">
        <f t="shared" si="2"/>
        <v>Wildlife Parks &amp; Tourism; First or Second violation of Wildlife Parks &amp; Tourism Laws or rules and regulations of the Secretary</v>
      </c>
      <c r="D2954" s="49" t="str">
        <f t="shared" si="3"/>
        <v>32-1032(a)(1)</v>
      </c>
      <c r="E2954" s="11" t="s">
        <v>133</v>
      </c>
      <c r="F2954" s="11">
        <v>3.0</v>
      </c>
      <c r="G2954" s="11">
        <v>3.0</v>
      </c>
      <c r="H2954" s="11">
        <v>3.0</v>
      </c>
      <c r="I2954" s="11">
        <v>3.0</v>
      </c>
    </row>
    <row r="2955">
      <c r="A2955" s="10" t="s">
        <v>9352</v>
      </c>
      <c r="B2955" s="49" t="str">
        <f t="shared" si="1"/>
        <v>Wildlife Parks &amp; Tourism</v>
      </c>
      <c r="C2955" s="49" t="str">
        <f t="shared" si="2"/>
        <v>Wildlife Parks &amp; Tourism; Fish by placing in or upon any lake, pond, river, creek, stream or any other water, bordering on or within the state of Kansas, any deleterious substance or fishberries</v>
      </c>
      <c r="D2955" s="49" t="str">
        <f t="shared" si="3"/>
        <v>32-1003(a)(5)</v>
      </c>
      <c r="E2955" s="11" t="s">
        <v>133</v>
      </c>
      <c r="F2955" s="11">
        <v>3.0</v>
      </c>
      <c r="G2955" s="11">
        <v>3.0</v>
      </c>
      <c r="H2955" s="11">
        <v>3.0</v>
      </c>
      <c r="I2955" s="11">
        <v>3.0</v>
      </c>
    </row>
    <row r="2956">
      <c r="A2956" s="10" t="s">
        <v>9353</v>
      </c>
      <c r="B2956" s="49" t="str">
        <f t="shared" si="1"/>
        <v>Wildlife Parks &amp; Tourism</v>
      </c>
      <c r="C2956" s="49" t="str">
        <f t="shared" si="2"/>
        <v>Wildlife Parks &amp; Tourism; Fishing licenses required</v>
      </c>
      <c r="D2956" s="49" t="str">
        <f t="shared" si="3"/>
        <v>32-906</v>
      </c>
      <c r="E2956" s="11" t="s">
        <v>133</v>
      </c>
      <c r="F2956" s="11">
        <v>3.0</v>
      </c>
      <c r="G2956" s="11">
        <v>3.0</v>
      </c>
      <c r="H2956" s="11">
        <v>3.0</v>
      </c>
      <c r="I2956" s="11">
        <v>3.0</v>
      </c>
    </row>
    <row r="2957">
      <c r="A2957" s="10" t="s">
        <v>9354</v>
      </c>
      <c r="B2957" s="49" t="str">
        <f t="shared" si="1"/>
        <v>Wildlife Parks &amp; Tourism</v>
      </c>
      <c r="C2957" s="49" t="str">
        <f t="shared" si="2"/>
        <v>Wildlife Parks &amp; Tourism; Fur harvester license required</v>
      </c>
      <c r="D2957" s="49" t="str">
        <f t="shared" si="3"/>
        <v>32-911</v>
      </c>
      <c r="E2957" s="11" t="s">
        <v>133</v>
      </c>
      <c r="F2957" s="11">
        <v>3.0</v>
      </c>
      <c r="G2957" s="11">
        <v>3.0</v>
      </c>
      <c r="H2957" s="11">
        <v>3.0</v>
      </c>
      <c r="I2957" s="11">
        <v>3.0</v>
      </c>
    </row>
    <row r="2958">
      <c r="A2958" s="10" t="s">
        <v>9355</v>
      </c>
      <c r="B2958" s="49" t="str">
        <f t="shared" si="1"/>
        <v>Wildlife Parks &amp; Tourism</v>
      </c>
      <c r="C2958" s="49" t="str">
        <f t="shared" si="2"/>
        <v>Wildlife Parks &amp; Tourism; Hunt deer or elk in an area where a firearms season for the taking of deer or elk is occurring without wearing appropriate protective clothing as prescribed by rules and regulations adopted by the secretary pursuant to K.S.A. 32-805</v>
      </c>
      <c r="D2958" s="49" t="str">
        <f t="shared" si="3"/>
        <v>32-1015(a)(2)</v>
      </c>
      <c r="E2958" s="11" t="s">
        <v>133</v>
      </c>
      <c r="F2958" s="11">
        <v>3.0</v>
      </c>
      <c r="G2958" s="11">
        <v>3.0</v>
      </c>
      <c r="H2958" s="11">
        <v>3.0</v>
      </c>
      <c r="I2958" s="11">
        <v>3.0</v>
      </c>
    </row>
    <row r="2959">
      <c r="A2959" s="10" t="s">
        <v>9356</v>
      </c>
      <c r="B2959" s="49" t="str">
        <f t="shared" si="1"/>
        <v>Wildlife Parks &amp; Tourism</v>
      </c>
      <c r="C2959" s="49" t="str">
        <f t="shared" si="2"/>
        <v>Wildlife Parks &amp; Tourism; Hunter education; certificate of completion</v>
      </c>
      <c r="D2959" s="49" t="str">
        <f t="shared" si="3"/>
        <v>32-920</v>
      </c>
      <c r="E2959" s="11" t="s">
        <v>133</v>
      </c>
      <c r="F2959" s="11">
        <v>3.0</v>
      </c>
      <c r="G2959" s="11">
        <v>3.0</v>
      </c>
      <c r="H2959" s="11">
        <v>3.0</v>
      </c>
      <c r="I2959" s="11">
        <v>3.0</v>
      </c>
    </row>
    <row r="2960">
      <c r="A2960" s="10" t="s">
        <v>9357</v>
      </c>
      <c r="B2960" s="49" t="str">
        <f t="shared" si="1"/>
        <v>Wildlife Parks &amp; Tourism</v>
      </c>
      <c r="C2960" s="49" t="str">
        <f t="shared" si="2"/>
        <v>Wildlife Parks &amp; Tourism; Intentionally import into this state, or possess or release in this state, any species of wildlife prohibited pursuant to K.S.A. 32-956</v>
      </c>
      <c r="D2960" s="49" t="str">
        <f t="shared" si="3"/>
        <v>32-1004(a)(6)</v>
      </c>
      <c r="E2960" s="11" t="s">
        <v>133</v>
      </c>
      <c r="F2960" s="11">
        <v>3.0</v>
      </c>
      <c r="G2960" s="11">
        <v>3.0</v>
      </c>
      <c r="H2960" s="11">
        <v>3.0</v>
      </c>
      <c r="I2960" s="11">
        <v>3.0</v>
      </c>
    </row>
    <row r="2961">
      <c r="A2961" s="10" t="s">
        <v>9358</v>
      </c>
      <c r="B2961" s="49" t="str">
        <f t="shared" si="1"/>
        <v>Wildlife Parks &amp; Tourism</v>
      </c>
      <c r="C2961" s="49" t="str">
        <f t="shared" si="2"/>
        <v>Wildlife Parks &amp; Tourism; Making false statement to secure license, stamp or permit</v>
      </c>
      <c r="D2961" s="49" t="str">
        <f t="shared" si="3"/>
        <v>32-1001(a)(5)</v>
      </c>
      <c r="E2961" s="11" t="s">
        <v>133</v>
      </c>
      <c r="F2961" s="11">
        <v>3.0</v>
      </c>
      <c r="G2961" s="11">
        <v>3.0</v>
      </c>
      <c r="H2961" s="11">
        <v>3.0</v>
      </c>
      <c r="I2961" s="11">
        <v>3.0</v>
      </c>
    </row>
    <row r="2962">
      <c r="A2962" s="10" t="s">
        <v>9359</v>
      </c>
      <c r="B2962" s="49" t="str">
        <f t="shared" si="1"/>
        <v>Wildlife Parks &amp; Tourism</v>
      </c>
      <c r="C2962" s="49" t="str">
        <f t="shared" si="2"/>
        <v>Wildlife Parks &amp; Tourism; Obstruction or impeding of lawful activities</v>
      </c>
      <c r="D2962" s="49" t="str">
        <f t="shared" si="3"/>
        <v>32-1014(a)</v>
      </c>
      <c r="E2962" s="11" t="s">
        <v>133</v>
      </c>
      <c r="F2962" s="11">
        <v>3.0</v>
      </c>
      <c r="G2962" s="11">
        <v>3.0</v>
      </c>
      <c r="H2962" s="11">
        <v>3.0</v>
      </c>
      <c r="I2962" s="11">
        <v>3.0</v>
      </c>
    </row>
    <row r="2963">
      <c r="A2963" s="10" t="s">
        <v>9360</v>
      </c>
      <c r="B2963" s="49" t="str">
        <f t="shared" si="1"/>
        <v>Wildlife Parks &amp; Tourism</v>
      </c>
      <c r="C2963" s="49" t="str">
        <f t="shared" si="2"/>
        <v>Wildlife Parks &amp; Tourism; Participate in activity requiring license, stamp or permit without having such</v>
      </c>
      <c r="D2963" s="49" t="str">
        <f t="shared" si="3"/>
        <v>32-1001(a)(1)</v>
      </c>
      <c r="E2963" s="11" t="s">
        <v>133</v>
      </c>
      <c r="F2963" s="11">
        <v>3.0</v>
      </c>
      <c r="G2963" s="11">
        <v>3.0</v>
      </c>
      <c r="H2963" s="11">
        <v>3.0</v>
      </c>
      <c r="I2963" s="11">
        <v>3.0</v>
      </c>
    </row>
    <row r="2964">
      <c r="A2964" s="10" t="s">
        <v>9361</v>
      </c>
      <c r="B2964" s="49" t="str">
        <f t="shared" si="1"/>
        <v>Wildlife Parks &amp; Tourism</v>
      </c>
      <c r="C2964" s="49" t="str">
        <f t="shared" si="2"/>
        <v>Wildlife Parks &amp; Tourism; Penalty for Big game and wild turkey violations</v>
      </c>
      <c r="D2964" s="49" t="str">
        <f t="shared" si="3"/>
        <v>32-1032(a)</v>
      </c>
      <c r="E2964" s="11" t="s">
        <v>133</v>
      </c>
      <c r="F2964" s="11">
        <v>3.0</v>
      </c>
      <c r="G2964" s="11">
        <v>3.0</v>
      </c>
      <c r="H2964" s="11">
        <v>3.0</v>
      </c>
      <c r="I2964" s="11">
        <v>3.0</v>
      </c>
    </row>
    <row r="2965">
      <c r="A2965" s="10" t="s">
        <v>9362</v>
      </c>
      <c r="B2965" s="49" t="str">
        <f t="shared" si="1"/>
        <v>Wildlife Parks &amp; Tourism</v>
      </c>
      <c r="C2965" s="49" t="str">
        <f t="shared" si="2"/>
        <v>Wildlife Parks &amp; Tourism; Penalty for Big game and wild turkey violations; 3rd conviction</v>
      </c>
      <c r="D2965" s="49" t="str">
        <f t="shared" si="3"/>
        <v>32-1032(a)(2)</v>
      </c>
      <c r="E2965" s="11" t="s">
        <v>133</v>
      </c>
      <c r="F2965" s="11">
        <v>3.0</v>
      </c>
      <c r="G2965" s="11">
        <v>3.0</v>
      </c>
      <c r="H2965" s="11">
        <v>3.0</v>
      </c>
      <c r="I2965" s="11">
        <v>3.0</v>
      </c>
    </row>
    <row r="2966">
      <c r="A2966" s="10" t="s">
        <v>9363</v>
      </c>
      <c r="B2966" s="49" t="str">
        <f t="shared" si="1"/>
        <v>Wildlife Parks &amp; Tourism</v>
      </c>
      <c r="C2966" s="49" t="str">
        <f t="shared" si="2"/>
        <v>Wildlife Parks &amp; Tourism; Penalty for Big game and wild turkey violations; 4th conviction</v>
      </c>
      <c r="D2966" s="49" t="str">
        <f t="shared" si="3"/>
        <v>32-1032(a)(3)</v>
      </c>
      <c r="E2966" s="11" t="s">
        <v>133</v>
      </c>
      <c r="F2966" s="11">
        <v>3.0</v>
      </c>
      <c r="G2966" s="11">
        <v>3.0</v>
      </c>
      <c r="H2966" s="11">
        <v>3.0</v>
      </c>
      <c r="I2966" s="11">
        <v>3.0</v>
      </c>
    </row>
    <row r="2967">
      <c r="A2967" s="10" t="s">
        <v>9364</v>
      </c>
      <c r="B2967" s="49" t="str">
        <f t="shared" si="1"/>
        <v>Wildlife Parks &amp; Tourism</v>
      </c>
      <c r="C2967" s="49" t="str">
        <f t="shared" si="2"/>
        <v>Wildlife Parks &amp; Tourism; Penalty for Big game and wild turkey violations; 5th or subs. conviction</v>
      </c>
      <c r="D2967" s="49" t="str">
        <f t="shared" si="3"/>
        <v>32-1032(a)(4)</v>
      </c>
      <c r="E2967" s="11" t="s">
        <v>133</v>
      </c>
      <c r="F2967" s="11">
        <v>3.0</v>
      </c>
      <c r="G2967" s="11">
        <v>3.0</v>
      </c>
      <c r="H2967" s="11">
        <v>3.0</v>
      </c>
      <c r="I2967" s="11">
        <v>3.0</v>
      </c>
    </row>
    <row r="2968">
      <c r="A2968" s="10" t="s">
        <v>9365</v>
      </c>
      <c r="B2968" s="49" t="str">
        <f t="shared" si="1"/>
        <v>Wildlife Parks &amp; Tourism</v>
      </c>
      <c r="C2968" s="49" t="str">
        <f t="shared" si="2"/>
        <v>Wildlife Parks &amp; Tourism; Place or explode any dynamite, giant powder, lime, nitroglycerine or any other explosive of any character or kind in any waters of the state of Kansas with the intent to take or stun fish</v>
      </c>
      <c r="D2968" s="49" t="str">
        <f t="shared" si="3"/>
        <v>32-1003(a)(6)</v>
      </c>
      <c r="E2968" s="11" t="s">
        <v>133</v>
      </c>
      <c r="F2968" s="11">
        <v>3.0</v>
      </c>
      <c r="G2968" s="11">
        <v>3.0</v>
      </c>
      <c r="H2968" s="11">
        <v>3.0</v>
      </c>
      <c r="I2968" s="11">
        <v>3.0</v>
      </c>
    </row>
    <row r="2969">
      <c r="A2969" s="10" t="s">
        <v>9366</v>
      </c>
      <c r="B2969" s="49" t="str">
        <f t="shared" si="1"/>
        <v>Wildlife Parks &amp; Tourism</v>
      </c>
      <c r="C2969" s="49" t="str">
        <f t="shared" si="2"/>
        <v>Wildlife Parks &amp; Tourism; Place, erect, or cause such, any seine, screen, net, weir, fish dam or other obstruction in or across any of the waters, rivers, creeks, ponds, streams, sloughs or other watercourses within the jurisdiction of this state so as to obstruct free passage of fish up, down and through such watercourses</v>
      </c>
      <c r="D2969" s="49" t="str">
        <f t="shared" si="3"/>
        <v>32-1015(a)(6)</v>
      </c>
      <c r="E2969" s="11" t="s">
        <v>133</v>
      </c>
      <c r="F2969" s="11">
        <v>3.0</v>
      </c>
      <c r="G2969" s="11">
        <v>3.0</v>
      </c>
      <c r="H2969" s="11">
        <v>3.0</v>
      </c>
      <c r="I2969" s="11">
        <v>3.0</v>
      </c>
    </row>
    <row r="2970">
      <c r="A2970" s="10" t="s">
        <v>9367</v>
      </c>
      <c r="B2970" s="49" t="str">
        <f t="shared" si="1"/>
        <v>Wildlife Parks &amp; Tourism</v>
      </c>
      <c r="C2970" s="49" t="str">
        <f t="shared" si="2"/>
        <v>Wildlife Parks &amp; Tourism; Possess a carcass of a big game animal or wild turkey, taken within this state, unless a check station tag, if required and issued by the secretary, is attached to it, in accordance with rules and regulations adopted by the secretary.</v>
      </c>
      <c r="D2970" s="49" t="str">
        <f t="shared" si="3"/>
        <v>32-1004(a)(3)</v>
      </c>
      <c r="E2970" s="11" t="s">
        <v>133</v>
      </c>
      <c r="F2970" s="11">
        <v>3.0</v>
      </c>
      <c r="G2970" s="11">
        <v>3.0</v>
      </c>
      <c r="H2970" s="11">
        <v>3.0</v>
      </c>
      <c r="I2970" s="11">
        <v>3.0</v>
      </c>
    </row>
    <row r="2971">
      <c r="A2971" s="10" t="s">
        <v>9368</v>
      </c>
      <c r="B2971" s="49" t="str">
        <f t="shared" si="1"/>
        <v>Wildlife Parks &amp; Tourism</v>
      </c>
      <c r="C2971" s="49" t="str">
        <f t="shared" si="2"/>
        <v>Wildlife Parks &amp; Tourism; Possess a carcass of a big game animal, taken within this state, unless a carcass tag, issued by the secretary, is attached to it, in accordance with rules and regulations adopted by the secretary.</v>
      </c>
      <c r="D2971" s="49" t="str">
        <f t="shared" si="3"/>
        <v>32-1004(a)(1)</v>
      </c>
      <c r="E2971" s="11" t="s">
        <v>133</v>
      </c>
      <c r="F2971" s="11">
        <v>3.0</v>
      </c>
      <c r="G2971" s="11">
        <v>3.0</v>
      </c>
      <c r="H2971" s="11">
        <v>3.0</v>
      </c>
      <c r="I2971" s="11">
        <v>3.0</v>
      </c>
    </row>
    <row r="2972">
      <c r="A2972" s="10" t="s">
        <v>9369</v>
      </c>
      <c r="B2972" s="49" t="str">
        <f t="shared" si="1"/>
        <v>Wildlife Parks &amp; Tourism</v>
      </c>
      <c r="C2972" s="49" t="str">
        <f t="shared" si="2"/>
        <v>Wildlife Parks &amp; Tourism; Possess a carcass of a wild turkey, taken within this state, unless a carcass tag, if required and issued by the secretary, is attached to it, in accordance with rules and regulations adopted by the secretary.</v>
      </c>
      <c r="D2972" s="49" t="str">
        <f t="shared" si="3"/>
        <v>32-1004(a)(2)</v>
      </c>
      <c r="E2972" s="11" t="s">
        <v>133</v>
      </c>
      <c r="F2972" s="11">
        <v>3.0</v>
      </c>
      <c r="G2972" s="11">
        <v>3.0</v>
      </c>
      <c r="H2972" s="11">
        <v>3.0</v>
      </c>
      <c r="I2972" s="11">
        <v>3.0</v>
      </c>
    </row>
    <row r="2973">
      <c r="A2973" s="10" t="s">
        <v>9370</v>
      </c>
      <c r="B2973" s="49" t="str">
        <f t="shared" si="1"/>
        <v>Wildlife Parks &amp; Tourism</v>
      </c>
      <c r="C2973" s="49" t="str">
        <f t="shared" si="2"/>
        <v>Wildlife Parks &amp; Tourism; Possess any wildlife unlawfully killed or otherwise unlawfully taken outside this state</v>
      </c>
      <c r="D2973" s="49" t="str">
        <f t="shared" si="3"/>
        <v>32-1004(a)(4)</v>
      </c>
      <c r="E2973" s="11" t="s">
        <v>133</v>
      </c>
      <c r="F2973" s="11">
        <v>3.0</v>
      </c>
      <c r="G2973" s="11">
        <v>3.0</v>
      </c>
      <c r="H2973" s="11">
        <v>3.0</v>
      </c>
      <c r="I2973" s="11">
        <v>3.0</v>
      </c>
    </row>
    <row r="2974">
      <c r="A2974" s="10" t="s">
        <v>9371</v>
      </c>
      <c r="B2974" s="49" t="str">
        <f t="shared" si="1"/>
        <v>Wildlife Parks &amp; Tourism</v>
      </c>
      <c r="C2974" s="49" t="str">
        <f t="shared" si="2"/>
        <v>Wildlife Parks &amp; Tourism; Provide or receive information concerning the location of any game animal or furbearing animal by radio or other mechanical device for purposes of taking such bird or animal</v>
      </c>
      <c r="D2974" s="49" t="str">
        <f t="shared" si="3"/>
        <v>32-1003(a)(2)</v>
      </c>
      <c r="E2974" s="11" t="s">
        <v>133</v>
      </c>
      <c r="F2974" s="11">
        <v>3.0</v>
      </c>
      <c r="G2974" s="11">
        <v>3.0</v>
      </c>
      <c r="H2974" s="11">
        <v>3.0</v>
      </c>
      <c r="I2974" s="11">
        <v>3.0</v>
      </c>
    </row>
    <row r="2975">
      <c r="A2975" s="10" t="s">
        <v>9372</v>
      </c>
      <c r="B2975" s="49" t="str">
        <f t="shared" si="1"/>
        <v>Wildlife Parks &amp; Tourism</v>
      </c>
      <c r="C2975" s="49" t="str">
        <f t="shared" si="2"/>
        <v>Wildlife Parks &amp; Tourism; Public display of coyote carcasses</v>
      </c>
      <c r="D2975" s="49" t="str">
        <f t="shared" si="3"/>
        <v>32-1007(a)</v>
      </c>
      <c r="E2975" s="11" t="s">
        <v>133</v>
      </c>
      <c r="F2975" s="11">
        <v>3.0</v>
      </c>
      <c r="G2975" s="11">
        <v>3.0</v>
      </c>
      <c r="H2975" s="11">
        <v>3.0</v>
      </c>
      <c r="I2975" s="11">
        <v>3.0</v>
      </c>
    </row>
    <row r="2976">
      <c r="A2976" s="10" t="s">
        <v>9373</v>
      </c>
      <c r="B2976" s="49" t="str">
        <f t="shared" si="1"/>
        <v>Wildlife Parks &amp; Tourism</v>
      </c>
      <c r="C2976" s="49" t="str">
        <f t="shared" si="2"/>
        <v>Wildlife Parks &amp; Tourism; Refuse to allow any conservation officer, deputy conservation officer or any law enforcement officer to inspect and count any wildlife in such person's possession</v>
      </c>
      <c r="D2976" s="49" t="str">
        <f t="shared" si="3"/>
        <v>32-1004(a)(7)</v>
      </c>
      <c r="E2976" s="11" t="s">
        <v>133</v>
      </c>
      <c r="F2976" s="11">
        <v>3.0</v>
      </c>
      <c r="G2976" s="11">
        <v>3.0</v>
      </c>
      <c r="H2976" s="11">
        <v>3.0</v>
      </c>
      <c r="I2976" s="11">
        <v>3.0</v>
      </c>
    </row>
    <row r="2977">
      <c r="A2977" s="10" t="s">
        <v>9374</v>
      </c>
      <c r="B2977" s="49" t="str">
        <f t="shared" si="1"/>
        <v>Wildlife Parks &amp; Tourism</v>
      </c>
      <c r="C2977" s="49" t="str">
        <f t="shared" si="2"/>
        <v>Wildlife Parks &amp; Tourism; Refuse to allow any conservation officer, deputy conservation officer or law enforcement officer to inspect any devices or facilities used in taking, possessing, transporting, storing or processing any wildlife subject to the wildlife and parks &amp; tourism laws of this state or rules and regulations of the secretary</v>
      </c>
      <c r="D2977" s="49" t="str">
        <f t="shared" si="3"/>
        <v>32-1004(a)(8)</v>
      </c>
      <c r="E2977" s="11" t="s">
        <v>133</v>
      </c>
      <c r="F2977" s="11">
        <v>3.0</v>
      </c>
      <c r="G2977" s="11">
        <v>3.0</v>
      </c>
      <c r="H2977" s="11">
        <v>3.0</v>
      </c>
      <c r="I2977" s="11">
        <v>3.0</v>
      </c>
    </row>
    <row r="2978">
      <c r="A2978" s="10" t="s">
        <v>9375</v>
      </c>
      <c r="B2978" s="49" t="str">
        <f t="shared" si="1"/>
        <v>Wildlife Parks &amp; Tourism</v>
      </c>
      <c r="C2978" s="49" t="str">
        <f t="shared" si="2"/>
        <v>Wildlife Parks &amp; Tourism; Refuse to allow examination of license, stamp or permit</v>
      </c>
      <c r="D2978" s="49" t="str">
        <f t="shared" si="3"/>
        <v>32-1001(a)(3)</v>
      </c>
      <c r="E2978" s="11" t="s">
        <v>133</v>
      </c>
      <c r="F2978" s="11">
        <v>3.0</v>
      </c>
      <c r="G2978" s="11">
        <v>3.0</v>
      </c>
      <c r="H2978" s="11">
        <v>3.0</v>
      </c>
      <c r="I2978" s="11">
        <v>3.0</v>
      </c>
    </row>
    <row r="2979">
      <c r="A2979" s="10" t="s">
        <v>9376</v>
      </c>
      <c r="B2979" s="49" t="str">
        <f t="shared" si="1"/>
        <v>Wildlife Parks &amp; Tourism</v>
      </c>
      <c r="C2979" s="49" t="str">
        <f t="shared" si="2"/>
        <v>Wildlife Parks &amp; Tourism; Refuse to allow inspection of card or other evidence required pursuant to K.S.A. 32-980 while participating or engaging in fishing or hunting</v>
      </c>
      <c r="D2979" s="49" t="str">
        <f t="shared" si="3"/>
        <v>32-1001(a)(4)(B)</v>
      </c>
      <c r="E2979" s="11" t="s">
        <v>133</v>
      </c>
      <c r="F2979" s="11">
        <v>3.0</v>
      </c>
      <c r="G2979" s="11">
        <v>3.0</v>
      </c>
      <c r="H2979" s="11">
        <v>3.0</v>
      </c>
      <c r="I2979" s="11">
        <v>3.0</v>
      </c>
    </row>
    <row r="2980">
      <c r="A2980" s="10" t="s">
        <v>9377</v>
      </c>
      <c r="B2980" s="49" t="str">
        <f t="shared" si="1"/>
        <v>Wildlife Parks &amp; Tourism</v>
      </c>
      <c r="C2980" s="49" t="str">
        <f t="shared" si="2"/>
        <v>Wildlife Parks &amp; Tourism; Remove fish from a private water fishing impoundment without consent</v>
      </c>
      <c r="D2980" s="49" t="str">
        <f t="shared" si="3"/>
        <v>32-1015(a)(5)</v>
      </c>
      <c r="E2980" s="11" t="s">
        <v>133</v>
      </c>
      <c r="F2980" s="11">
        <v>3.0</v>
      </c>
      <c r="G2980" s="11">
        <v>3.0</v>
      </c>
      <c r="H2980" s="11">
        <v>3.0</v>
      </c>
      <c r="I2980" s="11">
        <v>3.0</v>
      </c>
    </row>
    <row r="2981">
      <c r="A2981" s="10" t="s">
        <v>9378</v>
      </c>
      <c r="B2981" s="49" t="str">
        <f t="shared" si="1"/>
        <v>Wildlife Parks &amp; Tourism</v>
      </c>
      <c r="C2981" s="49" t="str">
        <f t="shared" si="2"/>
        <v>Wildlife Parks &amp; Tourism; Take, buy, sell or offer to sell any migratory bird or birds in Kansas unless authorized/permitted by federal regulations provided by the migratory bird treaty act</v>
      </c>
      <c r="D2981" s="49" t="str">
        <f t="shared" si="3"/>
        <v>32-1008(b)</v>
      </c>
      <c r="E2981" s="11" t="s">
        <v>133</v>
      </c>
      <c r="F2981" s="11">
        <v>3.0</v>
      </c>
      <c r="G2981" s="11">
        <v>3.0</v>
      </c>
      <c r="H2981" s="11">
        <v>3.0</v>
      </c>
      <c r="I2981" s="11">
        <v>3.0</v>
      </c>
    </row>
    <row r="2982">
      <c r="A2982" s="10" t="s">
        <v>9379</v>
      </c>
      <c r="B2982" s="49" t="str">
        <f t="shared" si="1"/>
        <v>Wildlife Parks &amp; Tourism</v>
      </c>
      <c r="C2982" s="49" t="str">
        <f t="shared" si="2"/>
        <v>Wildlife Parks &amp; Tourism; Take, buy, sell or offer to sell any migratory waterfowl in Kansas unless authorized or permitted by 16 U.S.C.A. § 718a</v>
      </c>
      <c r="D2982" s="49" t="str">
        <f t="shared" si="3"/>
        <v>32-1008(c)</v>
      </c>
      <c r="E2982" s="11" t="s">
        <v>133</v>
      </c>
      <c r="F2982" s="11">
        <v>3.0</v>
      </c>
      <c r="G2982" s="11">
        <v>3.0</v>
      </c>
      <c r="H2982" s="11">
        <v>3.0</v>
      </c>
      <c r="I2982" s="11">
        <v>3.0</v>
      </c>
    </row>
    <row r="2983">
      <c r="A2983" s="10" t="s">
        <v>9380</v>
      </c>
      <c r="B2983" s="49" t="str">
        <f t="shared" si="1"/>
        <v>Wildlife Parks &amp; Tourism</v>
      </c>
      <c r="C2983" s="49" t="str">
        <f t="shared" si="2"/>
        <v>Wildlife Parks &amp; Tourism; Take, possess, transport, export, process, sell or offer for sale or ship nongame species deemed to be in need of conservation pursuant to K.S.A. 32-959; unlawful for any common carrier knowingly to transport or receive for shipment such nongame species</v>
      </c>
      <c r="D2983" s="49" t="str">
        <f t="shared" si="3"/>
        <v>32-1009</v>
      </c>
      <c r="E2983" s="11" t="s">
        <v>133</v>
      </c>
      <c r="F2983" s="11">
        <v>3.0</v>
      </c>
      <c r="G2983" s="11">
        <v>3.0</v>
      </c>
      <c r="H2983" s="11">
        <v>3.0</v>
      </c>
      <c r="I2983" s="11">
        <v>3.0</v>
      </c>
    </row>
    <row r="2984">
      <c r="A2984" s="10" t="s">
        <v>9381</v>
      </c>
      <c r="B2984" s="49" t="str">
        <f t="shared" si="1"/>
        <v>Wildlife Parks &amp; Tourism</v>
      </c>
      <c r="C2984" s="49" t="str">
        <f t="shared" si="2"/>
        <v>Wildlife Parks &amp; Tourism; Taking any game animal or furbearing animal from a motorboat, airplane, motor vehicle or other water, air or land vehicle unless holding a valid handicapped hunting and fishing permit issued pursuant to K.S.A. 32-931</v>
      </c>
      <c r="D2984" s="49" t="str">
        <f t="shared" si="3"/>
        <v>32-1003(a)(1)</v>
      </c>
      <c r="E2984" s="11" t="s">
        <v>133</v>
      </c>
      <c r="F2984" s="11">
        <v>3.0</v>
      </c>
      <c r="G2984" s="11">
        <v>3.0</v>
      </c>
      <c r="H2984" s="11">
        <v>3.0</v>
      </c>
      <c r="I2984" s="11">
        <v>3.0</v>
      </c>
    </row>
    <row r="2985">
      <c r="A2985" s="10" t="s">
        <v>9382</v>
      </c>
      <c r="B2985" s="49" t="str">
        <f t="shared" si="1"/>
        <v>Wildlife Parks &amp; Tourism</v>
      </c>
      <c r="C2985" s="49" t="str">
        <f t="shared" si="2"/>
        <v>Wildlife Parks &amp; Tourism; Taking wildlife without permission on land posted "by written permission only"</v>
      </c>
      <c r="D2985" s="49" t="str">
        <f t="shared" si="3"/>
        <v>32-1013(a)</v>
      </c>
      <c r="E2985" s="11" t="s">
        <v>133</v>
      </c>
      <c r="F2985" s="11">
        <v>3.0</v>
      </c>
      <c r="G2985" s="11">
        <v>3.0</v>
      </c>
      <c r="H2985" s="11">
        <v>3.0</v>
      </c>
      <c r="I2985" s="11">
        <v>3.0</v>
      </c>
    </row>
    <row r="2986">
      <c r="A2986" s="10" t="s">
        <v>9383</v>
      </c>
      <c r="B2986" s="49" t="str">
        <f t="shared" si="1"/>
        <v>Wildlife Parks &amp; Tourism</v>
      </c>
      <c r="C2986" s="49" t="str">
        <f t="shared" si="2"/>
        <v>Wildlife Parks &amp; Tourism; Throw or cast the rays of a spotlight, headlight or other artificial light on any highway, roadway, field, grassland, woodland or forest for the purpose of spotting, locating or taking any wildlife while having in possession or control, either singly or as one of a group of persons, any rifle, pistol, shotgun, bow or other implement whereby wildlife could be taken</v>
      </c>
      <c r="D2986" s="49" t="str">
        <f t="shared" si="3"/>
        <v>32-1003(a)(7)</v>
      </c>
      <c r="E2986" s="11" t="s">
        <v>133</v>
      </c>
      <c r="F2986" s="11">
        <v>3.0</v>
      </c>
      <c r="G2986" s="11">
        <v>3.0</v>
      </c>
      <c r="H2986" s="11">
        <v>3.0</v>
      </c>
      <c r="I2986" s="11">
        <v>3.0</v>
      </c>
    </row>
    <row r="2987">
      <c r="A2987" s="10" t="s">
        <v>9384</v>
      </c>
      <c r="B2987" s="49" t="str">
        <f t="shared" si="1"/>
        <v>Wildlife Parks &amp; Tourism</v>
      </c>
      <c r="C2987" s="49" t="str">
        <f t="shared" si="2"/>
        <v>Wildlife Parks &amp; Tourism; Unauthorized hunting, fishing, fur harvesting or taking any wildlife in this state</v>
      </c>
      <c r="D2987" s="49" t="str">
        <f t="shared" si="3"/>
        <v>32-1002(a)(1)</v>
      </c>
      <c r="E2987" s="11" t="s">
        <v>133</v>
      </c>
      <c r="F2987" s="11">
        <v>3.0</v>
      </c>
      <c r="G2987" s="11">
        <v>3.0</v>
      </c>
      <c r="H2987" s="11">
        <v>3.0</v>
      </c>
      <c r="I2987" s="11">
        <v>3.0</v>
      </c>
    </row>
    <row r="2988">
      <c r="A2988" s="10" t="s">
        <v>9385</v>
      </c>
      <c r="B2988" s="49" t="str">
        <f t="shared" si="1"/>
        <v>Wildlife Parks &amp; Tourism</v>
      </c>
      <c r="C2988" s="49" t="str">
        <f t="shared" si="2"/>
        <v>Wildlife Parks &amp; Tourism; Unauthorized possession of any seine, trammel net, hoop net, fyke net, fish gig, fish spear, fish trap or other device, contrivance or material for the purpose of taking wildlife</v>
      </c>
      <c r="D2988" s="49" t="str">
        <f t="shared" si="3"/>
        <v>32-1002(a)(5)</v>
      </c>
      <c r="E2988" s="11" t="s">
        <v>133</v>
      </c>
      <c r="F2988" s="11">
        <v>3.0</v>
      </c>
      <c r="G2988" s="11">
        <v>3.0</v>
      </c>
      <c r="H2988" s="11">
        <v>3.0</v>
      </c>
      <c r="I2988" s="11">
        <v>3.0</v>
      </c>
    </row>
    <row r="2989">
      <c r="A2989" s="10" t="s">
        <v>9386</v>
      </c>
      <c r="B2989" s="49" t="str">
        <f t="shared" si="1"/>
        <v>Wildlife Parks &amp; Tourism</v>
      </c>
      <c r="C2989" s="49" t="str">
        <f t="shared" si="2"/>
        <v>Wildlife Parks &amp; Tourism; Unauthorized possession of, any wildlife, dead or alive, at any time or in any number, in this state</v>
      </c>
      <c r="D2989" s="49" t="str">
        <f t="shared" si="3"/>
        <v>32-1002(a)(2)</v>
      </c>
      <c r="E2989" s="11" t="s">
        <v>133</v>
      </c>
      <c r="F2989" s="11">
        <v>3.0</v>
      </c>
      <c r="G2989" s="11">
        <v>3.0</v>
      </c>
      <c r="H2989" s="11">
        <v>3.0</v>
      </c>
      <c r="I2989" s="11">
        <v>3.0</v>
      </c>
    </row>
    <row r="2990">
      <c r="A2990" s="10" t="s">
        <v>9387</v>
      </c>
      <c r="B2990" s="49" t="str">
        <f t="shared" si="1"/>
        <v>Wildlife Parks &amp; Tourism</v>
      </c>
      <c r="C2990" s="49" t="str">
        <f t="shared" si="2"/>
        <v>Wildlife Parks &amp; Tourism; Unauthorized purchase, sell, exchange, ship or offer for sale, exchange or shipment any wildlife in this state</v>
      </c>
      <c r="D2990" s="49" t="str">
        <f t="shared" si="3"/>
        <v>32-1002(a)(3)</v>
      </c>
      <c r="E2990" s="11" t="s">
        <v>133</v>
      </c>
      <c r="F2990" s="11">
        <v>3.0</v>
      </c>
      <c r="G2990" s="11">
        <v>3.0</v>
      </c>
      <c r="H2990" s="11">
        <v>3.0</v>
      </c>
      <c r="I2990" s="11">
        <v>3.0</v>
      </c>
    </row>
    <row r="2991">
      <c r="A2991" s="10" t="s">
        <v>9388</v>
      </c>
      <c r="B2991" s="49" t="str">
        <f t="shared" si="1"/>
        <v>Wildlife Parks &amp; Tourism</v>
      </c>
      <c r="C2991" s="49" t="str">
        <f t="shared" si="2"/>
        <v>Wildlife Parks &amp; Tourism; Unauthorized taking of any wildlife in this state for sale, exchange or other commercial purposes</v>
      </c>
      <c r="D2991" s="49" t="str">
        <f t="shared" si="3"/>
        <v>32-1002(a)(4)</v>
      </c>
      <c r="E2991" s="11" t="s">
        <v>133</v>
      </c>
      <c r="F2991" s="11">
        <v>3.0</v>
      </c>
      <c r="G2991" s="11">
        <v>3.0</v>
      </c>
      <c r="H2991" s="11">
        <v>3.0</v>
      </c>
      <c r="I2991" s="11">
        <v>3.0</v>
      </c>
    </row>
    <row r="2992">
      <c r="A2992" s="10" t="s">
        <v>9389</v>
      </c>
      <c r="B2992" s="49" t="str">
        <f t="shared" si="1"/>
        <v>Wildlife Parks &amp; Tourism</v>
      </c>
      <c r="C2992" s="49" t="str">
        <f t="shared" si="2"/>
        <v>Wildlife Parks &amp; Tourism; Unauthorized taking or using, at any time or in any manner, any game bird, game animal, coyote or furbearing animal, whether pen-raised or wild, in any field trial or for training dogs</v>
      </c>
      <c r="D2992" s="49" t="str">
        <f t="shared" si="3"/>
        <v>32-1002(a)(6)</v>
      </c>
      <c r="E2992" s="11" t="s">
        <v>133</v>
      </c>
      <c r="F2992" s="11">
        <v>3.0</v>
      </c>
      <c r="G2992" s="11">
        <v>3.0</v>
      </c>
      <c r="H2992" s="11">
        <v>3.0</v>
      </c>
      <c r="I2992" s="11">
        <v>3.0</v>
      </c>
    </row>
    <row r="2993">
      <c r="A2993" s="10" t="s">
        <v>9390</v>
      </c>
      <c r="B2993" s="49" t="str">
        <f t="shared" si="1"/>
        <v>Wildlife Parks &amp; Tourism</v>
      </c>
      <c r="C2993" s="49" t="str">
        <f t="shared" si="2"/>
        <v>Wildlife Parks &amp; Tourism; Unauthorized use of poison, poisonous gas, smoke or ferrets, or any smoke gun or other device for forcing smoke or any other asphyxiating or deadly gas or liquid into the holes, dens, runways or houses of wildlife</v>
      </c>
      <c r="D2993" s="49" t="str">
        <f t="shared" si="3"/>
        <v>32-1003(a)(4)</v>
      </c>
      <c r="E2993" s="11" t="s">
        <v>133</v>
      </c>
      <c r="F2993" s="11">
        <v>3.0</v>
      </c>
      <c r="G2993" s="11">
        <v>3.0</v>
      </c>
      <c r="H2993" s="11">
        <v>3.0</v>
      </c>
      <c r="I2993" s="11">
        <v>3.0</v>
      </c>
    </row>
    <row r="2994">
      <c r="A2994" s="10" t="s">
        <v>9391</v>
      </c>
      <c r="B2994" s="49" t="str">
        <f t="shared" si="1"/>
        <v>Wildlife Parks &amp; Tourism</v>
      </c>
      <c r="C2994" s="49" t="str">
        <f t="shared" si="2"/>
        <v>Wildlife Parks &amp; Tourism; Unauthorized use of sodium fluoroacetate, commonly called formula 1080</v>
      </c>
      <c r="D2994" s="49" t="str">
        <f t="shared" si="3"/>
        <v>32-1003(a)(3)</v>
      </c>
      <c r="E2994" s="11" t="s">
        <v>133</v>
      </c>
      <c r="F2994" s="11">
        <v>3.0</v>
      </c>
      <c r="G2994" s="11">
        <v>3.0</v>
      </c>
      <c r="H2994" s="11">
        <v>3.0</v>
      </c>
      <c r="I2994" s="11">
        <v>3.0</v>
      </c>
    </row>
    <row r="2995">
      <c r="A2995" s="10" t="s">
        <v>9392</v>
      </c>
      <c r="B2995" s="49" t="str">
        <f t="shared" si="1"/>
        <v>Wildlife Parks &amp; Tourism</v>
      </c>
      <c r="C2995" s="49" t="str">
        <f t="shared" si="2"/>
        <v>Wildlife Parks &amp; Tourism; Unlawful taking of a threatened species</v>
      </c>
      <c r="D2995" s="49" t="str">
        <f t="shared" si="3"/>
        <v>32-1010</v>
      </c>
      <c r="E2995" s="11" t="s">
        <v>133</v>
      </c>
      <c r="F2995" s="11">
        <v>3.0</v>
      </c>
      <c r="G2995" s="11">
        <v>3.0</v>
      </c>
      <c r="H2995" s="11">
        <v>3.0</v>
      </c>
      <c r="I2995" s="11">
        <v>3.0</v>
      </c>
    </row>
    <row r="2996">
      <c r="A2996" s="10" t="s">
        <v>9393</v>
      </c>
      <c r="B2996" s="49" t="str">
        <f t="shared" si="1"/>
        <v>Wildlife Parks &amp; Tourism</v>
      </c>
      <c r="C2996" s="49" t="str">
        <f t="shared" si="2"/>
        <v>Wildlife Parks &amp; Tourism; Unlawful taking of an endangered species</v>
      </c>
      <c r="D2996" s="49" t="str">
        <f t="shared" si="3"/>
        <v>32-1011</v>
      </c>
      <c r="E2996" s="11" t="s">
        <v>133</v>
      </c>
      <c r="F2996" s="11">
        <v>3.0</v>
      </c>
      <c r="G2996" s="11">
        <v>3.0</v>
      </c>
      <c r="H2996" s="11">
        <v>3.0</v>
      </c>
      <c r="I2996" s="11">
        <v>3.0</v>
      </c>
    </row>
    <row r="2997">
      <c r="A2997" s="10" t="s">
        <v>9394</v>
      </c>
      <c r="B2997" s="49" t="str">
        <f t="shared" si="1"/>
        <v>Wildlife Parks &amp; Tourism</v>
      </c>
      <c r="C2997" s="49" t="str">
        <f t="shared" si="2"/>
        <v>Wildlife Parks &amp; Tourism; Unlawful taking of coyotes, moles, gophers</v>
      </c>
      <c r="D2997" s="49" t="str">
        <f t="shared" si="3"/>
        <v>32-1006(b)</v>
      </c>
      <c r="E2997" s="11" t="s">
        <v>133</v>
      </c>
      <c r="F2997" s="11">
        <v>3.0</v>
      </c>
      <c r="G2997" s="11">
        <v>3.0</v>
      </c>
      <c r="H2997" s="11">
        <v>3.0</v>
      </c>
      <c r="I2997" s="11">
        <v>3.0</v>
      </c>
    </row>
    <row r="2998">
      <c r="A2998" s="10" t="s">
        <v>9395</v>
      </c>
      <c r="B2998" s="49" t="str">
        <f t="shared" si="1"/>
        <v>Wildlife Parks &amp; Tourism</v>
      </c>
      <c r="C2998" s="49" t="str">
        <f t="shared" si="2"/>
        <v>Wildlife Parks &amp; Tourism; Unlawful taking of endangered species</v>
      </c>
      <c r="D2998" s="49" t="str">
        <f t="shared" si="3"/>
        <v>32-1033</v>
      </c>
      <c r="E2998" s="11" t="s">
        <v>133</v>
      </c>
      <c r="F2998" s="11">
        <v>3.0</v>
      </c>
      <c r="G2998" s="11">
        <v>3.0</v>
      </c>
      <c r="H2998" s="11">
        <v>3.0</v>
      </c>
      <c r="I2998" s="11">
        <v>3.0</v>
      </c>
    </row>
    <row r="2999">
      <c r="A2999" s="10" t="s">
        <v>9396</v>
      </c>
      <c r="B2999" s="49" t="str">
        <f t="shared" si="1"/>
        <v>Wildlife Parks &amp; Tourism</v>
      </c>
      <c r="C2999" s="49" t="str">
        <f t="shared" si="2"/>
        <v>Wildlife Parks &amp; Tourism; Use any manner or means of taking fish which may escape from a private water fishing impoundment and kill or endanger fish in another such impoundment or in public waters</v>
      </c>
      <c r="D2999" s="49" t="str">
        <f t="shared" si="3"/>
        <v>32-1015(a)(4)</v>
      </c>
      <c r="E2999" s="11" t="s">
        <v>133</v>
      </c>
      <c r="F2999" s="11">
        <v>3.0</v>
      </c>
      <c r="G2999" s="11">
        <v>3.0</v>
      </c>
      <c r="H2999" s="11">
        <v>3.0</v>
      </c>
      <c r="I2999" s="11">
        <v>3.0</v>
      </c>
    </row>
    <row r="3000">
      <c r="A3000" s="10" t="s">
        <v>9397</v>
      </c>
      <c r="B3000" s="49" t="str">
        <f t="shared" si="1"/>
        <v>Wildlife Violator Compact</v>
      </c>
      <c r="C3000" s="49" t="str">
        <f t="shared" si="2"/>
        <v>Wildlife Violator Compact; Knowingly hunt, fish, trap, possess, or transport wildlife in violation of Act</v>
      </c>
      <c r="D3000" s="49" t="str">
        <f t="shared" si="3"/>
        <v>32-1063(a)</v>
      </c>
      <c r="E3000" s="11" t="s">
        <v>133</v>
      </c>
      <c r="F3000" s="11">
        <v>3.0</v>
      </c>
      <c r="G3000" s="11">
        <v>3.0</v>
      </c>
      <c r="H3000" s="11">
        <v>3.0</v>
      </c>
      <c r="I3000" s="11">
        <v>3.0</v>
      </c>
    </row>
    <row r="3001">
      <c r="A3001" s="10" t="s">
        <v>9398</v>
      </c>
      <c r="B3001" s="49" t="str">
        <f t="shared" si="1"/>
        <v>Wildlife Violator Compact</v>
      </c>
      <c r="C3001" s="49" t="str">
        <f t="shared" si="2"/>
        <v>Wildlife Violator Compact; Knowingly purchase or possess a license to fish, trap, hunt possess or transport wildlife in violation of Act</v>
      </c>
      <c r="D3001" s="49" t="str">
        <f t="shared" si="3"/>
        <v>32-1063(b)</v>
      </c>
      <c r="E3001" s="11" t="s">
        <v>133</v>
      </c>
      <c r="F3001" s="11">
        <v>3.0</v>
      </c>
      <c r="G3001" s="11">
        <v>3.0</v>
      </c>
      <c r="H3001" s="11">
        <v>3.0</v>
      </c>
      <c r="I3001" s="11">
        <v>3.0</v>
      </c>
    </row>
    <row r="3002">
      <c r="A3002" s="10" t="s">
        <v>9399</v>
      </c>
      <c r="B3002" s="49" t="str">
        <f t="shared" si="1"/>
        <v>Witnesses</v>
      </c>
      <c r="C3002" s="49" t="str">
        <f t="shared" si="2"/>
        <v>Witnesses; Disobey subpoena, or refuse to answer any proper question propounded by the attorney general, assistant attorney general, or county attorney, at inquiry</v>
      </c>
      <c r="D3002" s="49" t="str">
        <f t="shared" si="3"/>
        <v>60-1208(a)</v>
      </c>
      <c r="E3002" s="11" t="s">
        <v>133</v>
      </c>
      <c r="F3002" s="11">
        <v>3.0</v>
      </c>
      <c r="G3002" s="11">
        <v>3.0</v>
      </c>
      <c r="H3002" s="11">
        <v>3.0</v>
      </c>
      <c r="I3002" s="11">
        <v>3.0</v>
      </c>
    </row>
    <row r="3003">
      <c r="A3003" s="10" t="s">
        <v>9400</v>
      </c>
      <c r="B3003" s="49" t="str">
        <f t="shared" si="1"/>
        <v>Worker's Comp. Fraud</v>
      </c>
      <c r="C3003" s="49" t="str">
        <f t="shared" si="2"/>
        <v>Worker's Comp. Fraud; Amount received as a benefit, less than $1,000</v>
      </c>
      <c r="D3003" s="49" t="str">
        <f t="shared" si="3"/>
        <v>44-5,125(a)(1)(i)</v>
      </c>
      <c r="E3003" s="11" t="s">
        <v>133</v>
      </c>
      <c r="F3003" s="11">
        <v>3.0</v>
      </c>
      <c r="G3003" s="11">
        <v>3.0</v>
      </c>
      <c r="H3003" s="11">
        <v>3.0</v>
      </c>
      <c r="I3003" s="11">
        <v>3.0</v>
      </c>
    </row>
    <row r="3004">
      <c r="A3004" s="10" t="s">
        <v>9401</v>
      </c>
      <c r="B3004" s="49" t="str">
        <f t="shared" si="1"/>
        <v>Worker's Comp. Fraud</v>
      </c>
      <c r="C3004" s="49" t="str">
        <f t="shared" si="2"/>
        <v>Worker's Comp. Fraud; Attempt to Gain Benefits; conspire with another person to commit any act described by paragraph (1) of this subsection (a); $1,000 to $25,000</v>
      </c>
      <c r="D3004" s="49" t="str">
        <f t="shared" si="3"/>
        <v>44-5,125(a)(1)(E)</v>
      </c>
      <c r="E3004" s="11" t="s">
        <v>133</v>
      </c>
      <c r="F3004" s="11">
        <v>3.0</v>
      </c>
      <c r="G3004" s="11">
        <v>3.0</v>
      </c>
      <c r="H3004" s="11">
        <v>3.0</v>
      </c>
      <c r="I3004" s="11">
        <v>3.0</v>
      </c>
    </row>
    <row r="3005">
      <c r="A3005" s="10" t="s">
        <v>9402</v>
      </c>
      <c r="B3005" s="49" t="str">
        <f t="shared" si="1"/>
        <v>Worker's Comp. Fraud</v>
      </c>
      <c r="C3005" s="49" t="str">
        <f t="shared" si="2"/>
        <v>Worker's Comp. Fraud; Attempt to Gain Benefits; conspire with another person to commit any act described by paragraph (1) of this subsection (a); $100,000 or more</v>
      </c>
      <c r="D3005" s="49" t="str">
        <f t="shared" si="3"/>
        <v>44-5,125(a)(1)(E)</v>
      </c>
      <c r="E3005" s="11" t="s">
        <v>133</v>
      </c>
      <c r="F3005" s="11">
        <v>3.0</v>
      </c>
      <c r="G3005" s="11">
        <v>3.0</v>
      </c>
      <c r="H3005" s="11">
        <v>3.0</v>
      </c>
      <c r="I3005" s="11">
        <v>3.0</v>
      </c>
    </row>
    <row r="3006">
      <c r="A3006" s="10" t="s">
        <v>9403</v>
      </c>
      <c r="B3006" s="49" t="str">
        <f t="shared" si="1"/>
        <v>Worker's Comp. Fraud</v>
      </c>
      <c r="C3006" s="49" t="str">
        <f t="shared" si="2"/>
        <v>Worker's Comp. Fraud; Attempt to Gain Benefits; conspire with another person to commit any act described by paragraph (1) of this subsection (a); $25,000 to $50,000</v>
      </c>
      <c r="D3006" s="49" t="str">
        <f t="shared" si="3"/>
        <v>44-5,125(a)(1)(E)</v>
      </c>
      <c r="E3006" s="11" t="s">
        <v>133</v>
      </c>
      <c r="F3006" s="11">
        <v>3.0</v>
      </c>
      <c r="G3006" s="11">
        <v>3.0</v>
      </c>
      <c r="H3006" s="11">
        <v>3.0</v>
      </c>
      <c r="I3006" s="11">
        <v>3.0</v>
      </c>
    </row>
    <row r="3007">
      <c r="A3007" s="10" t="s">
        <v>9404</v>
      </c>
      <c r="B3007" s="49" t="str">
        <f t="shared" si="1"/>
        <v>Worker's Comp. Fraud</v>
      </c>
      <c r="C3007" s="49" t="str">
        <f t="shared" si="2"/>
        <v>Worker's Comp. Fraud; Attempt to Gain Benefits; conspire with another person to commit any act described by paragraph (1) of this subsection (a); $50,000 to $100,000</v>
      </c>
      <c r="D3007" s="49" t="str">
        <f t="shared" si="3"/>
        <v>44-5,125(a)(1)(E)</v>
      </c>
      <c r="E3007" s="11" t="s">
        <v>133</v>
      </c>
      <c r="F3007" s="11">
        <v>3.0</v>
      </c>
      <c r="G3007" s="11">
        <v>3.0</v>
      </c>
      <c r="H3007" s="11">
        <v>3.0</v>
      </c>
      <c r="I3007" s="11">
        <v>3.0</v>
      </c>
    </row>
    <row r="3008">
      <c r="A3008" s="10" t="s">
        <v>9405</v>
      </c>
      <c r="B3008" s="49" t="str">
        <f t="shared" si="1"/>
        <v>Worker's Comp. Fraud</v>
      </c>
      <c r="C3008" s="49" t="str">
        <f t="shared" si="2"/>
        <v>Worker's Comp. Fraud; Attempt to Gain Benefits; fabricate, alter, conceal or destroy a document; $100,000 or more</v>
      </c>
      <c r="D3008" s="49" t="str">
        <f t="shared" si="3"/>
        <v>44-5,125(a)(1)(C)</v>
      </c>
      <c r="E3008" s="11" t="s">
        <v>133</v>
      </c>
      <c r="F3008" s="11">
        <v>3.0</v>
      </c>
      <c r="G3008" s="11">
        <v>3.0</v>
      </c>
      <c r="H3008" s="11">
        <v>3.0</v>
      </c>
      <c r="I3008" s="11">
        <v>3.0</v>
      </c>
    </row>
    <row r="3009">
      <c r="A3009" s="10" t="s">
        <v>9406</v>
      </c>
      <c r="B3009" s="49" t="str">
        <f t="shared" si="1"/>
        <v>Worker's Comp. Fraud</v>
      </c>
      <c r="C3009" s="49" t="str">
        <f t="shared" si="2"/>
        <v>Worker's Comp. Fraud; Attempt to Gain Benefits; fabricate, alter, conceal or destroy a document; $1000 to $25,000</v>
      </c>
      <c r="D3009" s="49" t="str">
        <f t="shared" si="3"/>
        <v>44-5,125(a)(1)(C)</v>
      </c>
      <c r="E3009" s="11" t="s">
        <v>133</v>
      </c>
      <c r="F3009" s="11">
        <v>3.0</v>
      </c>
      <c r="G3009" s="11">
        <v>3.0</v>
      </c>
      <c r="H3009" s="11">
        <v>3.0</v>
      </c>
      <c r="I3009" s="11">
        <v>3.0</v>
      </c>
    </row>
    <row r="3010">
      <c r="A3010" s="10" t="s">
        <v>9407</v>
      </c>
      <c r="B3010" s="49" t="str">
        <f t="shared" si="1"/>
        <v>Worker's Comp. Fraud</v>
      </c>
      <c r="C3010" s="49" t="str">
        <f t="shared" si="2"/>
        <v>Worker's Comp. Fraud; Attempt to Gain Benefits; fabricate, alter, conceal or destroy a document; $25,000 to $50,000</v>
      </c>
      <c r="D3010" s="49" t="str">
        <f t="shared" si="3"/>
        <v>44-5,125(a)(1)(C)</v>
      </c>
      <c r="E3010" s="11" t="s">
        <v>133</v>
      </c>
      <c r="F3010" s="11">
        <v>3.0</v>
      </c>
      <c r="G3010" s="11">
        <v>3.0</v>
      </c>
      <c r="H3010" s="11">
        <v>3.0</v>
      </c>
      <c r="I3010" s="11">
        <v>3.0</v>
      </c>
    </row>
    <row r="3011">
      <c r="A3011" s="10" t="s">
        <v>9408</v>
      </c>
      <c r="B3011" s="49" t="str">
        <f t="shared" si="1"/>
        <v>Worker's Comp. Fraud</v>
      </c>
      <c r="C3011" s="49" t="str">
        <f t="shared" si="2"/>
        <v>Worker's Comp. Fraud; Attempt to Gain Benefits; fabricate, alter, conceal or destroy a document; $50,000 to $100,000</v>
      </c>
      <c r="D3011" s="49" t="str">
        <f t="shared" si="3"/>
        <v>44-5,125(a)(1)(C)</v>
      </c>
      <c r="E3011" s="11" t="s">
        <v>133</v>
      </c>
      <c r="F3011" s="11">
        <v>3.0</v>
      </c>
      <c r="G3011" s="11">
        <v>3.0</v>
      </c>
      <c r="H3011" s="11">
        <v>3.0</v>
      </c>
      <c r="I3011" s="11">
        <v>3.0</v>
      </c>
    </row>
    <row r="3012">
      <c r="A3012" s="10" t="s">
        <v>9409</v>
      </c>
      <c r="B3012" s="49" t="str">
        <f t="shared" si="1"/>
        <v>Worker's Comp. Fraud</v>
      </c>
      <c r="C3012" s="49" t="str">
        <f t="shared" si="2"/>
        <v>Worker's Comp. Fraud; Attempt to Gain Benefits; false or misleading statement; $1,000 to $25,000</v>
      </c>
      <c r="D3012" s="49" t="str">
        <f t="shared" si="3"/>
        <v>44-5,125(a)(1)(A)</v>
      </c>
      <c r="E3012" s="11" t="s">
        <v>133</v>
      </c>
      <c r="F3012" s="11">
        <v>3.0</v>
      </c>
      <c r="G3012" s="11">
        <v>3.0</v>
      </c>
      <c r="H3012" s="11">
        <v>3.0</v>
      </c>
      <c r="I3012" s="11">
        <v>3.0</v>
      </c>
    </row>
    <row r="3013">
      <c r="A3013" s="10" t="s">
        <v>9410</v>
      </c>
      <c r="B3013" s="49" t="str">
        <f t="shared" si="1"/>
        <v>Worker's Comp. Fraud</v>
      </c>
      <c r="C3013" s="49" t="str">
        <f t="shared" si="2"/>
        <v>Worker's Comp. Fraud; Attempt to Gain Benefits; false or misleading statement; $100,000 or more</v>
      </c>
      <c r="D3013" s="49" t="str">
        <f t="shared" si="3"/>
        <v>44-5,125(a)(1)(A)</v>
      </c>
      <c r="E3013" s="11" t="s">
        <v>133</v>
      </c>
      <c r="F3013" s="11">
        <v>3.0</v>
      </c>
      <c r="G3013" s="11">
        <v>3.0</v>
      </c>
      <c r="H3013" s="11">
        <v>3.0</v>
      </c>
      <c r="I3013" s="11">
        <v>3.0</v>
      </c>
    </row>
    <row r="3014">
      <c r="A3014" s="10" t="s">
        <v>9411</v>
      </c>
      <c r="B3014" s="49" t="str">
        <f t="shared" si="1"/>
        <v>Worker's Comp. Fraud</v>
      </c>
      <c r="C3014" s="49" t="str">
        <f t="shared" si="2"/>
        <v>Worker's Comp. Fraud; Attempt to Gain Benefits; false or misleading statement; $25,000 to $50,000</v>
      </c>
      <c r="D3014" s="49" t="str">
        <f t="shared" si="3"/>
        <v>44-5,125(a)(1)(A)</v>
      </c>
      <c r="E3014" s="11" t="s">
        <v>133</v>
      </c>
      <c r="F3014" s="11">
        <v>3.0</v>
      </c>
      <c r="G3014" s="11">
        <v>3.0</v>
      </c>
      <c r="H3014" s="11">
        <v>3.0</v>
      </c>
      <c r="I3014" s="11">
        <v>3.0</v>
      </c>
    </row>
    <row r="3015">
      <c r="A3015" s="10" t="s">
        <v>9412</v>
      </c>
      <c r="B3015" s="49" t="str">
        <f t="shared" si="1"/>
        <v>Worker's Comp. Fraud</v>
      </c>
      <c r="C3015" s="49" t="str">
        <f t="shared" si="2"/>
        <v>Worker's Comp. Fraud; Attempt to Gain Benefits; false or misleading statement; $50,000 to $100,000</v>
      </c>
      <c r="D3015" s="49" t="str">
        <f t="shared" si="3"/>
        <v>44-5,125(a)(1)(A)</v>
      </c>
      <c r="E3015" s="11" t="s">
        <v>133</v>
      </c>
      <c r="F3015" s="11">
        <v>3.0</v>
      </c>
      <c r="G3015" s="11">
        <v>3.0</v>
      </c>
      <c r="H3015" s="11">
        <v>3.0</v>
      </c>
      <c r="I3015" s="11">
        <v>3.0</v>
      </c>
    </row>
    <row r="3016">
      <c r="A3016" s="10" t="s">
        <v>9413</v>
      </c>
      <c r="B3016" s="49" t="str">
        <f t="shared" si="1"/>
        <v>Worker's Comp. Fraud</v>
      </c>
      <c r="C3016" s="49" t="str">
        <f t="shared" si="2"/>
        <v>Worker's Comp. Fraud; Attempt to Gain Benefits; misrepresent/conceal a material fact; $1,000 to $25,000</v>
      </c>
      <c r="D3016" s="49" t="str">
        <f t="shared" si="3"/>
        <v>44-5,125(a)(1)(B)</v>
      </c>
      <c r="E3016" s="11" t="s">
        <v>133</v>
      </c>
      <c r="F3016" s="11">
        <v>3.0</v>
      </c>
      <c r="G3016" s="11">
        <v>3.0</v>
      </c>
      <c r="H3016" s="11">
        <v>3.0</v>
      </c>
      <c r="I3016" s="11">
        <v>3.0</v>
      </c>
    </row>
    <row r="3017">
      <c r="A3017" s="10" t="s">
        <v>9414</v>
      </c>
      <c r="B3017" s="49" t="str">
        <f t="shared" si="1"/>
        <v>Worker's Comp. Fraud</v>
      </c>
      <c r="C3017" s="49" t="str">
        <f t="shared" si="2"/>
        <v>Worker's Comp. Fraud; Attempt to Gain Benefits; misrepresent/conceal a material fact; $100,000 or more</v>
      </c>
      <c r="D3017" s="49" t="str">
        <f t="shared" si="3"/>
        <v>44-5,125(a)(1)(B)</v>
      </c>
      <c r="E3017" s="11" t="s">
        <v>133</v>
      </c>
      <c r="F3017" s="11">
        <v>3.0</v>
      </c>
      <c r="G3017" s="11">
        <v>3.0</v>
      </c>
      <c r="H3017" s="11">
        <v>3.0</v>
      </c>
      <c r="I3017" s="11">
        <v>3.0</v>
      </c>
    </row>
    <row r="3018">
      <c r="A3018" s="10" t="s">
        <v>9415</v>
      </c>
      <c r="B3018" s="49" t="str">
        <f t="shared" si="1"/>
        <v>Worker's Comp. Fraud</v>
      </c>
      <c r="C3018" s="49" t="str">
        <f t="shared" si="2"/>
        <v>Worker's Comp. Fraud; Attempt to Gain Benefits; misrepresent/conceal a material fact; $25,000 to $50,000</v>
      </c>
      <c r="D3018" s="49" t="str">
        <f t="shared" si="3"/>
        <v>44-5,125(a)(1)(B)</v>
      </c>
      <c r="E3018" s="11" t="s">
        <v>133</v>
      </c>
      <c r="F3018" s="11">
        <v>3.0</v>
      </c>
      <c r="G3018" s="11">
        <v>3.0</v>
      </c>
      <c r="H3018" s="11">
        <v>3.0</v>
      </c>
      <c r="I3018" s="11">
        <v>3.0</v>
      </c>
    </row>
    <row r="3019">
      <c r="A3019" s="10" t="s">
        <v>9416</v>
      </c>
      <c r="B3019" s="49" t="str">
        <f t="shared" si="1"/>
        <v>Worker's Comp. Fraud</v>
      </c>
      <c r="C3019" s="49" t="str">
        <f t="shared" si="2"/>
        <v>Worker's Comp. Fraud; Attempt to Gain Benefits; misrepresent/conceal a material fact; $50,000 to $100,000</v>
      </c>
      <c r="D3019" s="49" t="str">
        <f t="shared" si="3"/>
        <v>44-5,125(a)(1)(B)</v>
      </c>
      <c r="E3019" s="11" t="s">
        <v>133</v>
      </c>
      <c r="F3019" s="11">
        <v>3.0</v>
      </c>
      <c r="G3019" s="11">
        <v>3.0</v>
      </c>
      <c r="H3019" s="11">
        <v>3.0</v>
      </c>
      <c r="I3019" s="11">
        <v>3.0</v>
      </c>
    </row>
    <row r="3020">
      <c r="A3020" s="10" t="s">
        <v>9417</v>
      </c>
      <c r="B3020" s="49" t="str">
        <f t="shared" si="1"/>
        <v>Worker's Comp. Fraud</v>
      </c>
      <c r="C3020" s="49" t="str">
        <f t="shared" si="2"/>
        <v>Worker's Comp. Fraud; Attempt to Gain Benefits; receive temporary total disability benefits or permanent total disability benefits, not entitled to, while employed; $1,000 to $25,000</v>
      </c>
      <c r="D3020" s="49" t="str">
        <f t="shared" si="3"/>
        <v>44-5,125(a)(1)(D)</v>
      </c>
      <c r="E3020" s="11" t="s">
        <v>133</v>
      </c>
      <c r="F3020" s="11">
        <v>3.0</v>
      </c>
      <c r="G3020" s="11">
        <v>3.0</v>
      </c>
      <c r="H3020" s="11">
        <v>3.0</v>
      </c>
      <c r="I3020" s="11">
        <v>3.0</v>
      </c>
    </row>
    <row r="3021">
      <c r="A3021" s="10" t="s">
        <v>9418</v>
      </c>
      <c r="B3021" s="49" t="str">
        <f t="shared" si="1"/>
        <v>Worker's Comp. Fraud</v>
      </c>
      <c r="C3021" s="49" t="str">
        <f t="shared" si="2"/>
        <v>Worker's Comp. Fraud; Attempt to Gain Benefits; receive temporary total disability benefits or permanent total disability benefits, not entitled to, while employed; $100,000 or more</v>
      </c>
      <c r="D3021" s="49" t="str">
        <f t="shared" si="3"/>
        <v>44-5,125(a)(1)(D)</v>
      </c>
      <c r="E3021" s="11" t="s">
        <v>133</v>
      </c>
      <c r="F3021" s="11">
        <v>3.0</v>
      </c>
      <c r="G3021" s="11">
        <v>3.0</v>
      </c>
      <c r="H3021" s="11">
        <v>3.0</v>
      </c>
      <c r="I3021" s="11">
        <v>3.0</v>
      </c>
    </row>
    <row r="3022">
      <c r="A3022" s="10" t="s">
        <v>9419</v>
      </c>
      <c r="B3022" s="49" t="str">
        <f t="shared" si="1"/>
        <v>Worker's Comp. Fraud</v>
      </c>
      <c r="C3022" s="49" t="str">
        <f t="shared" si="2"/>
        <v>Worker's Comp. Fraud; Attempt to Gain Benefits; receive temporary total disability benefits or permanent total disability benefits, not entitled to, while employed; $25,000 to $50,000</v>
      </c>
      <c r="D3022" s="49" t="str">
        <f t="shared" si="3"/>
        <v>44-5,125(a)(1)(D)</v>
      </c>
      <c r="E3022" s="11" t="s">
        <v>133</v>
      </c>
      <c r="F3022" s="11">
        <v>3.0</v>
      </c>
      <c r="G3022" s="11">
        <v>3.0</v>
      </c>
      <c r="H3022" s="11">
        <v>3.0</v>
      </c>
      <c r="I3022" s="11">
        <v>3.0</v>
      </c>
    </row>
    <row r="3023">
      <c r="A3023" s="10" t="s">
        <v>9420</v>
      </c>
      <c r="B3023" s="49" t="str">
        <f t="shared" si="1"/>
        <v>Worker's Comp. Fraud</v>
      </c>
      <c r="C3023" s="49" t="str">
        <f t="shared" si="2"/>
        <v>Worker's Comp. Fraud; Attempt to Gain Benefits; receive temporary total disability benefits or permanent total disability benefits, not entitled to, while employed; $50,000 to $100,000</v>
      </c>
      <c r="D3023" s="49" t="str">
        <f t="shared" si="3"/>
        <v>44-5,125(a)(1)(D)</v>
      </c>
      <c r="E3023" s="11" t="s">
        <v>133</v>
      </c>
      <c r="F3023" s="11">
        <v>3.0</v>
      </c>
      <c r="G3023" s="11">
        <v>3.0</v>
      </c>
      <c r="H3023" s="11">
        <v>3.0</v>
      </c>
      <c r="I3023" s="11">
        <v>3.0</v>
      </c>
    </row>
    <row r="3024">
      <c r="A3024" s="10" t="s">
        <v>9421</v>
      </c>
      <c r="B3024" s="49" t="str">
        <f t="shared" si="1"/>
        <v>Worker's Comp. Fraud</v>
      </c>
      <c r="C3024" s="49" t="str">
        <f t="shared" si="2"/>
        <v>Worker's Comp. Fraud; Attempt to Obtain Better Premium than Entitled; conspire with another person or persons to commit the acts described in clause (1), (2) or (3)</v>
      </c>
      <c r="D3024" s="49" t="str">
        <f t="shared" si="3"/>
        <v>44-5,125(d)(4)</v>
      </c>
      <c r="E3024" s="11" t="s">
        <v>133</v>
      </c>
      <c r="F3024" s="11">
        <v>3.0</v>
      </c>
      <c r="G3024" s="11">
        <v>3.0</v>
      </c>
      <c r="H3024" s="11">
        <v>3.0</v>
      </c>
      <c r="I3024" s="11">
        <v>3.0</v>
      </c>
    </row>
    <row r="3025">
      <c r="A3025" s="10" t="s">
        <v>9422</v>
      </c>
      <c r="B3025" s="49" t="str">
        <f t="shared" si="1"/>
        <v>Worker's Comp. Fraud</v>
      </c>
      <c r="C3025" s="49" t="str">
        <f t="shared" si="2"/>
        <v>Worker's Comp. Fraud; Attempt to Obtain Better Premium than Entitled; fabricate, conceal or destroy a document</v>
      </c>
      <c r="D3025" s="49" t="str">
        <f t="shared" si="3"/>
        <v>44-5,125(d)(3)</v>
      </c>
      <c r="E3025" s="11" t="s">
        <v>133</v>
      </c>
      <c r="F3025" s="11">
        <v>3.0</v>
      </c>
      <c r="G3025" s="11">
        <v>3.0</v>
      </c>
      <c r="H3025" s="11">
        <v>3.0</v>
      </c>
      <c r="I3025" s="11">
        <v>3.0</v>
      </c>
    </row>
    <row r="3026">
      <c r="A3026" s="10" t="s">
        <v>9423</v>
      </c>
      <c r="B3026" s="49" t="str">
        <f t="shared" si="1"/>
        <v>Worker's Comp. Fraud</v>
      </c>
      <c r="C3026" s="49" t="str">
        <f t="shared" si="2"/>
        <v>Worker's Comp. Fraud; Attempt to Obtain Better Premium than Entitled; false or misleading statement</v>
      </c>
      <c r="D3026" s="49" t="str">
        <f t="shared" si="3"/>
        <v>44-5,125(d)(1)</v>
      </c>
      <c r="E3026" s="11" t="s">
        <v>133</v>
      </c>
      <c r="F3026" s="11">
        <v>3.0</v>
      </c>
      <c r="G3026" s="11">
        <v>3.0</v>
      </c>
      <c r="H3026" s="11">
        <v>3.0</v>
      </c>
      <c r="I3026" s="11">
        <v>3.0</v>
      </c>
    </row>
    <row r="3027">
      <c r="A3027" s="10" t="s">
        <v>9424</v>
      </c>
      <c r="B3027" s="49" t="str">
        <f t="shared" si="1"/>
        <v>Worker's Comp. Fraud</v>
      </c>
      <c r="C3027" s="49" t="str">
        <f t="shared" si="2"/>
        <v>Worker's Comp. Fraud; Attempt to Obtain Better Premium than Entitled; misrepresent/conceal a material fact</v>
      </c>
      <c r="D3027" s="49" t="str">
        <f t="shared" si="3"/>
        <v>44-5,125(d)(2)</v>
      </c>
      <c r="E3027" s="11" t="s">
        <v>133</v>
      </c>
      <c r="F3027" s="11">
        <v>3.0</v>
      </c>
      <c r="G3027" s="11">
        <v>3.0</v>
      </c>
      <c r="H3027" s="11">
        <v>3.0</v>
      </c>
      <c r="I3027" s="11">
        <v>3.0</v>
      </c>
    </row>
    <row r="3028">
      <c r="A3028" s="10" t="s">
        <v>9425</v>
      </c>
      <c r="B3028" s="49" t="str">
        <f t="shared" si="1"/>
        <v>Worker's Comp. Fraud</v>
      </c>
      <c r="C3028" s="49" t="str">
        <f t="shared" si="2"/>
        <v>Worker's Comp. Fraud; Health Care Worker; submit claim for care not provided</v>
      </c>
      <c r="D3028" s="49" t="str">
        <f t="shared" si="3"/>
        <v>44-5,125(c)</v>
      </c>
      <c r="E3028" s="11" t="s">
        <v>133</v>
      </c>
      <c r="F3028" s="11">
        <v>3.0</v>
      </c>
      <c r="G3028" s="11">
        <v>3.0</v>
      </c>
      <c r="H3028" s="11">
        <v>3.0</v>
      </c>
      <c r="I3028" s="11">
        <v>3.0</v>
      </c>
    </row>
    <row r="3029">
      <c r="A3029" s="10" t="s">
        <v>9426</v>
      </c>
      <c r="B3029" s="49" t="str">
        <f t="shared" si="1"/>
        <v>Worker's Comp. Fraud</v>
      </c>
      <c r="C3029" s="49" t="str">
        <f t="shared" si="2"/>
        <v>Worker's Comp. Fraud; Submit false claim that worker is covered by act</v>
      </c>
      <c r="D3029" s="49" t="str">
        <f t="shared" si="3"/>
        <v>44-5,125(b)</v>
      </c>
      <c r="E3029" s="11" t="s">
        <v>133</v>
      </c>
      <c r="F3029" s="11">
        <v>3.0</v>
      </c>
      <c r="G3029" s="11">
        <v>3.0</v>
      </c>
      <c r="H3029" s="11">
        <v>3.0</v>
      </c>
      <c r="I3029" s="11">
        <v>3.0</v>
      </c>
    </row>
    <row r="3030">
      <c r="A3030" s="10" t="s">
        <v>9427</v>
      </c>
      <c r="B3030" s="49" t="str">
        <f t="shared" si="1"/>
        <v>Worker's Compensation</v>
      </c>
      <c r="C3030" s="49" t="str">
        <f t="shared" si="2"/>
        <v>Worker's Compensation; Knowing and intentional failure of an employer to secure the payment of workers compensation to the employer's employees as required</v>
      </c>
      <c r="D3030" s="49" t="str">
        <f t="shared" si="3"/>
        <v>44-532(b)</v>
      </c>
      <c r="E3030" s="11" t="s">
        <v>133</v>
      </c>
      <c r="F3030" s="11">
        <v>3.0</v>
      </c>
      <c r="G3030" s="11">
        <v>3.0</v>
      </c>
      <c r="H3030" s="11">
        <v>3.0</v>
      </c>
      <c r="I3030" s="11">
        <v>3.0</v>
      </c>
    </row>
    <row r="3031">
      <c r="A3031" s="48" t="s">
        <v>9428</v>
      </c>
      <c r="B3031" s="49" t="str">
        <f t="shared" si="1"/>
        <v>Abuse of a Child</v>
      </c>
      <c r="C3031" s="49" t="str">
        <f t="shared" si="2"/>
        <v>Abuse of a Child; Knowingly inflicting cruel and inhuman corporal punishment upon any child under the age of 18 years</v>
      </c>
      <c r="D3031" s="49" t="str">
        <f t="shared" si="3"/>
        <v>21-5602(a)(2)</v>
      </c>
      <c r="E3031" s="11" t="s">
        <v>54</v>
      </c>
      <c r="F3031" s="11">
        <v>3.0</v>
      </c>
      <c r="G3031" s="11">
        <v>3.0</v>
      </c>
      <c r="H3031" s="11">
        <v>3.0</v>
      </c>
      <c r="I3031" s="11">
        <v>3.0</v>
      </c>
    </row>
    <row r="3032">
      <c r="A3032" s="48" t="s">
        <v>9429</v>
      </c>
      <c r="B3032" s="49" t="str">
        <f t="shared" si="1"/>
        <v>Abuse of a Child</v>
      </c>
      <c r="C3032" s="49" t="str">
        <f t="shared" si="2"/>
        <v>Abuse of a Child; Knowingly torture or cruelly beating or shaking any child under the age of 18 years which results in great bodily harm to the child</v>
      </c>
      <c r="D3032" s="49" t="str">
        <f t="shared" si="3"/>
        <v>21-5602(a)(1)</v>
      </c>
      <c r="E3032" s="11" t="s">
        <v>54</v>
      </c>
      <c r="F3032" s="11">
        <v>3.0</v>
      </c>
      <c r="G3032" s="11">
        <v>3.0</v>
      </c>
      <c r="H3032" s="11">
        <v>3.0</v>
      </c>
      <c r="I3032" s="11">
        <v>3.0</v>
      </c>
    </row>
    <row r="3033">
      <c r="A3033" s="10" t="s">
        <v>9430</v>
      </c>
      <c r="B3033" s="49" t="str">
        <f t="shared" si="1"/>
        <v>Aggravated Criminal Sodomy</v>
      </c>
      <c r="C3033" s="49" t="str">
        <f t="shared" si="2"/>
        <v>Aggravated Criminal Sodomy; Causing child under 14 to engage in sodomy with person or animal; offender less than 18</v>
      </c>
      <c r="D3033" s="49" t="str">
        <f t="shared" si="3"/>
        <v>21-5504(b)(2)</v>
      </c>
      <c r="E3033" s="11" t="s">
        <v>54</v>
      </c>
      <c r="F3033" s="11">
        <v>3.0</v>
      </c>
      <c r="G3033" s="11">
        <v>3.0</v>
      </c>
      <c r="H3033" s="11">
        <v>3.0</v>
      </c>
      <c r="I3033" s="11">
        <v>3.0</v>
      </c>
    </row>
    <row r="3034">
      <c r="A3034" s="10" t="s">
        <v>9431</v>
      </c>
      <c r="B3034" s="49" t="str">
        <f t="shared" si="1"/>
        <v>Aggravated Criminal Sodomy</v>
      </c>
      <c r="C3034" s="49" t="str">
        <f t="shared" si="2"/>
        <v>Aggravated Criminal Sodomy; Commit, attempt, conspire or solicit to commit; Cause child under 14 to engage in sodomy with person or animal; offender 18 or older</v>
      </c>
      <c r="D3034" s="49" t="str">
        <f t="shared" si="3"/>
        <v>21-5504(b)(2)</v>
      </c>
      <c r="E3034" s="11" t="s">
        <v>54</v>
      </c>
      <c r="F3034" s="11">
        <v>3.0</v>
      </c>
      <c r="G3034" s="11">
        <v>3.0</v>
      </c>
      <c r="H3034" s="11">
        <v>3.0</v>
      </c>
      <c r="I3034" s="11">
        <v>3.0</v>
      </c>
    </row>
    <row r="3035">
      <c r="A3035" s="10" t="s">
        <v>9432</v>
      </c>
      <c r="B3035" s="49" t="str">
        <f t="shared" si="1"/>
        <v>Aggravated Criminal Sodomy</v>
      </c>
      <c r="C3035" s="49" t="str">
        <f t="shared" si="2"/>
        <v>Aggravated Criminal Sodomy; Commit, attempt, conspire or solicit to commit; With child under 14; offender 18 or older</v>
      </c>
      <c r="D3035" s="49" t="str">
        <f t="shared" si="3"/>
        <v>21-5504(b)(1)</v>
      </c>
      <c r="E3035" s="11" t="s">
        <v>54</v>
      </c>
      <c r="F3035" s="11">
        <v>3.0</v>
      </c>
      <c r="G3035" s="11">
        <v>3.0</v>
      </c>
      <c r="H3035" s="11">
        <v>3.0</v>
      </c>
      <c r="I3035" s="11">
        <v>3.0</v>
      </c>
    </row>
    <row r="3036">
      <c r="A3036" s="10" t="s">
        <v>9433</v>
      </c>
      <c r="B3036" s="49" t="str">
        <f t="shared" si="1"/>
        <v>Aggravated Criminal Sodomy</v>
      </c>
      <c r="C3036" s="49" t="str">
        <f t="shared" si="2"/>
        <v>Aggravated Criminal Sodomy; Committed with child under 14; offender less than 18</v>
      </c>
      <c r="D3036" s="49" t="str">
        <f t="shared" si="3"/>
        <v>21-5504(b)(1)</v>
      </c>
      <c r="E3036" s="11" t="s">
        <v>54</v>
      </c>
      <c r="F3036" s="11">
        <v>3.0</v>
      </c>
      <c r="G3036" s="11">
        <v>3.0</v>
      </c>
      <c r="H3036" s="11">
        <v>3.0</v>
      </c>
      <c r="I3036" s="11">
        <v>3.0</v>
      </c>
    </row>
    <row r="3037">
      <c r="A3037" s="10" t="s">
        <v>9434</v>
      </c>
      <c r="B3037" s="49" t="str">
        <f t="shared" si="1"/>
        <v>Aggravated Criminal Sodomy</v>
      </c>
      <c r="C3037" s="49" t="str">
        <f t="shared" si="2"/>
        <v>Aggravated Criminal Sodomy; Nonconsensual; victim overcome by force or fear</v>
      </c>
      <c r="D3037" s="49" t="str">
        <f t="shared" si="3"/>
        <v>21-5504(b)(3)(A)</v>
      </c>
      <c r="E3037" s="11" t="s">
        <v>54</v>
      </c>
      <c r="F3037" s="11">
        <v>3.0</v>
      </c>
      <c r="G3037" s="11">
        <v>3.0</v>
      </c>
      <c r="H3037" s="11">
        <v>3.0</v>
      </c>
      <c r="I3037" s="11">
        <v>3.0</v>
      </c>
    </row>
    <row r="3038">
      <c r="A3038" s="10" t="s">
        <v>9435</v>
      </c>
      <c r="B3038" s="49" t="str">
        <f t="shared" si="1"/>
        <v>Aggravated Criminal Sodomy</v>
      </c>
      <c r="C3038" s="49" t="str">
        <f t="shared" si="2"/>
        <v>Aggravated Criminal Sodomy; Nonconsensual; victim unconscious or physically powerless</v>
      </c>
      <c r="D3038" s="49" t="str">
        <f t="shared" si="3"/>
        <v>21-5504(b)(3)(B)</v>
      </c>
      <c r="E3038" s="11" t="s">
        <v>54</v>
      </c>
      <c r="F3038" s="11">
        <v>3.0</v>
      </c>
      <c r="G3038" s="11">
        <v>3.0</v>
      </c>
      <c r="H3038" s="11">
        <v>3.0</v>
      </c>
      <c r="I3038" s="11">
        <v>3.0</v>
      </c>
    </row>
    <row r="3039">
      <c r="A3039" s="10" t="s">
        <v>9436</v>
      </c>
      <c r="B3039" s="49" t="str">
        <f t="shared" si="1"/>
        <v>Aggravated Criminal Sodomy</v>
      </c>
      <c r="C3039" s="49" t="str">
        <f t="shared" si="2"/>
        <v>Aggravated Criminal Sodomy; Victim incapable of consent due to mental deficiency or disease, or apparently under the effects of alcoholic liquor, narcotic, drug or other substance</v>
      </c>
      <c r="D3039" s="49" t="str">
        <f t="shared" si="3"/>
        <v>21-5504(b)(3)(C)</v>
      </c>
      <c r="E3039" s="11" t="s">
        <v>54</v>
      </c>
      <c r="F3039" s="11">
        <v>3.0</v>
      </c>
      <c r="G3039" s="11">
        <v>3.0</v>
      </c>
      <c r="H3039" s="11">
        <v>3.0</v>
      </c>
      <c r="I3039" s="11">
        <v>3.0</v>
      </c>
    </row>
    <row r="3040">
      <c r="A3040" s="10" t="s">
        <v>9437</v>
      </c>
      <c r="B3040" s="49" t="str">
        <f t="shared" si="1"/>
        <v>Aggravated Endangering a Child</v>
      </c>
      <c r="C3040" s="49" t="str">
        <f t="shared" si="2"/>
        <v>Aggravated Endangering a Child; Cause or permit a child to be in an environment where drug paraphernalia or volatile, toxic or flammable chemicals are stored for manufacturing methamphetamine</v>
      </c>
      <c r="D3040" s="49" t="str">
        <f t="shared" si="3"/>
        <v>21-5601(b)(3)</v>
      </c>
      <c r="E3040" s="11" t="s">
        <v>54</v>
      </c>
      <c r="F3040" s="11">
        <v>3.0</v>
      </c>
      <c r="G3040" s="11">
        <v>3.0</v>
      </c>
      <c r="H3040" s="11">
        <v>3.0</v>
      </c>
      <c r="I3040" s="11">
        <v>3.0</v>
      </c>
    </row>
    <row r="3041">
      <c r="A3041" s="10" t="s">
        <v>9438</v>
      </c>
      <c r="B3041" s="49" t="str">
        <f t="shared" si="1"/>
        <v>Aggravated Endangering a Child</v>
      </c>
      <c r="C3041" s="49" t="str">
        <f t="shared" si="2"/>
        <v>Aggravated Endangering a Child; Cause or permit a child to be in an environment where methamphetamine is distributed or possessed with intent to distribute, manufactured or attempted to be manufactured</v>
      </c>
      <c r="D3041" s="49" t="str">
        <f t="shared" si="3"/>
        <v>21-5601(b)(2)</v>
      </c>
      <c r="E3041" s="11" t="s">
        <v>54</v>
      </c>
      <c r="F3041" s="11">
        <v>3.0</v>
      </c>
      <c r="G3041" s="11">
        <v>3.0</v>
      </c>
      <c r="H3041" s="11">
        <v>3.0</v>
      </c>
      <c r="I3041" s="11">
        <v>3.0</v>
      </c>
    </row>
    <row r="3042">
      <c r="A3042" s="10" t="s">
        <v>9439</v>
      </c>
      <c r="B3042" s="49" t="str">
        <f t="shared" si="1"/>
        <v>Aggravated Endangering a Child</v>
      </c>
      <c r="C3042" s="49" t="str">
        <f t="shared" si="2"/>
        <v>Aggravated Endangering a Child; Recklessly cause or permit a child under 18 to be in a situation where the child's life, body or health is endangered</v>
      </c>
      <c r="D3042" s="49" t="str">
        <f t="shared" si="3"/>
        <v>21-5601(b)(1)</v>
      </c>
      <c r="E3042" s="11" t="s">
        <v>54</v>
      </c>
      <c r="F3042" s="11">
        <v>3.0</v>
      </c>
      <c r="G3042" s="11">
        <v>3.0</v>
      </c>
      <c r="H3042" s="11">
        <v>3.0</v>
      </c>
      <c r="I3042" s="11">
        <v>3.0</v>
      </c>
    </row>
    <row r="3043">
      <c r="A3043" s="10" t="s">
        <v>9440</v>
      </c>
      <c r="B3043" s="49" t="str">
        <f t="shared" si="1"/>
        <v>Aggravated Incest</v>
      </c>
      <c r="C3043" s="49" t="str">
        <f t="shared" si="2"/>
        <v>Aggravated Incest; Lewd fondling/touching with a relative 16 or 17</v>
      </c>
      <c r="D3043" s="49" t="str">
        <f t="shared" si="3"/>
        <v>21-5604(b)(2)(B)</v>
      </c>
      <c r="E3043" s="11" t="s">
        <v>54</v>
      </c>
      <c r="F3043" s="11">
        <v>3.0</v>
      </c>
      <c r="G3043" s="11">
        <v>3.0</v>
      </c>
      <c r="H3043" s="11">
        <v>3.0</v>
      </c>
      <c r="I3043" s="11">
        <v>3.0</v>
      </c>
    </row>
    <row r="3044">
      <c r="A3044" s="10" t="s">
        <v>9441</v>
      </c>
      <c r="B3044" s="49" t="str">
        <f t="shared" si="1"/>
        <v>Aggravated Incest</v>
      </c>
      <c r="C3044" s="49" t="str">
        <f t="shared" si="2"/>
        <v>Aggravated Incest; Marriage to a person who is less than 18 and a known relative</v>
      </c>
      <c r="D3044" s="49" t="str">
        <f t="shared" si="3"/>
        <v>21-5604(b)(1)</v>
      </c>
      <c r="E3044" s="11" t="s">
        <v>54</v>
      </c>
      <c r="F3044" s="11">
        <v>3.0</v>
      </c>
      <c r="G3044" s="11">
        <v>3.0</v>
      </c>
      <c r="H3044" s="11">
        <v>3.0</v>
      </c>
      <c r="I3044" s="11">
        <v>3.0</v>
      </c>
    </row>
    <row r="3045">
      <c r="A3045" s="10" t="s">
        <v>9442</v>
      </c>
      <c r="B3045" s="49" t="str">
        <f t="shared" si="1"/>
        <v>Aggravated Incest</v>
      </c>
      <c r="C3045" s="49" t="str">
        <f t="shared" si="2"/>
        <v>Aggravated Incest; Sexual intercourse or sodomy with a person who is 16 or more years of age but under 18 years of age and who is known to the offender to be related to the offender as any of the following biological, step or adoptive relatives: Child, grandchild of any degree, brother, sister, half-brother, half-sister, uncle, aunt, nephew or niece</v>
      </c>
      <c r="D3045" s="49" t="str">
        <f t="shared" si="3"/>
        <v>21-5604(b)(2)(A)</v>
      </c>
      <c r="E3045" s="11" t="s">
        <v>54</v>
      </c>
      <c r="F3045" s="11">
        <v>3.0</v>
      </c>
      <c r="G3045" s="11">
        <v>3.0</v>
      </c>
      <c r="H3045" s="11">
        <v>3.0</v>
      </c>
      <c r="I3045" s="11">
        <v>3.0</v>
      </c>
    </row>
    <row r="3046">
      <c r="A3046" s="10" t="s">
        <v>9443</v>
      </c>
      <c r="B3046" s="49" t="str">
        <f t="shared" si="1"/>
        <v>Aggravated Incest</v>
      </c>
      <c r="C3046" s="49" t="str">
        <f t="shared" si="2"/>
        <v>Aggravated Incest; Sexual intercourse or sodomy with a person who is 16 or more years of age but under 18 years of age and who is known to the offender to be related to the offender as any of the following biological, step or adoptive relatives: Child, grandchild of any degree, brother, sister, half-brother, half-sister, uncle, aunt, nephew or niece; victim is offender's biological, step or adoptive child</v>
      </c>
      <c r="D3046" s="49" t="str">
        <f t="shared" si="3"/>
        <v>21-5604(b)(2)(A)</v>
      </c>
      <c r="E3046" s="11" t="s">
        <v>54</v>
      </c>
      <c r="F3046" s="11">
        <v>3.0</v>
      </c>
      <c r="G3046" s="11">
        <v>3.0</v>
      </c>
      <c r="H3046" s="11">
        <v>3.0</v>
      </c>
      <c r="I3046" s="11">
        <v>3.0</v>
      </c>
    </row>
    <row r="3047">
      <c r="A3047" s="10" t="s">
        <v>9444</v>
      </c>
      <c r="B3047" s="49" t="str">
        <f t="shared" si="1"/>
        <v>Aggravated Indecent Liberties with a Child</v>
      </c>
      <c r="C3047" s="49" t="str">
        <f t="shared" si="2"/>
        <v>Aggravated Indecent Liberties with a Child; Causing child to engage in lewd fondling/touching without consent; child 14 or more but less than 16</v>
      </c>
      <c r="D3047" s="49" t="str">
        <f t="shared" si="3"/>
        <v>21-5506(b)(2)(B)</v>
      </c>
      <c r="E3047" s="11" t="s">
        <v>54</v>
      </c>
      <c r="F3047" s="11">
        <v>3.0</v>
      </c>
      <c r="G3047" s="11">
        <v>3.0</v>
      </c>
      <c r="H3047" s="11">
        <v>3.0</v>
      </c>
      <c r="I3047" s="11">
        <v>3.0</v>
      </c>
    </row>
    <row r="3048">
      <c r="A3048" s="10" t="s">
        <v>9445</v>
      </c>
      <c r="B3048" s="49" t="str">
        <f t="shared" si="1"/>
        <v>Aggravated Indecent Liberties with a Child</v>
      </c>
      <c r="C3048" s="49" t="str">
        <f t="shared" si="2"/>
        <v>Aggravated Indecent Liberties with a Child; Commit, attempt, conspire or solicit to commit; Lewd fondling/touching; child less than 14; offender 18 or older</v>
      </c>
      <c r="D3048" s="49" t="str">
        <f t="shared" si="3"/>
        <v>21-5506(b)(3)(A)</v>
      </c>
      <c r="E3048" s="11" t="s">
        <v>54</v>
      </c>
      <c r="F3048" s="11">
        <v>3.0</v>
      </c>
      <c r="G3048" s="11">
        <v>3.0</v>
      </c>
      <c r="H3048" s="11">
        <v>3.0</v>
      </c>
      <c r="I3048" s="11">
        <v>3.0</v>
      </c>
    </row>
    <row r="3049">
      <c r="A3049" s="10" t="s">
        <v>9446</v>
      </c>
      <c r="B3049" s="49" t="str">
        <f t="shared" si="1"/>
        <v>Aggravated Indecent Liberties with a Child</v>
      </c>
      <c r="C3049" s="49" t="str">
        <f t="shared" si="2"/>
        <v>Aggravated Indecent Liberties with a Child; Commit, attempt, conspire or solicit to commit; Soliciting the child to engage in any lewd fondling/touching; child less than 14; offender 18 or older</v>
      </c>
      <c r="D3049" s="49" t="str">
        <f t="shared" si="3"/>
        <v>21-5506(b)(3)(B)</v>
      </c>
      <c r="E3049" s="11" t="s">
        <v>54</v>
      </c>
      <c r="F3049" s="11">
        <v>3.0</v>
      </c>
      <c r="G3049" s="11">
        <v>3.0</v>
      </c>
      <c r="H3049" s="11">
        <v>3.0</v>
      </c>
      <c r="I3049" s="11">
        <v>3.0</v>
      </c>
    </row>
    <row r="3050">
      <c r="A3050" s="10" t="s">
        <v>9447</v>
      </c>
      <c r="B3050" s="49" t="str">
        <f t="shared" si="1"/>
        <v>Aggravated Indecent Liberties with a Child</v>
      </c>
      <c r="C3050" s="49" t="str">
        <f t="shared" si="2"/>
        <v>Aggravated Indecent Liberties with a Child; Lewd fondling/touching; child less than 14; offender less than 18</v>
      </c>
      <c r="D3050" s="49" t="str">
        <f t="shared" si="3"/>
        <v>21-5506(b)(3)(A)</v>
      </c>
      <c r="E3050" s="11" t="s">
        <v>54</v>
      </c>
      <c r="F3050" s="11">
        <v>3.0</v>
      </c>
      <c r="G3050" s="11">
        <v>3.0</v>
      </c>
      <c r="H3050" s="11">
        <v>3.0</v>
      </c>
      <c r="I3050" s="11">
        <v>3.0</v>
      </c>
    </row>
    <row r="3051">
      <c r="A3051" s="10" t="s">
        <v>9448</v>
      </c>
      <c r="B3051" s="49" t="str">
        <f t="shared" si="1"/>
        <v>Aggravated Indecent Liberties with a Child</v>
      </c>
      <c r="C3051" s="49" t="str">
        <f t="shared" si="2"/>
        <v>Aggravated Indecent Liberties with a Child; Nonconsensual lewd fondling/touching; child 14 or more but less than 16</v>
      </c>
      <c r="D3051" s="49" t="str">
        <f t="shared" si="3"/>
        <v>21-5506(b)(2)(A)</v>
      </c>
      <c r="E3051" s="11" t="s">
        <v>54</v>
      </c>
      <c r="F3051" s="11">
        <v>3.0</v>
      </c>
      <c r="G3051" s="11">
        <v>3.0</v>
      </c>
      <c r="H3051" s="11">
        <v>3.0</v>
      </c>
      <c r="I3051" s="11">
        <v>3.0</v>
      </c>
    </row>
    <row r="3052">
      <c r="A3052" s="10" t="s">
        <v>9449</v>
      </c>
      <c r="B3052" s="49" t="str">
        <f t="shared" si="1"/>
        <v>Aggravated Indecent Liberties with a Child</v>
      </c>
      <c r="C3052" s="49" t="str">
        <f t="shared" si="2"/>
        <v>Aggravated Indecent Liberties with a Child; Sexual intercourse; child 14 or more but less than 16</v>
      </c>
      <c r="D3052" s="49" t="str">
        <f t="shared" si="3"/>
        <v>21-5506(b)(1)</v>
      </c>
      <c r="E3052" s="11" t="s">
        <v>54</v>
      </c>
      <c r="F3052" s="11">
        <v>3.0</v>
      </c>
      <c r="G3052" s="11">
        <v>3.0</v>
      </c>
      <c r="H3052" s="11">
        <v>3.0</v>
      </c>
      <c r="I3052" s="11">
        <v>3.0</v>
      </c>
    </row>
    <row r="3053">
      <c r="A3053" s="10" t="s">
        <v>9450</v>
      </c>
      <c r="B3053" s="49" t="str">
        <f t="shared" si="1"/>
        <v>Aggravated Indecent Liberties with a Child</v>
      </c>
      <c r="C3053" s="49" t="str">
        <f t="shared" si="2"/>
        <v>Aggravated Indecent Liberties with a Child; Soliciting the child to engage in any lewd fondling/touching; child less than 14; offender less than 18</v>
      </c>
      <c r="D3053" s="49" t="str">
        <f t="shared" si="3"/>
        <v>21-5506(b)(3)(B)</v>
      </c>
      <c r="E3053" s="11" t="s">
        <v>54</v>
      </c>
      <c r="F3053" s="11">
        <v>3.0</v>
      </c>
      <c r="G3053" s="11">
        <v>3.0</v>
      </c>
      <c r="H3053" s="11">
        <v>3.0</v>
      </c>
      <c r="I3053" s="11">
        <v>3.0</v>
      </c>
    </row>
    <row r="3054">
      <c r="A3054" s="10" t="s">
        <v>9451</v>
      </c>
      <c r="B3054" s="49" t="str">
        <f t="shared" si="1"/>
        <v>Aggravated Indecent Solicitation of a Child</v>
      </c>
      <c r="C3054" s="49" t="str">
        <f t="shared" si="2"/>
        <v>Aggravated Indecent Solicitation of a Child; Inviting to enter secluded place; child less than 14</v>
      </c>
      <c r="D3054" s="49" t="str">
        <f t="shared" si="3"/>
        <v>21-5508(b)(2)</v>
      </c>
      <c r="E3054" s="11" t="s">
        <v>54</v>
      </c>
      <c r="F3054" s="11">
        <v>3.0</v>
      </c>
      <c r="G3054" s="11">
        <v>3.0</v>
      </c>
      <c r="H3054" s="11">
        <v>3.0</v>
      </c>
      <c r="I3054" s="11">
        <v>3.0</v>
      </c>
    </row>
    <row r="3055">
      <c r="A3055" s="10" t="s">
        <v>9452</v>
      </c>
      <c r="B3055" s="49" t="str">
        <f t="shared" si="1"/>
        <v>Aggravated Indecent Solicitation of a Child</v>
      </c>
      <c r="C3055" s="49" t="str">
        <f t="shared" si="2"/>
        <v>Aggravated Indecent Solicitation of a Child; To commit or submit to unlawful sexual act; child less than 14</v>
      </c>
      <c r="D3055" s="49" t="str">
        <f t="shared" si="3"/>
        <v>21-5508(b)(1)</v>
      </c>
      <c r="E3055" s="11" t="s">
        <v>54</v>
      </c>
      <c r="F3055" s="11">
        <v>3.0</v>
      </c>
      <c r="G3055" s="11">
        <v>3.0</v>
      </c>
      <c r="H3055" s="11">
        <v>3.0</v>
      </c>
      <c r="I3055" s="11">
        <v>3.0</v>
      </c>
    </row>
    <row r="3056">
      <c r="A3056" s="10" t="s">
        <v>9453</v>
      </c>
      <c r="B3056" s="49" t="str">
        <f t="shared" si="1"/>
        <v>Aggravated Sexual Battery</v>
      </c>
      <c r="C3056" s="49" t="str">
        <f t="shared" si="2"/>
        <v>Aggravated Sexual Battery; Intentional nonconsensual touching; child 16 or more; victim incapable of giving consent because of mental deficiency or disease or under effect of any alcoholic liquor, narcotic, drug or other substance</v>
      </c>
      <c r="D3056" s="49" t="str">
        <f t="shared" si="3"/>
        <v>21-5505(b)(3)</v>
      </c>
      <c r="E3056" s="11" t="s">
        <v>54</v>
      </c>
      <c r="F3056" s="11">
        <v>3.0</v>
      </c>
      <c r="G3056" s="11">
        <v>3.0</v>
      </c>
      <c r="H3056" s="11">
        <v>3.0</v>
      </c>
      <c r="I3056" s="11">
        <v>3.0</v>
      </c>
    </row>
    <row r="3057">
      <c r="A3057" s="10" t="s">
        <v>9454</v>
      </c>
      <c r="B3057" s="49" t="str">
        <f t="shared" si="1"/>
        <v>Aggravated Sexual Battery</v>
      </c>
      <c r="C3057" s="49" t="str">
        <f t="shared" si="2"/>
        <v>Aggravated Sexual Battery; Intentional nonconsensual touching; child 16 or more; victim overcome by force or fear</v>
      </c>
      <c r="D3057" s="49" t="str">
        <f t="shared" si="3"/>
        <v>21-5505(b)(1)</v>
      </c>
      <c r="E3057" s="11" t="s">
        <v>54</v>
      </c>
      <c r="F3057" s="11">
        <v>3.0</v>
      </c>
      <c r="G3057" s="11">
        <v>3.0</v>
      </c>
      <c r="H3057" s="11">
        <v>3.0</v>
      </c>
      <c r="I3057" s="11">
        <v>3.0</v>
      </c>
    </row>
    <row r="3058">
      <c r="A3058" s="10" t="s">
        <v>9455</v>
      </c>
      <c r="B3058" s="49" t="str">
        <f t="shared" si="1"/>
        <v>Aggravated Sexual Battery</v>
      </c>
      <c r="C3058" s="49" t="str">
        <f t="shared" si="2"/>
        <v>Aggravated Sexual Battery; Intentional nonconsensual touching; child 16 or more; victim unconscious or physically powerless</v>
      </c>
      <c r="D3058" s="49" t="str">
        <f t="shared" si="3"/>
        <v>21-5505(b)(2)</v>
      </c>
      <c r="E3058" s="11" t="s">
        <v>54</v>
      </c>
      <c r="F3058" s="11">
        <v>3.0</v>
      </c>
      <c r="G3058" s="11">
        <v>3.0</v>
      </c>
      <c r="H3058" s="11">
        <v>3.0</v>
      </c>
      <c r="I3058" s="11">
        <v>3.0</v>
      </c>
    </row>
    <row r="3059">
      <c r="A3059" s="10" t="s">
        <v>9456</v>
      </c>
      <c r="B3059" s="49" t="str">
        <f t="shared" si="1"/>
        <v>Capital Murder</v>
      </c>
      <c r="C3059" s="49" t="str">
        <f t="shared" si="2"/>
        <v>Capital Murder; Intentional and premeditated killing by an inmate or prisoner while confined or in custody</v>
      </c>
      <c r="D3059" s="49" t="str">
        <f t="shared" si="3"/>
        <v>21-5401(a)(3)</v>
      </c>
      <c r="E3059" s="11" t="s">
        <v>54</v>
      </c>
      <c r="F3059" s="11">
        <v>3.0</v>
      </c>
      <c r="G3059" s="11">
        <v>3.0</v>
      </c>
      <c r="H3059" s="11">
        <v>3.0</v>
      </c>
      <c r="I3059" s="11">
        <v>3.0</v>
      </c>
    </row>
    <row r="3060">
      <c r="A3060" s="10" t="s">
        <v>9457</v>
      </c>
      <c r="B3060" s="49" t="str">
        <f t="shared" si="1"/>
        <v>Capital Murder</v>
      </c>
      <c r="C3060" s="49" t="str">
        <f t="shared" si="2"/>
        <v>Capital Murder; Intentional and premeditated killing by contract or agreement</v>
      </c>
      <c r="D3060" s="49" t="str">
        <f t="shared" si="3"/>
        <v>21-5401(a)(2)</v>
      </c>
      <c r="E3060" s="11" t="s">
        <v>54</v>
      </c>
      <c r="F3060" s="11">
        <v>3.0</v>
      </c>
      <c r="G3060" s="11">
        <v>3.0</v>
      </c>
      <c r="H3060" s="11">
        <v>3.0</v>
      </c>
      <c r="I3060" s="11">
        <v>3.0</v>
      </c>
    </row>
    <row r="3061">
      <c r="A3061" s="10" t="s">
        <v>9458</v>
      </c>
      <c r="B3061" s="49" t="str">
        <f t="shared" si="1"/>
        <v>Capital Murder</v>
      </c>
      <c r="C3061" s="49" t="str">
        <f t="shared" si="2"/>
        <v>Capital Murder; Intentional and premeditated killing in the commission of a kidnapping, or aggravated kidnapping, for ransom</v>
      </c>
      <c r="D3061" s="49" t="str">
        <f t="shared" si="3"/>
        <v>21-5401(a)(1)</v>
      </c>
      <c r="E3061" s="11" t="s">
        <v>54</v>
      </c>
      <c r="F3061" s="11">
        <v>3.0</v>
      </c>
      <c r="G3061" s="11">
        <v>3.0</v>
      </c>
      <c r="H3061" s="11">
        <v>3.0</v>
      </c>
      <c r="I3061" s="11">
        <v>3.0</v>
      </c>
    </row>
    <row r="3062">
      <c r="A3062" s="10" t="s">
        <v>9459</v>
      </c>
      <c r="B3062" s="49" t="str">
        <f t="shared" si="1"/>
        <v>Capital Murder</v>
      </c>
      <c r="C3062" s="49" t="str">
        <f t="shared" si="2"/>
        <v>Capital Murder; Intentional and premeditated killing in the commission of or subs. to rape, criminal sodomy, aggravated criminal sodomy, or any attempt of such</v>
      </c>
      <c r="D3062" s="49" t="str">
        <f t="shared" si="3"/>
        <v>21-5401(a)(4)</v>
      </c>
      <c r="E3062" s="11" t="s">
        <v>54</v>
      </c>
      <c r="F3062" s="11">
        <v>3.0</v>
      </c>
      <c r="G3062" s="11">
        <v>3.0</v>
      </c>
      <c r="H3062" s="11">
        <v>3.0</v>
      </c>
      <c r="I3062" s="11">
        <v>3.0</v>
      </c>
    </row>
    <row r="3063">
      <c r="A3063" s="10" t="s">
        <v>9460</v>
      </c>
      <c r="B3063" s="49" t="str">
        <f t="shared" si="1"/>
        <v>Capital Murder</v>
      </c>
      <c r="C3063" s="49" t="str">
        <f t="shared" si="2"/>
        <v>Capital Murder; Intentional and premeditated killing of a law enforcement officer</v>
      </c>
      <c r="D3063" s="49" t="str">
        <f t="shared" si="3"/>
        <v>21-5401(a)(5)</v>
      </c>
      <c r="E3063" s="11" t="s">
        <v>54</v>
      </c>
      <c r="F3063" s="11">
        <v>3.0</v>
      </c>
      <c r="G3063" s="11">
        <v>3.0</v>
      </c>
      <c r="H3063" s="11">
        <v>3.0</v>
      </c>
      <c r="I3063" s="11">
        <v>3.0</v>
      </c>
    </row>
    <row r="3064">
      <c r="A3064" s="10" t="s">
        <v>9461</v>
      </c>
      <c r="B3064" s="49" t="str">
        <f t="shared" si="1"/>
        <v>Capital Murder</v>
      </c>
      <c r="C3064" s="49" t="str">
        <f t="shared" si="2"/>
        <v>Capital Murder; Intentional and premeditated killing of child under 14 in commission of kidnapping, or aggravated kidnapping, with intent to commit sex offense</v>
      </c>
      <c r="D3064" s="49" t="str">
        <f t="shared" si="3"/>
        <v>21-5401(a)(7)</v>
      </c>
      <c r="E3064" s="11" t="s">
        <v>54</v>
      </c>
      <c r="F3064" s="11">
        <v>3.0</v>
      </c>
      <c r="G3064" s="11">
        <v>3.0</v>
      </c>
      <c r="H3064" s="11">
        <v>3.0</v>
      </c>
      <c r="I3064" s="11">
        <v>3.0</v>
      </c>
    </row>
    <row r="3065">
      <c r="A3065" s="10" t="s">
        <v>9462</v>
      </c>
      <c r="B3065" s="49" t="str">
        <f t="shared" si="1"/>
        <v>Capital Murder</v>
      </c>
      <c r="C3065" s="49" t="str">
        <f t="shared" si="2"/>
        <v>Capital Murder; Intentional and premeditated killing of more than one person as a part of the same act or transaction or in two or more acts that constitute a common scheme or course of conduct</v>
      </c>
      <c r="D3065" s="49" t="str">
        <f t="shared" si="3"/>
        <v>21-5401(a)(6)</v>
      </c>
      <c r="E3065" s="11" t="s">
        <v>54</v>
      </c>
      <c r="F3065" s="11">
        <v>3.0</v>
      </c>
      <c r="G3065" s="11">
        <v>3.0</v>
      </c>
      <c r="H3065" s="11">
        <v>3.0</v>
      </c>
      <c r="I3065" s="11">
        <v>3.0</v>
      </c>
    </row>
    <row r="3066">
      <c r="A3066" s="10" t="s">
        <v>9463</v>
      </c>
      <c r="B3066" s="49" t="str">
        <f t="shared" si="1"/>
        <v>Commercial DUI</v>
      </c>
      <c r="C3066" s="49" t="str">
        <f t="shared" si="2"/>
        <v>Commercial DUI; Alcohol concentration in the person's blood or breath is .04 or more; 1st conviction</v>
      </c>
      <c r="D3066" s="49" t="str">
        <f t="shared" si="3"/>
        <v>8-2,144(a)(1)</v>
      </c>
      <c r="E3066" s="11" t="s">
        <v>54</v>
      </c>
      <c r="F3066" s="11">
        <v>3.0</v>
      </c>
      <c r="G3066" s="11">
        <v>3.0</v>
      </c>
      <c r="H3066" s="11">
        <v>3.0</v>
      </c>
      <c r="I3066" s="11">
        <v>3.0</v>
      </c>
    </row>
    <row r="3067">
      <c r="A3067" s="10" t="s">
        <v>9464</v>
      </c>
      <c r="B3067" s="49" t="str">
        <f t="shared" si="1"/>
        <v>Commercial DUI</v>
      </c>
      <c r="C3067" s="49" t="str">
        <f t="shared" si="2"/>
        <v>Commercial DUI; Alcohol concentration in the person's blood or breath is .04 or more; 2nd conviction</v>
      </c>
      <c r="D3067" s="49" t="str">
        <f t="shared" si="3"/>
        <v>8-2,144(a)(1)</v>
      </c>
      <c r="E3067" s="11" t="s">
        <v>54</v>
      </c>
      <c r="F3067" s="11">
        <v>3.0</v>
      </c>
      <c r="G3067" s="11">
        <v>3.0</v>
      </c>
      <c r="H3067" s="11">
        <v>3.0</v>
      </c>
      <c r="I3067" s="11">
        <v>3.0</v>
      </c>
    </row>
    <row r="3068">
      <c r="A3068" s="10" t="s">
        <v>9465</v>
      </c>
      <c r="B3068" s="49" t="str">
        <f t="shared" si="1"/>
        <v>Commercial DUI</v>
      </c>
      <c r="C3068" s="49" t="str">
        <f t="shared" si="2"/>
        <v>Commercial DUI; Alcohol concentration in the person's blood or breath is .04 or more; 3rd or subs conviction</v>
      </c>
      <c r="D3068" s="49" t="str">
        <f t="shared" si="3"/>
        <v>8-2,144(a)(1)</v>
      </c>
      <c r="E3068" s="11" t="s">
        <v>54</v>
      </c>
      <c r="F3068" s="11">
        <v>3.0</v>
      </c>
      <c r="G3068" s="11">
        <v>3.0</v>
      </c>
      <c r="H3068" s="11">
        <v>3.0</v>
      </c>
      <c r="I3068" s="11">
        <v>3.0</v>
      </c>
    </row>
    <row r="3069">
      <c r="A3069" s="10" t="s">
        <v>9466</v>
      </c>
      <c r="B3069" s="49" t="str">
        <f t="shared" si="1"/>
        <v>Commercial DUI</v>
      </c>
      <c r="C3069" s="49" t="str">
        <f t="shared" si="2"/>
        <v>Commercial DUI; Alcohol concentration in the person's blood or breath, as measured within three hours of the time of driving a commercial motor vehicle, is .04 or more; 1st conviction</v>
      </c>
      <c r="D3069" s="49" t="str">
        <f t="shared" si="3"/>
        <v>8-2,144(a)(2)</v>
      </c>
      <c r="E3069" s="11" t="s">
        <v>54</v>
      </c>
      <c r="F3069" s="11">
        <v>3.0</v>
      </c>
      <c r="G3069" s="11">
        <v>3.0</v>
      </c>
      <c r="H3069" s="11">
        <v>3.0</v>
      </c>
      <c r="I3069" s="11">
        <v>3.0</v>
      </c>
    </row>
    <row r="3070">
      <c r="A3070" s="10" t="s">
        <v>9467</v>
      </c>
      <c r="B3070" s="49" t="str">
        <f t="shared" si="1"/>
        <v>Commercial DUI</v>
      </c>
      <c r="C3070" s="49" t="str">
        <f t="shared" si="2"/>
        <v>Commercial DUI; Alcohol concentration in the person's blood or breath, as measured within three hours of the time of driving a commercial motor vehicle, is .04 or more; 2nd conviction</v>
      </c>
      <c r="D3070" s="49" t="str">
        <f t="shared" si="3"/>
        <v>8-2,144(a)(2)</v>
      </c>
      <c r="E3070" s="11" t="s">
        <v>54</v>
      </c>
      <c r="F3070" s="11">
        <v>3.0</v>
      </c>
      <c r="G3070" s="11">
        <v>3.0</v>
      </c>
      <c r="H3070" s="11">
        <v>3.0</v>
      </c>
      <c r="I3070" s="11">
        <v>3.0</v>
      </c>
    </row>
    <row r="3071">
      <c r="A3071" s="10" t="s">
        <v>9468</v>
      </c>
      <c r="B3071" s="49" t="str">
        <f t="shared" si="1"/>
        <v>Commercial DUI</v>
      </c>
      <c r="C3071" s="49" t="str">
        <f t="shared" si="2"/>
        <v>Commercial DUI; Alcohol concentration in the person's blood or breath, as measured within three hours of the time of driving a commercial motor vehicle, is .04 or more; 3rd or subs conviction</v>
      </c>
      <c r="D3071" s="49" t="str">
        <f t="shared" si="3"/>
        <v>8-2,144(a)(2)</v>
      </c>
      <c r="E3071" s="11" t="s">
        <v>54</v>
      </c>
      <c r="F3071" s="11">
        <v>3.0</v>
      </c>
      <c r="G3071" s="11">
        <v>3.0</v>
      </c>
      <c r="H3071" s="11">
        <v>3.0</v>
      </c>
      <c r="I3071" s="11">
        <v>3.0</v>
      </c>
    </row>
    <row r="3072">
      <c r="A3072" s="10" t="s">
        <v>9469</v>
      </c>
      <c r="B3072" s="49" t="str">
        <f t="shared" si="1"/>
        <v>Commercial DUI</v>
      </c>
      <c r="C3072" s="49" t="str">
        <f t="shared" si="2"/>
        <v>Commercial DUI; Committing a violation of subsection (a) of K.S.A. 8-1567, or the ordinance of a city or resolution of a county which prohibits any of the acts prohibited there under; 3rd or subs conviction</v>
      </c>
      <c r="D3072" s="49" t="str">
        <f t="shared" si="3"/>
        <v>8-2,144(a)(3)</v>
      </c>
      <c r="E3072" s="11" t="s">
        <v>54</v>
      </c>
      <c r="F3072" s="11">
        <v>3.0</v>
      </c>
      <c r="G3072" s="11">
        <v>3.0</v>
      </c>
      <c r="H3072" s="11">
        <v>3.0</v>
      </c>
      <c r="I3072" s="11">
        <v>3.0</v>
      </c>
    </row>
    <row r="3073">
      <c r="A3073" s="10" t="s">
        <v>9470</v>
      </c>
      <c r="B3073" s="49" t="str">
        <f t="shared" si="1"/>
        <v>Commercial DUI</v>
      </c>
      <c r="C3073" s="49" t="str">
        <f t="shared" si="2"/>
        <v>Commercial DUI; Committing a violation of subsection (a) of K.S.A. 8-1567, or the ordinance of a city or resolution of a county which prohibits any of the acts prohibited thereunder; 1st conviction</v>
      </c>
      <c r="D3073" s="49" t="str">
        <f t="shared" si="3"/>
        <v>8-2,144(a)(3)</v>
      </c>
      <c r="E3073" s="11" t="s">
        <v>54</v>
      </c>
      <c r="F3073" s="11">
        <v>3.0</v>
      </c>
      <c r="G3073" s="11">
        <v>3.0</v>
      </c>
      <c r="H3073" s="11">
        <v>3.0</v>
      </c>
      <c r="I3073" s="11">
        <v>3.0</v>
      </c>
    </row>
    <row r="3074">
      <c r="A3074" s="10" t="s">
        <v>9471</v>
      </c>
      <c r="B3074" s="49" t="str">
        <f t="shared" si="1"/>
        <v>Commercial DUI</v>
      </c>
      <c r="C3074" s="49" t="str">
        <f t="shared" si="2"/>
        <v>Commercial DUI; Committing a violation of subsection (a) of K.S.A. 8-1567, or the ordinance of a city or resolution of a county which prohibits any of the acts prohibited thereunder; 2nd conviction</v>
      </c>
      <c r="D3074" s="49" t="str">
        <f t="shared" si="3"/>
        <v>8-2,144(a)(3)</v>
      </c>
      <c r="E3074" s="11" t="s">
        <v>54</v>
      </c>
      <c r="F3074" s="11">
        <v>3.0</v>
      </c>
      <c r="G3074" s="11">
        <v>3.0</v>
      </c>
      <c r="H3074" s="11">
        <v>3.0</v>
      </c>
      <c r="I3074" s="11">
        <v>3.0</v>
      </c>
    </row>
    <row r="3075">
      <c r="A3075" s="10" t="s">
        <v>9472</v>
      </c>
      <c r="B3075" s="49" t="str">
        <f t="shared" si="1"/>
        <v>Criminal Sodomy</v>
      </c>
      <c r="C3075" s="49" t="str">
        <f t="shared" si="2"/>
        <v>Criminal Sodomy; Between a person and an animal</v>
      </c>
      <c r="D3075" s="49" t="str">
        <f t="shared" si="3"/>
        <v>21-5504(a)(2)</v>
      </c>
      <c r="E3075" s="11" t="s">
        <v>54</v>
      </c>
      <c r="F3075" s="11">
        <v>3.0</v>
      </c>
      <c r="G3075" s="11">
        <v>3.0</v>
      </c>
      <c r="H3075" s="11">
        <v>3.0</v>
      </c>
      <c r="I3075" s="11">
        <v>3.0</v>
      </c>
    </row>
    <row r="3076">
      <c r="A3076" s="10" t="s">
        <v>9473</v>
      </c>
      <c r="B3076" s="49" t="str">
        <f t="shared" si="1"/>
        <v>Criminal Sodomy</v>
      </c>
      <c r="C3076" s="49" t="str">
        <f t="shared" si="2"/>
        <v>Criminal Sodomy; Between persons 16 or older and members of same sex</v>
      </c>
      <c r="D3076" s="49" t="str">
        <f t="shared" si="3"/>
        <v>21-5504(a)(1)</v>
      </c>
      <c r="E3076" s="11" t="s">
        <v>54</v>
      </c>
      <c r="F3076" s="11">
        <v>3.0</v>
      </c>
      <c r="G3076" s="11">
        <v>3.0</v>
      </c>
      <c r="H3076" s="11">
        <v>3.0</v>
      </c>
      <c r="I3076" s="11">
        <v>3.0</v>
      </c>
    </row>
    <row r="3077">
      <c r="A3077" s="10" t="s">
        <v>9474</v>
      </c>
      <c r="B3077" s="49" t="str">
        <f t="shared" si="1"/>
        <v>Criminal Sodomy</v>
      </c>
      <c r="C3077" s="49" t="str">
        <f t="shared" si="2"/>
        <v>Criminal Sodomy; Causing child 14 or more but less than 16 to engage in sodomy with person or animal</v>
      </c>
      <c r="D3077" s="49" t="str">
        <f t="shared" si="3"/>
        <v>21-5504(a)(4)</v>
      </c>
      <c r="E3077" s="11" t="s">
        <v>54</v>
      </c>
      <c r="F3077" s="11">
        <v>3.0</v>
      </c>
      <c r="G3077" s="11">
        <v>3.0</v>
      </c>
      <c r="H3077" s="11">
        <v>3.0</v>
      </c>
      <c r="I3077" s="11">
        <v>3.0</v>
      </c>
    </row>
    <row r="3078">
      <c r="A3078" s="10" t="s">
        <v>9475</v>
      </c>
      <c r="B3078" s="49" t="str">
        <f t="shared" si="1"/>
        <v>Criminal Sodomy</v>
      </c>
      <c r="C3078" s="49" t="str">
        <f t="shared" si="2"/>
        <v>Criminal Sodomy; Committed with child 14 or more but less than 16</v>
      </c>
      <c r="D3078" s="49" t="str">
        <f t="shared" si="3"/>
        <v>21-5504(a)(3)</v>
      </c>
      <c r="E3078" s="11" t="s">
        <v>54</v>
      </c>
      <c r="F3078" s="11">
        <v>3.0</v>
      </c>
      <c r="G3078" s="11">
        <v>3.0</v>
      </c>
      <c r="H3078" s="11">
        <v>3.0</v>
      </c>
      <c r="I3078" s="11">
        <v>3.0</v>
      </c>
    </row>
    <row r="3079">
      <c r="A3079" s="10" t="s">
        <v>9476</v>
      </c>
      <c r="B3079" s="49" t="str">
        <f t="shared" si="1"/>
        <v>DUI</v>
      </c>
      <c r="C3079" s="49" t="str">
        <f t="shared" si="2"/>
        <v>DUI; Alcohol concentration as measured within three hours of the time of operating or attempting to operate a vehicle, is .08 or more; 1st conviction</v>
      </c>
      <c r="D3079" s="49" t="str">
        <f t="shared" si="3"/>
        <v>8-1567(a)(2)</v>
      </c>
      <c r="E3079" s="11" t="s">
        <v>54</v>
      </c>
      <c r="F3079" s="11">
        <v>3.0</v>
      </c>
      <c r="G3079" s="11">
        <v>3.0</v>
      </c>
      <c r="H3079" s="11">
        <v>3.0</v>
      </c>
      <c r="I3079" s="11">
        <v>3.0</v>
      </c>
    </row>
    <row r="3080">
      <c r="A3080" s="10" t="s">
        <v>9477</v>
      </c>
      <c r="B3080" s="49" t="str">
        <f t="shared" si="1"/>
        <v>DUI</v>
      </c>
      <c r="C3080" s="49" t="str">
        <f t="shared" si="2"/>
        <v>DUI; Alcohol concentration as measured within three hours of the time of operating or attempting to operate a vehicle, is .08 or more; 2nd conviction</v>
      </c>
      <c r="D3080" s="49" t="str">
        <f t="shared" si="3"/>
        <v>8-1567(a)(2)</v>
      </c>
      <c r="E3080" s="11" t="s">
        <v>54</v>
      </c>
      <c r="F3080" s="11">
        <v>3.0</v>
      </c>
      <c r="G3080" s="11">
        <v>3.0</v>
      </c>
      <c r="H3080" s="11">
        <v>3.0</v>
      </c>
      <c r="I3080" s="11">
        <v>3.0</v>
      </c>
    </row>
    <row r="3081">
      <c r="A3081" s="10" t="s">
        <v>9478</v>
      </c>
      <c r="B3081" s="49" t="str">
        <f t="shared" si="1"/>
        <v>DUI</v>
      </c>
      <c r="C3081" s="49" t="str">
        <f t="shared" si="2"/>
        <v>DUI; Alcohol concentration as measured within three hours of the time of operating or attempting to operate a vehicle, is .08 or more; 3rd conviction, if no prior convictions within preceding 10 years</v>
      </c>
      <c r="D3081" s="49" t="str">
        <f t="shared" si="3"/>
        <v>8-1567(a)(2)</v>
      </c>
      <c r="E3081" s="11" t="s">
        <v>54</v>
      </c>
      <c r="F3081" s="11">
        <v>3.0</v>
      </c>
      <c r="G3081" s="11">
        <v>3.0</v>
      </c>
      <c r="H3081" s="11">
        <v>3.0</v>
      </c>
      <c r="I3081" s="11">
        <v>3.0</v>
      </c>
    </row>
    <row r="3082">
      <c r="A3082" s="10" t="s">
        <v>9479</v>
      </c>
      <c r="B3082" s="49" t="str">
        <f t="shared" si="1"/>
        <v>DUI</v>
      </c>
      <c r="C3082" s="49" t="str">
        <f t="shared" si="2"/>
        <v>DUI; Alcohol concentration as measured within three hours of the time of operating or attempting to operate a vehicle, is .08 or more; 3rd conviction, if prior within the preceding 10 yrs</v>
      </c>
      <c r="D3082" s="49" t="str">
        <f t="shared" si="3"/>
        <v>8-1567(a)(2)</v>
      </c>
      <c r="E3082" s="11" t="s">
        <v>54</v>
      </c>
      <c r="F3082" s="11">
        <v>3.0</v>
      </c>
      <c r="G3082" s="11">
        <v>3.0</v>
      </c>
      <c r="H3082" s="11">
        <v>3.0</v>
      </c>
      <c r="I3082" s="11">
        <v>3.0</v>
      </c>
    </row>
    <row r="3083">
      <c r="A3083" s="10" t="s">
        <v>9480</v>
      </c>
      <c r="B3083" s="49" t="str">
        <f t="shared" si="1"/>
        <v>DUI</v>
      </c>
      <c r="C3083" s="49" t="str">
        <f t="shared" si="2"/>
        <v>DUI; Alcohol concentration as measured within two hours of the time of operating or attempting to operate a vehicle, is .08 or more; 4th or subs. conviction</v>
      </c>
      <c r="D3083" s="49" t="str">
        <f t="shared" si="3"/>
        <v>8-1567(a)(2)</v>
      </c>
      <c r="E3083" s="11" t="s">
        <v>54</v>
      </c>
      <c r="F3083" s="11">
        <v>3.0</v>
      </c>
      <c r="G3083" s="11">
        <v>3.0</v>
      </c>
      <c r="H3083" s="11">
        <v>3.0</v>
      </c>
      <c r="I3083" s="11">
        <v>3.0</v>
      </c>
    </row>
    <row r="3084">
      <c r="A3084" s="10" t="s">
        <v>9481</v>
      </c>
      <c r="B3084" s="49" t="str">
        <f t="shared" si="1"/>
        <v>DUI</v>
      </c>
      <c r="C3084" s="49" t="str">
        <f t="shared" si="2"/>
        <v>DUI; Alcohol concentration is .08 or more; 1st conviction</v>
      </c>
      <c r="D3084" s="49" t="str">
        <f t="shared" si="3"/>
        <v>8-1567(a)(1)</v>
      </c>
      <c r="E3084" s="11" t="s">
        <v>54</v>
      </c>
      <c r="F3084" s="11">
        <v>3.0</v>
      </c>
      <c r="G3084" s="11">
        <v>3.0</v>
      </c>
      <c r="H3084" s="11">
        <v>3.0</v>
      </c>
      <c r="I3084" s="11">
        <v>3.0</v>
      </c>
    </row>
    <row r="3085">
      <c r="A3085" s="10" t="s">
        <v>9482</v>
      </c>
      <c r="B3085" s="49" t="str">
        <f t="shared" si="1"/>
        <v>DUI</v>
      </c>
      <c r="C3085" s="49" t="str">
        <f t="shared" si="2"/>
        <v>DUI; Alcohol concentration is .08 or more; 2nd conviction</v>
      </c>
      <c r="D3085" s="49" t="str">
        <f t="shared" si="3"/>
        <v>8-1567(a)(1)</v>
      </c>
      <c r="E3085" s="11" t="s">
        <v>54</v>
      </c>
      <c r="F3085" s="11">
        <v>3.0</v>
      </c>
      <c r="G3085" s="11">
        <v>3.0</v>
      </c>
      <c r="H3085" s="11">
        <v>3.0</v>
      </c>
      <c r="I3085" s="11">
        <v>3.0</v>
      </c>
    </row>
    <row r="3086">
      <c r="A3086" s="10" t="s">
        <v>9483</v>
      </c>
      <c r="B3086" s="49" t="str">
        <f t="shared" si="1"/>
        <v>DUI</v>
      </c>
      <c r="C3086" s="49" t="str">
        <f t="shared" si="2"/>
        <v>DUI; Alcohol concentration is .08 or more; 3rd conviction, if no prior convictions within preceding 10 years</v>
      </c>
      <c r="D3086" s="49" t="str">
        <f t="shared" si="3"/>
        <v>8-1567(a)(1)</v>
      </c>
      <c r="E3086" s="11" t="s">
        <v>54</v>
      </c>
      <c r="F3086" s="11">
        <v>3.0</v>
      </c>
      <c r="G3086" s="11">
        <v>3.0</v>
      </c>
      <c r="H3086" s="11">
        <v>3.0</v>
      </c>
      <c r="I3086" s="11">
        <v>3.0</v>
      </c>
    </row>
    <row r="3087">
      <c r="A3087" s="10" t="s">
        <v>9484</v>
      </c>
      <c r="B3087" s="49" t="str">
        <f t="shared" si="1"/>
        <v>DUI</v>
      </c>
      <c r="C3087" s="49" t="str">
        <f t="shared" si="2"/>
        <v>DUI; Alcohol concentration is .08 or more; 3rd conviction, if prior within the preceding 10 yrs</v>
      </c>
      <c r="D3087" s="49" t="str">
        <f t="shared" si="3"/>
        <v>8-1567(a)(1)</v>
      </c>
      <c r="E3087" s="11" t="s">
        <v>54</v>
      </c>
      <c r="F3087" s="11">
        <v>3.0</v>
      </c>
      <c r="G3087" s="11">
        <v>3.0</v>
      </c>
      <c r="H3087" s="11">
        <v>3.0</v>
      </c>
      <c r="I3087" s="11">
        <v>3.0</v>
      </c>
    </row>
    <row r="3088">
      <c r="A3088" s="10" t="s">
        <v>9485</v>
      </c>
      <c r="B3088" s="49" t="str">
        <f t="shared" si="1"/>
        <v>DUI</v>
      </c>
      <c r="C3088" s="49" t="str">
        <f t="shared" si="2"/>
        <v>DUI; Alcohol concentration is .08 or more; 4th or subs. conviction</v>
      </c>
      <c r="D3088" s="49" t="str">
        <f t="shared" si="3"/>
        <v>8-1567(a)(1)</v>
      </c>
      <c r="E3088" s="11" t="s">
        <v>54</v>
      </c>
      <c r="F3088" s="11">
        <v>3.0</v>
      </c>
      <c r="G3088" s="11">
        <v>3.0</v>
      </c>
      <c r="H3088" s="11">
        <v>3.0</v>
      </c>
      <c r="I3088" s="11">
        <v>3.0</v>
      </c>
    </row>
    <row r="3089">
      <c r="A3089" s="10" t="s">
        <v>9486</v>
      </c>
      <c r="B3089" s="49" t="str">
        <f t="shared" si="1"/>
        <v>DUI</v>
      </c>
      <c r="C3089" s="49" t="str">
        <f t="shared" si="2"/>
        <v>DUI; Driving under the influence of a combination of alcohol and any drug or drugs to a degree that renders the person incapable of safely driving a vehicle; 1st conviction</v>
      </c>
      <c r="D3089" s="49" t="str">
        <f t="shared" si="3"/>
        <v>8-1567(a)(5)</v>
      </c>
      <c r="E3089" s="11" t="s">
        <v>54</v>
      </c>
      <c r="F3089" s="11">
        <v>3.0</v>
      </c>
      <c r="G3089" s="11">
        <v>3.0</v>
      </c>
      <c r="H3089" s="11">
        <v>3.0</v>
      </c>
      <c r="I3089" s="11">
        <v>3.0</v>
      </c>
    </row>
    <row r="3090">
      <c r="A3090" s="10" t="s">
        <v>9487</v>
      </c>
      <c r="B3090" s="49" t="str">
        <f t="shared" si="1"/>
        <v>DUI</v>
      </c>
      <c r="C3090" s="49" t="str">
        <f t="shared" si="2"/>
        <v>DUI; Driving under the influence of a combination of alcohol and any drug or drugs to a degree that renders the person incapable of safely driving a vehicle; 2nd conviction</v>
      </c>
      <c r="D3090" s="49" t="str">
        <f t="shared" si="3"/>
        <v>8-1567(a)(5)</v>
      </c>
      <c r="E3090" s="11" t="s">
        <v>54</v>
      </c>
      <c r="F3090" s="11">
        <v>3.0</v>
      </c>
      <c r="G3090" s="11">
        <v>3.0</v>
      </c>
      <c r="H3090" s="11">
        <v>3.0</v>
      </c>
      <c r="I3090" s="11">
        <v>3.0</v>
      </c>
    </row>
    <row r="3091">
      <c r="A3091" s="10" t="s">
        <v>9488</v>
      </c>
      <c r="B3091" s="49" t="str">
        <f t="shared" si="1"/>
        <v>DUI</v>
      </c>
      <c r="C3091" s="49" t="str">
        <f t="shared" si="2"/>
        <v>DUI; Driving under the influence of a combination of alcohol and any drug or drugs to a degree that renders the person incapable of safely driving a vehicle; 3rd conviction, if no prior convictions within preceding 10 years</v>
      </c>
      <c r="D3091" s="49" t="str">
        <f t="shared" si="3"/>
        <v>8-1567(a)(5)</v>
      </c>
      <c r="E3091" s="11" t="s">
        <v>54</v>
      </c>
      <c r="F3091" s="11">
        <v>3.0</v>
      </c>
      <c r="G3091" s="11">
        <v>3.0</v>
      </c>
      <c r="H3091" s="11">
        <v>3.0</v>
      </c>
      <c r="I3091" s="11">
        <v>3.0</v>
      </c>
    </row>
    <row r="3092">
      <c r="A3092" s="10" t="s">
        <v>9489</v>
      </c>
      <c r="B3092" s="49" t="str">
        <f t="shared" si="1"/>
        <v>DUI</v>
      </c>
      <c r="C3092" s="49" t="str">
        <f t="shared" si="2"/>
        <v>DUI; Driving under the influence of a combination of alcohol and drug(s) to a degree that renders the person incapable of safely driving a vehicle; 4th or subs. conviction</v>
      </c>
      <c r="D3092" s="49" t="str">
        <f t="shared" si="3"/>
        <v>8-1567(a)(5)</v>
      </c>
      <c r="E3092" s="11" t="s">
        <v>54</v>
      </c>
      <c r="F3092" s="11">
        <v>3.0</v>
      </c>
      <c r="G3092" s="11">
        <v>3.0</v>
      </c>
      <c r="H3092" s="11">
        <v>3.0</v>
      </c>
      <c r="I3092" s="11">
        <v>3.0</v>
      </c>
    </row>
    <row r="3093">
      <c r="A3093" s="10" t="s">
        <v>9490</v>
      </c>
      <c r="B3093" s="49" t="str">
        <f t="shared" si="1"/>
        <v>DUI</v>
      </c>
      <c r="C3093" s="49" t="str">
        <f t="shared" si="2"/>
        <v>DUI; Driving under the influence of a drug or combination of drugs to a degree that renders the person incapable of safely driving a vehicle; 3rd conviction, if prior within the preceding 10 yrs</v>
      </c>
      <c r="D3093" s="49" t="str">
        <f t="shared" si="3"/>
        <v>8-1567(a)(4)</v>
      </c>
      <c r="E3093" s="11" t="s">
        <v>54</v>
      </c>
      <c r="F3093" s="11">
        <v>3.0</v>
      </c>
      <c r="G3093" s="11">
        <v>3.0</v>
      </c>
      <c r="H3093" s="11">
        <v>3.0</v>
      </c>
      <c r="I3093" s="11">
        <v>3.0</v>
      </c>
    </row>
    <row r="3094">
      <c r="A3094" s="10" t="s">
        <v>9491</v>
      </c>
      <c r="B3094" s="49" t="str">
        <f t="shared" si="1"/>
        <v>DUI</v>
      </c>
      <c r="C3094" s="49" t="str">
        <f t="shared" si="2"/>
        <v>DUI; Driving under the influence of alcohol to a degree that renders the person incapable of safely driving a vehicle; 1st conviction</v>
      </c>
      <c r="D3094" s="49" t="str">
        <f t="shared" si="3"/>
        <v>8-1567(a)(3)</v>
      </c>
      <c r="E3094" s="11" t="s">
        <v>54</v>
      </c>
      <c r="F3094" s="11">
        <v>3.0</v>
      </c>
      <c r="G3094" s="11">
        <v>3.0</v>
      </c>
      <c r="H3094" s="11">
        <v>3.0</v>
      </c>
      <c r="I3094" s="11">
        <v>3.0</v>
      </c>
    </row>
    <row r="3095">
      <c r="A3095" s="10" t="s">
        <v>9492</v>
      </c>
      <c r="B3095" s="49" t="str">
        <f t="shared" si="1"/>
        <v>DUI</v>
      </c>
      <c r="C3095" s="49" t="str">
        <f t="shared" si="2"/>
        <v>DUI; Driving under the influence of alcohol to a degree that renders the person incapable of safely driving a vehicle; 2nd conviction</v>
      </c>
      <c r="D3095" s="49" t="str">
        <f t="shared" si="3"/>
        <v>8-1567(a)(3)</v>
      </c>
      <c r="E3095" s="11" t="s">
        <v>54</v>
      </c>
      <c r="F3095" s="11">
        <v>3.0</v>
      </c>
      <c r="G3095" s="11">
        <v>3.0</v>
      </c>
      <c r="H3095" s="11">
        <v>3.0</v>
      </c>
      <c r="I3095" s="11">
        <v>3.0</v>
      </c>
    </row>
    <row r="3096">
      <c r="A3096" s="10" t="s">
        <v>9493</v>
      </c>
      <c r="B3096" s="49" t="str">
        <f t="shared" si="1"/>
        <v>DUI</v>
      </c>
      <c r="C3096" s="49" t="str">
        <f t="shared" si="2"/>
        <v>DUI; Driving under the influence of alcohol to a degree that renders the person incapable of safely driving a vehicle; 3rd conviction, if no prior convictions within preceding 10 years</v>
      </c>
      <c r="D3096" s="49" t="str">
        <f t="shared" si="3"/>
        <v>8-1567(a)(3)</v>
      </c>
      <c r="E3096" s="11" t="s">
        <v>54</v>
      </c>
      <c r="F3096" s="11">
        <v>3.0</v>
      </c>
      <c r="G3096" s="11">
        <v>3.0</v>
      </c>
      <c r="H3096" s="11">
        <v>3.0</v>
      </c>
      <c r="I3096" s="11">
        <v>3.0</v>
      </c>
    </row>
    <row r="3097">
      <c r="A3097" s="10" t="s">
        <v>9494</v>
      </c>
      <c r="B3097" s="49" t="str">
        <f t="shared" si="1"/>
        <v>DUI</v>
      </c>
      <c r="C3097" s="49" t="str">
        <f t="shared" si="2"/>
        <v>DUI; Driving under the influence of alcohol to a degree that renders the person incapable of safely driving a vehicle; 3rd conviction, if prior within the preceding 10 yrs</v>
      </c>
      <c r="D3097" s="49" t="str">
        <f t="shared" si="3"/>
        <v>8-1567(a)(3)</v>
      </c>
      <c r="E3097" s="11" t="s">
        <v>54</v>
      </c>
      <c r="F3097" s="11">
        <v>3.0</v>
      </c>
      <c r="G3097" s="11">
        <v>3.0</v>
      </c>
      <c r="H3097" s="11">
        <v>3.0</v>
      </c>
      <c r="I3097" s="11">
        <v>3.0</v>
      </c>
    </row>
    <row r="3098">
      <c r="A3098" s="10" t="s">
        <v>9495</v>
      </c>
      <c r="B3098" s="49" t="str">
        <f t="shared" si="1"/>
        <v>DUI</v>
      </c>
      <c r="C3098" s="49" t="str">
        <f t="shared" si="2"/>
        <v>DUI; Driving under the influence of alcohol to a degree that renders the person incapable of safely driving a vehicle; 4th or subs. conviction</v>
      </c>
      <c r="D3098" s="49" t="str">
        <f t="shared" si="3"/>
        <v>8-1567(a)(3)</v>
      </c>
      <c r="E3098" s="11" t="s">
        <v>54</v>
      </c>
      <c r="F3098" s="11">
        <v>3.0</v>
      </c>
      <c r="G3098" s="11">
        <v>3.0</v>
      </c>
      <c r="H3098" s="11">
        <v>3.0</v>
      </c>
      <c r="I3098" s="11">
        <v>3.0</v>
      </c>
    </row>
    <row r="3099">
      <c r="A3099" s="10" t="s">
        <v>9496</v>
      </c>
      <c r="B3099" s="49" t="str">
        <f t="shared" si="1"/>
        <v>DUI</v>
      </c>
      <c r="C3099" s="49" t="str">
        <f t="shared" si="2"/>
        <v>DUI; Driving under the influence of any drug or combination of drugs to a degree that renders the person incapable of safely driving a vehicle; 1st conviction</v>
      </c>
      <c r="D3099" s="49" t="str">
        <f t="shared" si="3"/>
        <v>8-1567(a)(4)</v>
      </c>
      <c r="E3099" s="11" t="s">
        <v>54</v>
      </c>
      <c r="F3099" s="11">
        <v>3.0</v>
      </c>
      <c r="G3099" s="11">
        <v>3.0</v>
      </c>
      <c r="H3099" s="11">
        <v>3.0</v>
      </c>
      <c r="I3099" s="11">
        <v>3.0</v>
      </c>
    </row>
    <row r="3100">
      <c r="A3100" s="10" t="s">
        <v>9497</v>
      </c>
      <c r="B3100" s="49" t="str">
        <f t="shared" si="1"/>
        <v>DUI</v>
      </c>
      <c r="C3100" s="49" t="str">
        <f t="shared" si="2"/>
        <v>DUI; Driving under the influence of any drug or combination of drugs to a degree that renders the person incapable of safely driving a vehicle; 2nd conviction</v>
      </c>
      <c r="D3100" s="49" t="str">
        <f t="shared" si="3"/>
        <v>8-1567(a)(4)</v>
      </c>
      <c r="E3100" s="11" t="s">
        <v>54</v>
      </c>
      <c r="F3100" s="11">
        <v>3.0</v>
      </c>
      <c r="G3100" s="11">
        <v>3.0</v>
      </c>
      <c r="H3100" s="11">
        <v>3.0</v>
      </c>
      <c r="I3100" s="11">
        <v>3.0</v>
      </c>
    </row>
    <row r="3101">
      <c r="A3101" s="10" t="s">
        <v>9498</v>
      </c>
      <c r="B3101" s="49" t="str">
        <f t="shared" si="1"/>
        <v>DUI</v>
      </c>
      <c r="C3101" s="49" t="str">
        <f t="shared" si="2"/>
        <v>DUI; Driving under the influence of any drug or combination of drugs to a degree that renders the person incapable of safely driving a vehicle; 3rd conviction, if no prior convictions within preceding 10 years</v>
      </c>
      <c r="D3101" s="49" t="str">
        <f t="shared" si="3"/>
        <v>8-1567(a)(4)</v>
      </c>
      <c r="E3101" s="11" t="s">
        <v>54</v>
      </c>
      <c r="F3101" s="11">
        <v>3.0</v>
      </c>
      <c r="G3101" s="11">
        <v>3.0</v>
      </c>
      <c r="H3101" s="11">
        <v>3.0</v>
      </c>
      <c r="I3101" s="11">
        <v>3.0</v>
      </c>
    </row>
    <row r="3102">
      <c r="A3102" s="10" t="s">
        <v>9499</v>
      </c>
      <c r="B3102" s="49" t="str">
        <f t="shared" si="1"/>
        <v>DUI</v>
      </c>
      <c r="C3102" s="49" t="str">
        <f t="shared" si="2"/>
        <v>DUI; Driving under the influence of any drug or combination of drugs to a degree that renders the person incapable of safely driving a vehicle; 4th or subs. conviction</v>
      </c>
      <c r="D3102" s="49" t="str">
        <f t="shared" si="3"/>
        <v>8-1567(a)(4)</v>
      </c>
      <c r="E3102" s="11" t="s">
        <v>54</v>
      </c>
      <c r="F3102" s="11">
        <v>3.0</v>
      </c>
      <c r="G3102" s="11">
        <v>3.0</v>
      </c>
      <c r="H3102" s="11">
        <v>3.0</v>
      </c>
      <c r="I3102" s="11">
        <v>3.0</v>
      </c>
    </row>
    <row r="3103">
      <c r="A3103" s="10" t="s">
        <v>9500</v>
      </c>
      <c r="B3103" s="49" t="str">
        <f t="shared" si="1"/>
        <v>DUI</v>
      </c>
      <c r="C3103" s="49" t="str">
        <f t="shared" si="2"/>
        <v>DUI; Driving under the influence of combination of alcohol &amp; drug(s) to a degree that renders the person incapable of safely driving a vehicle; 3rd conviction, if prior within the preceding 10 yrs</v>
      </c>
      <c r="D3103" s="49" t="str">
        <f t="shared" si="3"/>
        <v>8-1567(a)(5)</v>
      </c>
      <c r="E3103" s="11" t="s">
        <v>54</v>
      </c>
      <c r="F3103" s="11">
        <v>3.0</v>
      </c>
      <c r="G3103" s="11">
        <v>3.0</v>
      </c>
      <c r="H3103" s="11">
        <v>3.0</v>
      </c>
      <c r="I3103" s="11">
        <v>3.0</v>
      </c>
    </row>
    <row r="3104">
      <c r="A3104" s="10" t="s">
        <v>9501</v>
      </c>
      <c r="B3104" s="49" t="str">
        <f t="shared" si="1"/>
        <v>DUI</v>
      </c>
      <c r="C3104" s="49" t="str">
        <f t="shared" si="2"/>
        <v>DUI; Test Refusal; 1st conviction</v>
      </c>
      <c r="D3104" s="49" t="str">
        <f t="shared" si="3"/>
        <v>-319373</v>
      </c>
      <c r="E3104" s="11" t="s">
        <v>54</v>
      </c>
      <c r="F3104" s="11">
        <v>3.0</v>
      </c>
      <c r="G3104" s="11">
        <v>3.0</v>
      </c>
      <c r="H3104" s="11">
        <v>3.0</v>
      </c>
      <c r="I3104" s="11">
        <v>3.0</v>
      </c>
    </row>
    <row r="3105">
      <c r="A3105" s="10" t="s">
        <v>9502</v>
      </c>
      <c r="B3105" s="49" t="str">
        <f t="shared" si="1"/>
        <v>DUI</v>
      </c>
      <c r="C3105" s="49" t="str">
        <f t="shared" si="2"/>
        <v>DUI; Test Refusal; 2nd conviction if no priors within preceding 10 years</v>
      </c>
      <c r="D3105" s="49" t="str">
        <f t="shared" si="3"/>
        <v>-319373</v>
      </c>
      <c r="E3105" s="11" t="s">
        <v>54</v>
      </c>
      <c r="F3105" s="11">
        <v>3.0</v>
      </c>
      <c r="G3105" s="11">
        <v>3.0</v>
      </c>
      <c r="H3105" s="11">
        <v>3.0</v>
      </c>
      <c r="I3105" s="11">
        <v>3.0</v>
      </c>
    </row>
    <row r="3106">
      <c r="A3106" s="10" t="s">
        <v>9503</v>
      </c>
      <c r="B3106" s="49" t="str">
        <f t="shared" si="1"/>
        <v>DUI</v>
      </c>
      <c r="C3106" s="49" t="str">
        <f t="shared" si="2"/>
        <v>DUI; Test Refusal; 2nd conviction, if prior within the preceding 10 years</v>
      </c>
      <c r="D3106" s="49" t="str">
        <f t="shared" si="3"/>
        <v>-319373</v>
      </c>
      <c r="E3106" s="11" t="s">
        <v>54</v>
      </c>
      <c r="F3106" s="11">
        <v>3.0</v>
      </c>
      <c r="G3106" s="11">
        <v>3.0</v>
      </c>
      <c r="H3106" s="11">
        <v>3.0</v>
      </c>
      <c r="I3106" s="11">
        <v>3.0</v>
      </c>
    </row>
    <row r="3107">
      <c r="A3107" s="10" t="s">
        <v>9504</v>
      </c>
      <c r="B3107" s="49" t="str">
        <f t="shared" si="1"/>
        <v>DUI</v>
      </c>
      <c r="C3107" s="49" t="str">
        <f t="shared" si="2"/>
        <v>DUI; Test Refusal; 3rd or subs. conviction</v>
      </c>
      <c r="D3107" s="49" t="str">
        <f t="shared" si="3"/>
        <v>-319373</v>
      </c>
      <c r="E3107" s="11" t="s">
        <v>54</v>
      </c>
      <c r="F3107" s="11">
        <v>3.0</v>
      </c>
      <c r="G3107" s="11">
        <v>3.0</v>
      </c>
      <c r="H3107" s="11">
        <v>3.0</v>
      </c>
      <c r="I3107" s="11">
        <v>3.0</v>
      </c>
    </row>
    <row r="3108">
      <c r="A3108" s="10" t="s">
        <v>9505</v>
      </c>
      <c r="B3108" s="49" t="str">
        <f t="shared" si="1"/>
        <v>Endangering a Child</v>
      </c>
      <c r="C3108" s="49" t="str">
        <f t="shared" si="2"/>
        <v>Endangering a Child; Knowingly and unreasonably cause or permit a child less than 18 yrs of age to be placed in situation in which child's life, body or health may be endangered</v>
      </c>
      <c r="D3108" s="49" t="str">
        <f t="shared" si="3"/>
        <v>21-5601(a)</v>
      </c>
      <c r="E3108" s="11" t="s">
        <v>54</v>
      </c>
      <c r="F3108" s="11">
        <v>3.0</v>
      </c>
      <c r="G3108" s="11">
        <v>3.0</v>
      </c>
      <c r="H3108" s="11">
        <v>3.0</v>
      </c>
      <c r="I3108" s="11">
        <v>3.0</v>
      </c>
    </row>
    <row r="3109">
      <c r="A3109" s="10" t="s">
        <v>9506</v>
      </c>
      <c r="B3109" s="49" t="str">
        <f t="shared" si="1"/>
        <v>Indecent Liberties with a Child</v>
      </c>
      <c r="C3109" s="49" t="str">
        <f t="shared" si="2"/>
        <v>Indecent Liberties with a Child; Lewd fondling/touching; child 14 or more but less than 16</v>
      </c>
      <c r="D3109" s="49" t="str">
        <f t="shared" si="3"/>
        <v>21-5506(a)(1)</v>
      </c>
      <c r="E3109" s="11" t="s">
        <v>54</v>
      </c>
      <c r="F3109" s="11">
        <v>3.0</v>
      </c>
      <c r="G3109" s="11">
        <v>3.0</v>
      </c>
      <c r="H3109" s="11">
        <v>3.0</v>
      </c>
      <c r="I3109" s="11">
        <v>3.0</v>
      </c>
    </row>
    <row r="3110">
      <c r="A3110" s="10" t="s">
        <v>9507</v>
      </c>
      <c r="B3110" s="49" t="str">
        <f t="shared" si="1"/>
        <v>Indecent Liberties with a Child</v>
      </c>
      <c r="C3110" s="49" t="str">
        <f t="shared" si="2"/>
        <v>Indecent Liberties with a Child; Soliciting the child to engage in any lewd fondling/touching; child 14 or more but less than 16</v>
      </c>
      <c r="D3110" s="49" t="str">
        <f t="shared" si="3"/>
        <v>21-5506(a)(2)</v>
      </c>
      <c r="E3110" s="11" t="s">
        <v>54</v>
      </c>
      <c r="F3110" s="11">
        <v>3.0</v>
      </c>
      <c r="G3110" s="11">
        <v>3.0</v>
      </c>
      <c r="H3110" s="11">
        <v>3.0</v>
      </c>
      <c r="I3110" s="11">
        <v>3.0</v>
      </c>
    </row>
    <row r="3111">
      <c r="A3111" s="10" t="s">
        <v>9508</v>
      </c>
      <c r="B3111" s="49" t="str">
        <f t="shared" si="1"/>
        <v>Indecent Solicitation of Child</v>
      </c>
      <c r="C3111" s="49" t="str">
        <f t="shared" si="2"/>
        <v>Indecent Solicitation of Child; Commit or submit to unlawful sexual act; child 14 or more but less than 16</v>
      </c>
      <c r="D3111" s="49" t="str">
        <f t="shared" si="3"/>
        <v>21-5508(a)(1)</v>
      </c>
      <c r="E3111" s="11" t="s">
        <v>54</v>
      </c>
      <c r="F3111" s="11">
        <v>3.0</v>
      </c>
      <c r="G3111" s="11">
        <v>3.0</v>
      </c>
      <c r="H3111" s="11">
        <v>3.0</v>
      </c>
      <c r="I3111" s="11">
        <v>3.0</v>
      </c>
    </row>
    <row r="3112">
      <c r="A3112" s="10" t="s">
        <v>9509</v>
      </c>
      <c r="B3112" s="49" t="str">
        <f t="shared" si="1"/>
        <v>Indecent Solicitation of Child</v>
      </c>
      <c r="C3112" s="49" t="str">
        <f t="shared" si="2"/>
        <v>Indecent Solicitation of Child; Inviting to enter secluded place; child 14 or more but less than 16</v>
      </c>
      <c r="D3112" s="49" t="str">
        <f t="shared" si="3"/>
        <v>21-5508(a)(2)</v>
      </c>
      <c r="E3112" s="11" t="s">
        <v>54</v>
      </c>
      <c r="F3112" s="11">
        <v>3.0</v>
      </c>
      <c r="G3112" s="11">
        <v>3.0</v>
      </c>
      <c r="H3112" s="11">
        <v>3.0</v>
      </c>
      <c r="I3112" s="11">
        <v>3.0</v>
      </c>
    </row>
    <row r="3113">
      <c r="A3113" s="10" t="s">
        <v>9510</v>
      </c>
      <c r="B3113" s="49" t="str">
        <f t="shared" si="1"/>
        <v>Involuntary Manslaughter</v>
      </c>
      <c r="C3113" s="49" t="str">
        <f t="shared" si="2"/>
        <v>Involuntary Manslaughter; In commission of lawful act in unlawful manner</v>
      </c>
      <c r="D3113" s="49" t="str">
        <f t="shared" si="3"/>
        <v>21-5405(a)(4)</v>
      </c>
      <c r="E3113" s="11" t="s">
        <v>54</v>
      </c>
      <c r="F3113" s="11">
        <v>3.0</v>
      </c>
      <c r="G3113" s="11">
        <v>3.0</v>
      </c>
      <c r="H3113" s="11">
        <v>3.0</v>
      </c>
      <c r="I3113" s="11">
        <v>3.0</v>
      </c>
    </row>
    <row r="3114">
      <c r="A3114" s="10" t="s">
        <v>9511</v>
      </c>
      <c r="B3114" s="49" t="str">
        <f t="shared" si="1"/>
        <v>Involuntary Manslaughter</v>
      </c>
      <c r="C3114" s="49" t="str">
        <f t="shared" si="2"/>
        <v>Involuntary Manslaughter; In the commission, attempted commission, or flight from DUI</v>
      </c>
      <c r="D3114" s="49" t="str">
        <f t="shared" si="3"/>
        <v>21-5405(a)(3)</v>
      </c>
      <c r="E3114" s="11" t="s">
        <v>54</v>
      </c>
      <c r="F3114" s="11">
        <v>3.0</v>
      </c>
      <c r="G3114" s="11">
        <v>3.0</v>
      </c>
      <c r="H3114" s="11">
        <v>3.0</v>
      </c>
      <c r="I3114" s="11">
        <v>3.0</v>
      </c>
    </row>
    <row r="3115">
      <c r="A3115" s="10" t="s">
        <v>9512</v>
      </c>
      <c r="B3115" s="49" t="str">
        <f t="shared" si="1"/>
        <v>Involuntary Manslaughter</v>
      </c>
      <c r="C3115" s="49" t="str">
        <f t="shared" si="2"/>
        <v>Involuntary Manslaughter; In the commission, attempted commission, or flight from other felonies excluding DUI</v>
      </c>
      <c r="D3115" s="49" t="str">
        <f t="shared" si="3"/>
        <v>21-5405(a)(2)</v>
      </c>
      <c r="E3115" s="11" t="s">
        <v>54</v>
      </c>
      <c r="F3115" s="11">
        <v>3.0</v>
      </c>
      <c r="G3115" s="11">
        <v>3.0</v>
      </c>
      <c r="H3115" s="11">
        <v>3.0</v>
      </c>
      <c r="I3115" s="11">
        <v>3.0</v>
      </c>
    </row>
    <row r="3116">
      <c r="A3116" s="10" t="s">
        <v>9513</v>
      </c>
      <c r="B3116" s="49" t="str">
        <f t="shared" si="1"/>
        <v>Involuntary Manslaughter</v>
      </c>
      <c r="C3116" s="49" t="str">
        <f t="shared" si="2"/>
        <v>Involuntary Manslaughter; Recklessly</v>
      </c>
      <c r="D3116" s="49" t="str">
        <f t="shared" si="3"/>
        <v>21-5405(a)(1)</v>
      </c>
      <c r="E3116" s="11" t="s">
        <v>54</v>
      </c>
      <c r="F3116" s="11">
        <v>3.0</v>
      </c>
      <c r="G3116" s="11">
        <v>3.0</v>
      </c>
      <c r="H3116" s="11">
        <v>3.0</v>
      </c>
      <c r="I3116" s="11">
        <v>3.0</v>
      </c>
    </row>
    <row r="3117">
      <c r="A3117" s="10" t="s">
        <v>9514</v>
      </c>
      <c r="B3117" s="49" t="str">
        <f t="shared" si="1"/>
        <v>Murder</v>
      </c>
      <c r="C3117" s="49" t="str">
        <f t="shared" si="2"/>
        <v>Murder; 1st Degree; in the commission of, attempt to commit, or flight from an inherently dangerous felony as defined in K.S.A. 21-5402(c)</v>
      </c>
      <c r="D3117" s="49" t="str">
        <f t="shared" si="3"/>
        <v>21-5402(a)(2)</v>
      </c>
      <c r="E3117" s="11" t="s">
        <v>54</v>
      </c>
      <c r="F3117" s="11">
        <v>3.0</v>
      </c>
      <c r="G3117" s="11">
        <v>3.0</v>
      </c>
      <c r="H3117" s="11">
        <v>3.0</v>
      </c>
      <c r="I3117" s="11">
        <v>3.0</v>
      </c>
    </row>
    <row r="3118">
      <c r="A3118" s="10" t="s">
        <v>9515</v>
      </c>
      <c r="B3118" s="49" t="str">
        <f t="shared" si="1"/>
        <v>Murder</v>
      </c>
      <c r="C3118" s="49" t="str">
        <f t="shared" si="2"/>
        <v>Murder; 1st Degree; intentionally and with premeditation</v>
      </c>
      <c r="D3118" s="49" t="str">
        <f t="shared" si="3"/>
        <v>21-5402(a)(1)</v>
      </c>
      <c r="E3118" s="11" t="s">
        <v>54</v>
      </c>
      <c r="F3118" s="11">
        <v>3.0</v>
      </c>
      <c r="G3118" s="11">
        <v>3.0</v>
      </c>
      <c r="H3118" s="11">
        <v>3.0</v>
      </c>
      <c r="I3118" s="11">
        <v>3.0</v>
      </c>
    </row>
    <row r="3119">
      <c r="A3119" s="10" t="s">
        <v>9516</v>
      </c>
      <c r="B3119" s="49" t="str">
        <f t="shared" si="1"/>
        <v>Murder</v>
      </c>
      <c r="C3119" s="49" t="str">
        <f t="shared" si="2"/>
        <v>Murder; 2nd Degree; intentional killing</v>
      </c>
      <c r="D3119" s="49" t="str">
        <f t="shared" si="3"/>
        <v>21-5403(a)(1)</v>
      </c>
      <c r="E3119" s="11" t="s">
        <v>54</v>
      </c>
      <c r="F3119" s="11">
        <v>3.0</v>
      </c>
      <c r="G3119" s="11">
        <v>3.0</v>
      </c>
      <c r="H3119" s="11">
        <v>3.0</v>
      </c>
      <c r="I3119" s="11">
        <v>3.0</v>
      </c>
    </row>
    <row r="3120">
      <c r="A3120" s="10" t="s">
        <v>9517</v>
      </c>
      <c r="B3120" s="49" t="str">
        <f t="shared" si="1"/>
        <v>Murder</v>
      </c>
      <c r="C3120" s="49" t="str">
        <f t="shared" si="2"/>
        <v>Murder; 2nd Degree; unintentionally but recklessly, under circumstances manifesting extreme indifference to human life</v>
      </c>
      <c r="D3120" s="49" t="str">
        <f t="shared" si="3"/>
        <v>21-5403(a)(2)</v>
      </c>
      <c r="E3120" s="11" t="s">
        <v>54</v>
      </c>
      <c r="F3120" s="11">
        <v>3.0</v>
      </c>
      <c r="G3120" s="11">
        <v>3.0</v>
      </c>
      <c r="H3120" s="11">
        <v>3.0</v>
      </c>
      <c r="I3120" s="11">
        <v>3.0</v>
      </c>
    </row>
    <row r="3121">
      <c r="A3121" s="10" t="s">
        <v>9518</v>
      </c>
      <c r="B3121" s="49" t="str">
        <f t="shared" si="1"/>
        <v>Rape</v>
      </c>
      <c r="C3121" s="49" t="str">
        <f t="shared" si="2"/>
        <v>Rape; Commit, attempt, conspire or solicit to commit; Sexual intercourse with child under 14; offender 18 or older</v>
      </c>
      <c r="D3121" s="49" t="str">
        <f t="shared" si="3"/>
        <v>21-5503(a)(3)</v>
      </c>
      <c r="E3121" s="11" t="s">
        <v>54</v>
      </c>
      <c r="F3121" s="11">
        <v>3.0</v>
      </c>
      <c r="G3121" s="11">
        <v>3.0</v>
      </c>
      <c r="H3121" s="11">
        <v>3.0</v>
      </c>
      <c r="I3121" s="11">
        <v>3.0</v>
      </c>
    </row>
    <row r="3122">
      <c r="A3122" s="10" t="s">
        <v>9519</v>
      </c>
      <c r="B3122" s="49" t="str">
        <f t="shared" si="1"/>
        <v>Rape</v>
      </c>
      <c r="C3122" s="49" t="str">
        <f t="shared" si="2"/>
        <v>Rape; Knowingly engage in nonconsensual sexual intercourse; victim incapable of consent due to mental deficiency or disease, or apparently under the effects of alcoholic liquor, narcotic, drug or other substance</v>
      </c>
      <c r="D3122" s="49" t="str">
        <f t="shared" si="3"/>
        <v>21-5503(a)(2)</v>
      </c>
      <c r="E3122" s="11" t="s">
        <v>54</v>
      </c>
      <c r="F3122" s="11">
        <v>3.0</v>
      </c>
      <c r="G3122" s="11">
        <v>3.0</v>
      </c>
      <c r="H3122" s="11">
        <v>3.0</v>
      </c>
      <c r="I3122" s="11">
        <v>3.0</v>
      </c>
    </row>
    <row r="3123">
      <c r="A3123" s="10" t="s">
        <v>9520</v>
      </c>
      <c r="B3123" s="49" t="str">
        <f t="shared" si="1"/>
        <v>Rape</v>
      </c>
      <c r="C3123" s="49" t="str">
        <f t="shared" si="2"/>
        <v>Rape; Knowingly engage in nonconsensual sexual intercourse; victim overcome by force or fear</v>
      </c>
      <c r="D3123" s="49" t="str">
        <f t="shared" si="3"/>
        <v>21-5503(a)(1)(A)</v>
      </c>
      <c r="E3123" s="11" t="s">
        <v>54</v>
      </c>
      <c r="F3123" s="11">
        <v>3.0</v>
      </c>
      <c r="G3123" s="11">
        <v>3.0</v>
      </c>
      <c r="H3123" s="11">
        <v>3.0</v>
      </c>
      <c r="I3123" s="11">
        <v>3.0</v>
      </c>
    </row>
    <row r="3124">
      <c r="A3124" s="10" t="s">
        <v>9521</v>
      </c>
      <c r="B3124" s="49" t="str">
        <f t="shared" si="1"/>
        <v>Rape</v>
      </c>
      <c r="C3124" s="49" t="str">
        <f t="shared" si="2"/>
        <v>Rape; Knowingly engage in nonconsensual sexual intercourse; victim unconscious or physically powerless</v>
      </c>
      <c r="D3124" s="49" t="str">
        <f t="shared" si="3"/>
        <v>21-5503(a)(1)(B)</v>
      </c>
      <c r="E3124" s="11" t="s">
        <v>54</v>
      </c>
      <c r="F3124" s="11">
        <v>3.0</v>
      </c>
      <c r="G3124" s="11">
        <v>3.0</v>
      </c>
      <c r="H3124" s="11">
        <v>3.0</v>
      </c>
      <c r="I3124" s="11">
        <v>3.0</v>
      </c>
    </row>
    <row r="3125">
      <c r="A3125" s="10" t="s">
        <v>9522</v>
      </c>
      <c r="B3125" s="49" t="str">
        <f t="shared" si="1"/>
        <v>Rape</v>
      </c>
      <c r="C3125" s="49" t="str">
        <f t="shared" si="2"/>
        <v>Rape; Sexual intercourse with a child under 14; offender less than 18</v>
      </c>
      <c r="D3125" s="49" t="str">
        <f t="shared" si="3"/>
        <v>21-5503(a)(3)</v>
      </c>
      <c r="E3125" s="11" t="s">
        <v>54</v>
      </c>
      <c r="F3125" s="11">
        <v>3.0</v>
      </c>
      <c r="G3125" s="11">
        <v>3.0</v>
      </c>
      <c r="H3125" s="11">
        <v>3.0</v>
      </c>
      <c r="I3125" s="11">
        <v>3.0</v>
      </c>
    </row>
    <row r="3126">
      <c r="A3126" s="10" t="s">
        <v>9523</v>
      </c>
      <c r="B3126" s="49" t="str">
        <f t="shared" si="1"/>
        <v>Rape</v>
      </c>
      <c r="C3126" s="49" t="str">
        <f t="shared" si="2"/>
        <v>Rape; Sexual intercourse; Consent obtained through knowing misrepresentation that sexual intercourse is legally required within scope of authority</v>
      </c>
      <c r="D3126" s="49" t="str">
        <f t="shared" si="3"/>
        <v>21-5503(a)(5)</v>
      </c>
      <c r="E3126" s="11" t="s">
        <v>54</v>
      </c>
      <c r="F3126" s="11">
        <v>3.0</v>
      </c>
      <c r="G3126" s="11">
        <v>3.0</v>
      </c>
      <c r="H3126" s="11">
        <v>3.0</v>
      </c>
      <c r="I3126" s="11">
        <v>3.0</v>
      </c>
    </row>
    <row r="3127">
      <c r="A3127" s="10" t="s">
        <v>9524</v>
      </c>
      <c r="B3127" s="49" t="str">
        <f t="shared" si="1"/>
        <v>Rape</v>
      </c>
      <c r="C3127" s="49" t="str">
        <f t="shared" si="2"/>
        <v>Rape; Sexual intercourse; Consent obtained through knowing misrepresentation that sexual intercourse is medically or therapeutically necessary</v>
      </c>
      <c r="D3127" s="49" t="str">
        <f t="shared" si="3"/>
        <v>21-5503(a)(4)</v>
      </c>
      <c r="E3127" s="11" t="s">
        <v>54</v>
      </c>
      <c r="F3127" s="11">
        <v>3.0</v>
      </c>
      <c r="G3127" s="11">
        <v>3.0</v>
      </c>
      <c r="H3127" s="11">
        <v>3.0</v>
      </c>
      <c r="I3127" s="11">
        <v>3.0</v>
      </c>
    </row>
    <row r="3128">
      <c r="A3128" s="10" t="s">
        <v>9525</v>
      </c>
      <c r="B3128" s="49" t="str">
        <f t="shared" si="1"/>
        <v>Sexual Battery</v>
      </c>
      <c r="C3128" s="49" t="str">
        <f t="shared" si="2"/>
        <v>Sexual Battery; Touching victim who is not a spouse of offender, who is 16 or more, without consent and with intent to arouse or satisfy desires</v>
      </c>
      <c r="D3128" s="49" t="str">
        <f t="shared" si="3"/>
        <v>21-5505(a)</v>
      </c>
      <c r="E3128" s="11" t="s">
        <v>54</v>
      </c>
      <c r="F3128" s="11">
        <v>3.0</v>
      </c>
      <c r="G3128" s="11">
        <v>3.0</v>
      </c>
      <c r="H3128" s="11">
        <v>3.0</v>
      </c>
      <c r="I3128" s="11">
        <v>3.0</v>
      </c>
    </row>
    <row r="3129">
      <c r="A3129" s="10" t="s">
        <v>9526</v>
      </c>
      <c r="B3129" s="49" t="str">
        <f t="shared" si="1"/>
        <v>Voluntary Manslaughter</v>
      </c>
      <c r="C3129" s="49" t="str">
        <f t="shared" si="2"/>
        <v>Voluntary Manslaughter; Knowingly killing upon sudden quarrel or in heat of passion</v>
      </c>
      <c r="D3129" s="49" t="str">
        <f t="shared" si="3"/>
        <v>21-5404(a)(1)</v>
      </c>
      <c r="E3129" s="11" t="s">
        <v>54</v>
      </c>
      <c r="F3129" s="11">
        <v>3.0</v>
      </c>
      <c r="G3129" s="11">
        <v>3.0</v>
      </c>
      <c r="H3129" s="11">
        <v>3.0</v>
      </c>
      <c r="I3129" s="11">
        <v>3.0</v>
      </c>
    </row>
    <row r="3130">
      <c r="A3130" s="10" t="s">
        <v>9527</v>
      </c>
      <c r="B3130" s="49" t="str">
        <f t="shared" si="1"/>
        <v>Voluntary Manslaughter</v>
      </c>
      <c r="C3130" s="49" t="str">
        <f t="shared" si="2"/>
        <v>Voluntary Manslaughter; Knowingly killing upon unreasonable but honest belief that use of deadly force was justified</v>
      </c>
      <c r="D3130" s="49" t="str">
        <f t="shared" si="3"/>
        <v>21-5404(a)(2)</v>
      </c>
      <c r="E3130" s="11" t="s">
        <v>54</v>
      </c>
      <c r="F3130" s="11">
        <v>3.0</v>
      </c>
      <c r="G3130" s="11">
        <v>3.0</v>
      </c>
      <c r="H3130" s="11">
        <v>3.0</v>
      </c>
      <c r="I3130" s="11">
        <v>3.0</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5" width="19.88"/>
    <col customWidth="1" min="6" max="6" width="10.63"/>
    <col customWidth="1" min="7" max="7" width="27.0"/>
    <col customWidth="1" min="8" max="8" width="19.88"/>
  </cols>
  <sheetData>
    <row r="1" ht="29.25" customHeight="1">
      <c r="A1" s="23" t="s">
        <v>5929</v>
      </c>
      <c r="B1" s="23" t="s">
        <v>5932</v>
      </c>
      <c r="C1" s="23" t="s">
        <v>5933</v>
      </c>
      <c r="D1" s="23" t="s">
        <v>5934</v>
      </c>
      <c r="E1" s="25" t="s">
        <v>5941</v>
      </c>
      <c r="F1" s="23" t="s">
        <v>5942</v>
      </c>
      <c r="G1" s="23" t="s">
        <v>5943</v>
      </c>
      <c r="H1" s="50"/>
      <c r="I1" s="50"/>
      <c r="J1" s="50"/>
      <c r="K1" s="50"/>
      <c r="L1" s="50"/>
      <c r="M1" s="50"/>
      <c r="N1" s="50"/>
      <c r="O1" s="50"/>
      <c r="P1" s="50"/>
      <c r="Q1" s="50"/>
      <c r="R1" s="50"/>
      <c r="S1" s="50"/>
      <c r="T1" s="50"/>
      <c r="U1" s="50"/>
      <c r="V1" s="50"/>
      <c r="W1" s="50"/>
      <c r="X1" s="50"/>
      <c r="Y1" s="50"/>
      <c r="Z1" s="50"/>
      <c r="AA1" s="50"/>
      <c r="AB1" s="50"/>
    </row>
    <row r="2" ht="15.75" customHeight="1">
      <c r="A2" s="11" t="s">
        <v>9528</v>
      </c>
      <c r="B2" s="11" t="s">
        <v>5960</v>
      </c>
      <c r="C2" s="11" t="s">
        <v>6284</v>
      </c>
      <c r="D2" s="11" t="s">
        <v>6284</v>
      </c>
      <c r="E2" s="51" t="s">
        <v>9529</v>
      </c>
      <c r="F2" s="39" t="s">
        <v>9530</v>
      </c>
      <c r="G2" s="11" t="s">
        <v>9531</v>
      </c>
    </row>
    <row r="3" ht="15.75" customHeight="1">
      <c r="A3" s="11" t="s">
        <v>9532</v>
      </c>
      <c r="B3" s="11" t="s">
        <v>5968</v>
      </c>
      <c r="C3" s="11" t="s">
        <v>6284</v>
      </c>
      <c r="D3" s="11" t="s">
        <v>6284</v>
      </c>
      <c r="E3" s="51" t="s">
        <v>9533</v>
      </c>
      <c r="F3" s="39" t="s">
        <v>9534</v>
      </c>
      <c r="G3" s="52" t="s">
        <v>9535</v>
      </c>
    </row>
    <row r="4" ht="15.75" customHeight="1">
      <c r="A4" s="11" t="s">
        <v>9536</v>
      </c>
      <c r="B4" s="11" t="s">
        <v>5960</v>
      </c>
      <c r="D4" s="11" t="s">
        <v>9537</v>
      </c>
      <c r="E4" s="51" t="s">
        <v>9538</v>
      </c>
      <c r="F4" s="39" t="s">
        <v>9539</v>
      </c>
      <c r="G4" s="11" t="s">
        <v>9540</v>
      </c>
    </row>
    <row r="5" ht="15.75" customHeight="1">
      <c r="A5" s="11" t="s">
        <v>9541</v>
      </c>
      <c r="B5" s="11" t="s">
        <v>5960</v>
      </c>
      <c r="D5" s="11" t="s">
        <v>9542</v>
      </c>
      <c r="E5" s="51" t="s">
        <v>9543</v>
      </c>
      <c r="F5" s="39" t="s">
        <v>9544</v>
      </c>
      <c r="G5" s="11" t="s">
        <v>9545</v>
      </c>
    </row>
    <row r="6" ht="15.75" customHeight="1">
      <c r="A6" s="11" t="s">
        <v>9546</v>
      </c>
      <c r="B6" s="11" t="s">
        <v>5968</v>
      </c>
      <c r="D6" s="11" t="s">
        <v>9547</v>
      </c>
      <c r="E6" s="51" t="s">
        <v>9548</v>
      </c>
      <c r="F6" s="39" t="s">
        <v>9549</v>
      </c>
      <c r="G6" s="11" t="s">
        <v>9550</v>
      </c>
    </row>
    <row r="7" ht="15.75" customHeight="1">
      <c r="A7" s="11"/>
      <c r="E7" s="45"/>
    </row>
    <row r="8" ht="15.75" customHeight="1">
      <c r="E8" s="45"/>
    </row>
    <row r="9" ht="15.75" customHeight="1">
      <c r="E9" s="45"/>
    </row>
    <row r="10" ht="15.75" customHeight="1">
      <c r="E10" s="45"/>
    </row>
    <row r="11" ht="15.75" customHeight="1">
      <c r="E11" s="45"/>
    </row>
    <row r="12" ht="15.75" customHeight="1">
      <c r="E12" s="45"/>
    </row>
    <row r="13" ht="15.75" customHeight="1">
      <c r="E13" s="45"/>
    </row>
    <row r="14" ht="15.75" customHeight="1">
      <c r="E14" s="45"/>
    </row>
    <row r="15" ht="15.75" customHeight="1">
      <c r="E15" s="45"/>
    </row>
    <row r="16" ht="15.75" customHeight="1">
      <c r="E16" s="45"/>
    </row>
    <row r="17" ht="15.75" customHeight="1">
      <c r="E17" s="45"/>
    </row>
    <row r="18" ht="15.75" customHeight="1">
      <c r="E18" s="45"/>
    </row>
    <row r="19" ht="15.75" customHeight="1">
      <c r="E19" s="45"/>
    </row>
    <row r="20" ht="15.75" customHeight="1">
      <c r="E20" s="45"/>
    </row>
    <row r="21" ht="15.75" customHeight="1">
      <c r="E21" s="45"/>
    </row>
    <row r="22" ht="15.75" customHeight="1">
      <c r="E22" s="45"/>
    </row>
    <row r="23" ht="15.75" customHeight="1">
      <c r="E23" s="45"/>
    </row>
    <row r="24" ht="15.75" customHeight="1">
      <c r="E24" s="45"/>
    </row>
    <row r="25" ht="15.75" customHeight="1">
      <c r="E25" s="45"/>
    </row>
    <row r="26" ht="15.75" customHeight="1">
      <c r="E26" s="45"/>
    </row>
    <row r="27" ht="15.75" customHeight="1">
      <c r="E27" s="45"/>
    </row>
    <row r="28" ht="15.75" customHeight="1">
      <c r="E28" s="45"/>
    </row>
    <row r="29" ht="15.75" customHeight="1">
      <c r="E29" s="45"/>
    </row>
    <row r="30" ht="15.75" customHeight="1">
      <c r="E30" s="45"/>
    </row>
    <row r="31" ht="15.75" customHeight="1">
      <c r="E31" s="45"/>
    </row>
    <row r="32" ht="15.75" customHeight="1">
      <c r="E32" s="45"/>
    </row>
    <row r="33" ht="15.75" customHeight="1">
      <c r="E33" s="45"/>
    </row>
    <row r="34" ht="15.75" customHeight="1">
      <c r="E34" s="45"/>
    </row>
    <row r="35" ht="15.75" customHeight="1">
      <c r="E35" s="45"/>
    </row>
    <row r="36" ht="15.75" customHeight="1">
      <c r="E36" s="45"/>
    </row>
    <row r="37" ht="15.75" customHeight="1">
      <c r="E37" s="45"/>
    </row>
    <row r="38" ht="15.75" customHeight="1">
      <c r="E38" s="45"/>
    </row>
    <row r="39" ht="15.75" customHeight="1">
      <c r="E39" s="45"/>
    </row>
    <row r="40" ht="15.75" customHeight="1">
      <c r="E40" s="45"/>
    </row>
    <row r="41" ht="15.75" customHeight="1">
      <c r="E41" s="45"/>
    </row>
    <row r="42" ht="15.75" customHeight="1">
      <c r="E42" s="45"/>
    </row>
    <row r="43" ht="15.75" customHeight="1">
      <c r="E43" s="45"/>
    </row>
    <row r="44" ht="15.75" customHeight="1">
      <c r="E44" s="45"/>
    </row>
    <row r="45" ht="15.75" customHeight="1">
      <c r="E45" s="45"/>
    </row>
    <row r="46" ht="15.75" customHeight="1">
      <c r="E46" s="45"/>
    </row>
    <row r="47" ht="15.75" customHeight="1">
      <c r="E47" s="45"/>
    </row>
    <row r="48" ht="15.75" customHeight="1">
      <c r="E48" s="45"/>
    </row>
    <row r="49" ht="15.75" customHeight="1">
      <c r="E49" s="45"/>
    </row>
    <row r="50" ht="15.75" customHeight="1">
      <c r="E50" s="45"/>
    </row>
    <row r="51" ht="15.75" customHeight="1">
      <c r="E51" s="45"/>
    </row>
    <row r="52" ht="15.75" customHeight="1">
      <c r="E52" s="45"/>
    </row>
    <row r="53" ht="15.75" customHeight="1">
      <c r="E53" s="45"/>
    </row>
    <row r="54" ht="15.75" customHeight="1">
      <c r="E54" s="45"/>
    </row>
    <row r="55" ht="15.75" customHeight="1">
      <c r="E55" s="45"/>
    </row>
    <row r="56" ht="15.75" customHeight="1">
      <c r="E56" s="45"/>
    </row>
    <row r="57" ht="15.75" customHeight="1">
      <c r="E57" s="45"/>
    </row>
    <row r="58" ht="15.75" customHeight="1">
      <c r="E58" s="45"/>
    </row>
    <row r="59" ht="15.75" customHeight="1">
      <c r="E59" s="45"/>
    </row>
    <row r="60" ht="15.75" customHeight="1">
      <c r="E60" s="45"/>
    </row>
    <row r="61" ht="15.75" customHeight="1">
      <c r="E61" s="45"/>
    </row>
    <row r="62" ht="15.75" customHeight="1">
      <c r="E62" s="45"/>
    </row>
    <row r="63" ht="15.75" customHeight="1">
      <c r="E63" s="45"/>
    </row>
    <row r="64" ht="15.75" customHeight="1">
      <c r="E64" s="45"/>
    </row>
    <row r="65" ht="15.75" customHeight="1">
      <c r="E65" s="45"/>
    </row>
    <row r="66" ht="15.75" customHeight="1">
      <c r="E66" s="45"/>
    </row>
    <row r="67" ht="15.75" customHeight="1">
      <c r="E67" s="45"/>
    </row>
    <row r="68" ht="15.75" customHeight="1">
      <c r="E68" s="45"/>
    </row>
    <row r="69" ht="15.75" customHeight="1">
      <c r="E69" s="45"/>
    </row>
    <row r="70" ht="15.75" customHeight="1">
      <c r="E70" s="45"/>
    </row>
    <row r="71" ht="15.75" customHeight="1">
      <c r="E71" s="45"/>
    </row>
    <row r="72" ht="15.75" customHeight="1">
      <c r="E72" s="45"/>
    </row>
    <row r="73" ht="15.75" customHeight="1">
      <c r="E73" s="45"/>
    </row>
    <row r="74" ht="15.75" customHeight="1">
      <c r="E74" s="45"/>
    </row>
    <row r="75" ht="15.75" customHeight="1">
      <c r="E75" s="45"/>
    </row>
    <row r="76" ht="15.75" customHeight="1">
      <c r="E76" s="45"/>
    </row>
    <row r="77" ht="15.75" customHeight="1">
      <c r="E77" s="45"/>
    </row>
    <row r="78" ht="15.75" customHeight="1">
      <c r="E78" s="45"/>
    </row>
    <row r="79" ht="15.75" customHeight="1">
      <c r="E79" s="45"/>
    </row>
    <row r="80" ht="15.75" customHeight="1">
      <c r="E80" s="45"/>
    </row>
    <row r="81" ht="15.75" customHeight="1">
      <c r="E81" s="45"/>
    </row>
    <row r="82" ht="15.75" customHeight="1">
      <c r="E82" s="45"/>
    </row>
    <row r="83" ht="15.75" customHeight="1">
      <c r="E83" s="45"/>
    </row>
    <row r="84" ht="15.75" customHeight="1">
      <c r="E84" s="45"/>
    </row>
    <row r="85" ht="15.75" customHeight="1">
      <c r="E85" s="45"/>
    </row>
    <row r="86" ht="15.75" customHeight="1">
      <c r="E86" s="45"/>
    </row>
    <row r="87" ht="15.75" customHeight="1">
      <c r="E87" s="45"/>
    </row>
    <row r="88" ht="15.75" customHeight="1">
      <c r="E88" s="45"/>
    </row>
    <row r="89" ht="15.75" customHeight="1">
      <c r="E89" s="45"/>
    </row>
    <row r="90" ht="15.75" customHeight="1">
      <c r="E90" s="45"/>
    </row>
    <row r="91" ht="15.75" customHeight="1">
      <c r="E91" s="45"/>
    </row>
    <row r="92" ht="15.75" customHeight="1">
      <c r="E92" s="45"/>
    </row>
    <row r="93" ht="15.75" customHeight="1">
      <c r="E93" s="45"/>
    </row>
    <row r="94" ht="15.75" customHeight="1">
      <c r="E94" s="45"/>
    </row>
    <row r="95" ht="15.75" customHeight="1">
      <c r="E95" s="45"/>
    </row>
    <row r="96" ht="15.75" customHeight="1">
      <c r="E96" s="45"/>
    </row>
    <row r="97" ht="15.75" customHeight="1">
      <c r="E97" s="45"/>
    </row>
    <row r="98" ht="15.75" customHeight="1">
      <c r="E98" s="45"/>
    </row>
    <row r="99" ht="15.75" customHeight="1">
      <c r="E99" s="45"/>
    </row>
    <row r="100" ht="15.75" customHeight="1">
      <c r="E100" s="45"/>
    </row>
    <row r="101" ht="15.75" customHeight="1">
      <c r="E101" s="45"/>
    </row>
    <row r="102" ht="15.75" customHeight="1">
      <c r="E102" s="45"/>
    </row>
    <row r="103" ht="15.75" customHeight="1">
      <c r="E103" s="45"/>
    </row>
    <row r="104" ht="15.75" customHeight="1">
      <c r="E104" s="45"/>
    </row>
    <row r="105" ht="15.75" customHeight="1">
      <c r="E105" s="45"/>
    </row>
    <row r="106" ht="15.75" customHeight="1">
      <c r="E106" s="45"/>
    </row>
    <row r="107" ht="15.75" customHeight="1">
      <c r="E107" s="45"/>
    </row>
    <row r="108" ht="15.75" customHeight="1">
      <c r="E108" s="45"/>
    </row>
    <row r="109" ht="15.75" customHeight="1">
      <c r="E109" s="45"/>
    </row>
    <row r="110" ht="15.75" customHeight="1">
      <c r="E110" s="45"/>
    </row>
    <row r="111" ht="15.75" customHeight="1">
      <c r="E111" s="45"/>
    </row>
    <row r="112" ht="15.75" customHeight="1">
      <c r="E112" s="45"/>
    </row>
    <row r="113" ht="15.75" customHeight="1">
      <c r="E113" s="45"/>
    </row>
    <row r="114" ht="15.75" customHeight="1">
      <c r="E114" s="45"/>
    </row>
    <row r="115" ht="15.75" customHeight="1">
      <c r="E115" s="45"/>
    </row>
    <row r="116" ht="15.75" customHeight="1">
      <c r="E116" s="45"/>
    </row>
    <row r="117" ht="15.75" customHeight="1">
      <c r="E117" s="45"/>
    </row>
    <row r="118" ht="15.75" customHeight="1">
      <c r="E118" s="45"/>
    </row>
    <row r="119" ht="15.75" customHeight="1">
      <c r="E119" s="45"/>
    </row>
    <row r="120" ht="15.75" customHeight="1">
      <c r="E120" s="45"/>
    </row>
    <row r="121" ht="15.75" customHeight="1">
      <c r="E121" s="45"/>
    </row>
    <row r="122" ht="15.75" customHeight="1">
      <c r="E122" s="45"/>
    </row>
    <row r="123" ht="15.75" customHeight="1">
      <c r="E123" s="45"/>
    </row>
    <row r="124" ht="15.75" customHeight="1">
      <c r="E124" s="45"/>
    </row>
    <row r="125" ht="15.75" customHeight="1">
      <c r="E125" s="45"/>
    </row>
    <row r="126" ht="15.75" customHeight="1">
      <c r="E126" s="45"/>
    </row>
    <row r="127" ht="15.75" customHeight="1">
      <c r="E127" s="45"/>
    </row>
    <row r="128" ht="15.75" customHeight="1">
      <c r="E128" s="45"/>
    </row>
    <row r="129" ht="15.75" customHeight="1">
      <c r="E129" s="45"/>
    </row>
    <row r="130" ht="15.75" customHeight="1">
      <c r="E130" s="45"/>
    </row>
    <row r="131" ht="15.75" customHeight="1">
      <c r="E131" s="45"/>
    </row>
    <row r="132" ht="15.75" customHeight="1">
      <c r="E132" s="45"/>
    </row>
    <row r="133" ht="15.75" customHeight="1">
      <c r="E133" s="45"/>
    </row>
    <row r="134" ht="15.75" customHeight="1">
      <c r="E134" s="45"/>
    </row>
    <row r="135" ht="15.75" customHeight="1">
      <c r="E135" s="45"/>
    </row>
    <row r="136" ht="15.75" customHeight="1">
      <c r="E136" s="45"/>
    </row>
    <row r="137" ht="15.75" customHeight="1">
      <c r="E137" s="45"/>
    </row>
    <row r="138" ht="15.75" customHeight="1">
      <c r="E138" s="45"/>
    </row>
    <row r="139" ht="15.75" customHeight="1">
      <c r="E139" s="45"/>
    </row>
    <row r="140" ht="15.75" customHeight="1">
      <c r="E140" s="45"/>
    </row>
    <row r="141" ht="15.75" customHeight="1">
      <c r="E141" s="45"/>
    </row>
    <row r="142" ht="15.75" customHeight="1">
      <c r="E142" s="45"/>
    </row>
    <row r="143" ht="15.75" customHeight="1">
      <c r="E143" s="45"/>
    </row>
    <row r="144" ht="15.75" customHeight="1">
      <c r="E144" s="45"/>
    </row>
    <row r="145" ht="15.75" customHeight="1">
      <c r="E145" s="45"/>
    </row>
    <row r="146" ht="15.75" customHeight="1">
      <c r="E146" s="45"/>
    </row>
    <row r="147" ht="15.75" customHeight="1">
      <c r="E147" s="45"/>
    </row>
    <row r="148" ht="15.75" customHeight="1">
      <c r="E148" s="45"/>
    </row>
    <row r="149" ht="15.75" customHeight="1">
      <c r="E149" s="45"/>
    </row>
    <row r="150" ht="15.75" customHeight="1">
      <c r="E150" s="45"/>
    </row>
    <row r="151" ht="15.75" customHeight="1">
      <c r="E151" s="45"/>
    </row>
    <row r="152" ht="15.75" customHeight="1">
      <c r="E152" s="45"/>
    </row>
    <row r="153" ht="15.75" customHeight="1">
      <c r="E153" s="45"/>
    </row>
    <row r="154" ht="15.75" customHeight="1">
      <c r="E154" s="45"/>
    </row>
    <row r="155" ht="15.75" customHeight="1">
      <c r="E155" s="45"/>
    </row>
    <row r="156" ht="15.75" customHeight="1">
      <c r="E156" s="45"/>
    </row>
    <row r="157" ht="15.75" customHeight="1">
      <c r="E157" s="45"/>
    </row>
    <row r="158" ht="15.75" customHeight="1">
      <c r="E158" s="45"/>
    </row>
    <row r="159" ht="15.75" customHeight="1">
      <c r="E159" s="45"/>
    </row>
    <row r="160" ht="15.75" customHeight="1">
      <c r="E160" s="45"/>
    </row>
    <row r="161" ht="15.75" customHeight="1">
      <c r="E161" s="45"/>
    </row>
    <row r="162" ht="15.75" customHeight="1">
      <c r="E162" s="45"/>
    </row>
    <row r="163" ht="15.75" customHeight="1">
      <c r="E163" s="45"/>
    </row>
    <row r="164" ht="15.75" customHeight="1">
      <c r="E164" s="45"/>
    </row>
    <row r="165" ht="15.75" customHeight="1">
      <c r="E165" s="45"/>
    </row>
    <row r="166" ht="15.75" customHeight="1">
      <c r="E166" s="45"/>
    </row>
    <row r="167" ht="15.75" customHeight="1">
      <c r="E167" s="45"/>
    </row>
    <row r="168" ht="15.75" customHeight="1">
      <c r="E168" s="45"/>
    </row>
    <row r="169" ht="15.75" customHeight="1">
      <c r="E169" s="45"/>
    </row>
    <row r="170" ht="15.75" customHeight="1">
      <c r="E170" s="45"/>
    </row>
    <row r="171" ht="15.75" customHeight="1">
      <c r="E171" s="45"/>
    </row>
    <row r="172" ht="15.75" customHeight="1">
      <c r="E172" s="45"/>
    </row>
    <row r="173" ht="15.75" customHeight="1">
      <c r="E173" s="45"/>
    </row>
    <row r="174" ht="15.75" customHeight="1">
      <c r="E174" s="45"/>
    </row>
    <row r="175" ht="15.75" customHeight="1">
      <c r="E175" s="45"/>
    </row>
    <row r="176" ht="15.75" customHeight="1">
      <c r="E176" s="45"/>
    </row>
    <row r="177" ht="15.75" customHeight="1">
      <c r="E177" s="45"/>
    </row>
    <row r="178" ht="15.75" customHeight="1">
      <c r="E178" s="45"/>
    </row>
    <row r="179" ht="15.75" customHeight="1">
      <c r="E179" s="45"/>
    </row>
    <row r="180" ht="15.75" customHeight="1">
      <c r="E180" s="45"/>
    </row>
    <row r="181" ht="15.75" customHeight="1">
      <c r="E181" s="45"/>
    </row>
    <row r="182" ht="15.75" customHeight="1">
      <c r="E182" s="45"/>
    </row>
    <row r="183" ht="15.75" customHeight="1">
      <c r="E183" s="45"/>
    </row>
    <row r="184" ht="15.75" customHeight="1">
      <c r="E184" s="45"/>
    </row>
    <row r="185" ht="15.75" customHeight="1">
      <c r="E185" s="45"/>
    </row>
    <row r="186" ht="15.75" customHeight="1">
      <c r="E186" s="45"/>
    </row>
    <row r="187" ht="15.75" customHeight="1">
      <c r="E187" s="45"/>
    </row>
    <row r="188" ht="15.75" customHeight="1">
      <c r="E188" s="45"/>
    </row>
    <row r="189" ht="15.75" customHeight="1">
      <c r="E189" s="45"/>
    </row>
    <row r="190" ht="15.75" customHeight="1">
      <c r="E190" s="45"/>
    </row>
    <row r="191" ht="15.75" customHeight="1">
      <c r="E191" s="45"/>
    </row>
    <row r="192" ht="15.75" customHeight="1">
      <c r="E192" s="45"/>
    </row>
    <row r="193" ht="15.75" customHeight="1">
      <c r="E193" s="45"/>
    </row>
    <row r="194" ht="15.75" customHeight="1">
      <c r="E194" s="45"/>
    </row>
    <row r="195" ht="15.75" customHeight="1">
      <c r="E195" s="45"/>
    </row>
    <row r="196" ht="15.75" customHeight="1">
      <c r="E196" s="45"/>
    </row>
    <row r="197" ht="15.75" customHeight="1">
      <c r="E197" s="45"/>
    </row>
    <row r="198" ht="15.75" customHeight="1">
      <c r="E198" s="45"/>
    </row>
    <row r="199" ht="15.75" customHeight="1">
      <c r="E199" s="45"/>
    </row>
    <row r="200" ht="15.75" customHeight="1">
      <c r="E200" s="45"/>
    </row>
    <row r="201" ht="15.75" customHeight="1">
      <c r="E201" s="45"/>
    </row>
    <row r="202" ht="15.75" customHeight="1">
      <c r="E202" s="45"/>
    </row>
    <row r="203" ht="15.75" customHeight="1">
      <c r="E203" s="45"/>
    </row>
    <row r="204" ht="15.75" customHeight="1">
      <c r="E204" s="45"/>
    </row>
    <row r="205" ht="15.75" customHeight="1">
      <c r="E205" s="45"/>
    </row>
    <row r="206" ht="15.75" customHeight="1">
      <c r="E206" s="45"/>
    </row>
    <row r="207" ht="15.75" customHeight="1">
      <c r="E207" s="45"/>
    </row>
    <row r="208" ht="15.75" customHeight="1">
      <c r="E208" s="45"/>
    </row>
    <row r="209" ht="15.75" customHeight="1">
      <c r="E209" s="45"/>
    </row>
    <row r="210" ht="15.75" customHeight="1">
      <c r="E210" s="45"/>
    </row>
    <row r="211" ht="15.75" customHeight="1">
      <c r="E211" s="45"/>
    </row>
    <row r="212" ht="15.75" customHeight="1">
      <c r="E212" s="45"/>
    </row>
    <row r="213" ht="15.75" customHeight="1">
      <c r="E213" s="45"/>
    </row>
    <row r="214" ht="15.75" customHeight="1">
      <c r="E214" s="45"/>
    </row>
    <row r="215" ht="15.75" customHeight="1">
      <c r="E215" s="45"/>
    </row>
    <row r="216" ht="15.75" customHeight="1">
      <c r="E216" s="45"/>
    </row>
    <row r="217" ht="15.75" customHeight="1">
      <c r="E217" s="45"/>
    </row>
    <row r="218" ht="15.75" customHeight="1">
      <c r="E218" s="45"/>
    </row>
    <row r="219" ht="15.75" customHeight="1">
      <c r="E219" s="45"/>
    </row>
    <row r="220" ht="15.75" customHeight="1">
      <c r="E220" s="45"/>
    </row>
    <row r="221" ht="15.75" customHeight="1">
      <c r="E221" s="45"/>
    </row>
    <row r="222" ht="15.75" customHeight="1">
      <c r="E222" s="45"/>
    </row>
    <row r="223" ht="15.75" customHeight="1">
      <c r="E223" s="45"/>
    </row>
    <row r="224" ht="15.75" customHeight="1">
      <c r="E224" s="45"/>
    </row>
    <row r="225" ht="15.75" customHeight="1">
      <c r="E225" s="45"/>
    </row>
    <row r="226" ht="15.75" customHeight="1">
      <c r="E226" s="45"/>
    </row>
    <row r="227" ht="15.75" customHeight="1">
      <c r="E227" s="45"/>
    </row>
    <row r="228" ht="15.75" customHeight="1">
      <c r="E228" s="45"/>
    </row>
    <row r="229" ht="15.75" customHeight="1">
      <c r="E229" s="45"/>
    </row>
    <row r="230" ht="15.75" customHeight="1">
      <c r="E230" s="45"/>
    </row>
    <row r="231" ht="15.75" customHeight="1">
      <c r="E231" s="45"/>
    </row>
    <row r="232" ht="15.75" customHeight="1">
      <c r="E232" s="45"/>
    </row>
    <row r="233" ht="15.75" customHeight="1">
      <c r="E233" s="45"/>
    </row>
    <row r="234" ht="15.75" customHeight="1">
      <c r="E234" s="45"/>
    </row>
    <row r="235" ht="15.75" customHeight="1">
      <c r="E235" s="45"/>
    </row>
    <row r="236" ht="15.75" customHeight="1">
      <c r="E236" s="45"/>
    </row>
    <row r="237" ht="15.75" customHeight="1">
      <c r="E237" s="45"/>
    </row>
    <row r="238" ht="15.75" customHeight="1">
      <c r="E238" s="45"/>
    </row>
    <row r="239" ht="15.75" customHeight="1">
      <c r="E239" s="45"/>
    </row>
    <row r="240" ht="15.75" customHeight="1">
      <c r="E240" s="45"/>
    </row>
    <row r="241" ht="15.75" customHeight="1">
      <c r="E241" s="45"/>
    </row>
    <row r="242" ht="15.75" customHeight="1">
      <c r="E242" s="45"/>
    </row>
    <row r="243" ht="15.75" customHeight="1">
      <c r="E243" s="45"/>
    </row>
    <row r="244" ht="15.75" customHeight="1">
      <c r="E244" s="45"/>
    </row>
    <row r="245" ht="15.75" customHeight="1">
      <c r="E245" s="45"/>
    </row>
    <row r="246" ht="15.75" customHeight="1">
      <c r="E246" s="45"/>
    </row>
    <row r="247" ht="15.75" customHeight="1">
      <c r="E247" s="45"/>
    </row>
    <row r="248" ht="15.75" customHeight="1">
      <c r="E248" s="45"/>
    </row>
    <row r="249" ht="15.75" customHeight="1">
      <c r="E249" s="45"/>
    </row>
    <row r="250" ht="15.75" customHeight="1">
      <c r="E250" s="45"/>
    </row>
    <row r="251" ht="15.75" customHeight="1">
      <c r="E251" s="45"/>
    </row>
    <row r="252" ht="15.75" customHeight="1">
      <c r="E252" s="45"/>
    </row>
    <row r="253" ht="15.75" customHeight="1">
      <c r="E253" s="45"/>
    </row>
    <row r="254" ht="15.75" customHeight="1">
      <c r="E254" s="45"/>
    </row>
    <row r="255" ht="15.75" customHeight="1">
      <c r="E255" s="45"/>
    </row>
    <row r="256" ht="15.75" customHeight="1">
      <c r="E256" s="45"/>
    </row>
    <row r="257" ht="15.75" customHeight="1">
      <c r="E257" s="45"/>
    </row>
    <row r="258" ht="15.75" customHeight="1">
      <c r="E258" s="45"/>
    </row>
    <row r="259" ht="15.75" customHeight="1">
      <c r="E259" s="45"/>
    </row>
    <row r="260" ht="15.75" customHeight="1">
      <c r="E260" s="45"/>
    </row>
    <row r="261" ht="15.75" customHeight="1">
      <c r="E261" s="45"/>
    </row>
    <row r="262" ht="15.75" customHeight="1">
      <c r="E262" s="45"/>
    </row>
    <row r="263" ht="15.75" customHeight="1">
      <c r="E263" s="45"/>
    </row>
    <row r="264" ht="15.75" customHeight="1">
      <c r="E264" s="45"/>
    </row>
    <row r="265" ht="15.75" customHeight="1">
      <c r="E265" s="45"/>
    </row>
    <row r="266" ht="15.75" customHeight="1">
      <c r="E266" s="45"/>
    </row>
    <row r="267" ht="15.75" customHeight="1">
      <c r="E267" s="45"/>
    </row>
    <row r="268" ht="15.75" customHeight="1">
      <c r="E268" s="45"/>
    </row>
    <row r="269" ht="15.75" customHeight="1">
      <c r="E269" s="45"/>
    </row>
    <row r="270" ht="15.75" customHeight="1">
      <c r="E270" s="45"/>
    </row>
    <row r="271" ht="15.75" customHeight="1">
      <c r="E271" s="45"/>
    </row>
    <row r="272" ht="15.75" customHeight="1">
      <c r="E272" s="45"/>
    </row>
    <row r="273" ht="15.75" customHeight="1">
      <c r="E273" s="45"/>
    </row>
    <row r="274" ht="15.75" customHeight="1">
      <c r="E274" s="45"/>
    </row>
    <row r="275" ht="15.75" customHeight="1">
      <c r="E275" s="45"/>
    </row>
    <row r="276" ht="15.75" customHeight="1">
      <c r="E276" s="45"/>
    </row>
    <row r="277" ht="15.75" customHeight="1">
      <c r="E277" s="45"/>
    </row>
    <row r="278" ht="15.75" customHeight="1">
      <c r="E278" s="45"/>
    </row>
    <row r="279" ht="15.75" customHeight="1">
      <c r="E279" s="45"/>
    </row>
    <row r="280" ht="15.75" customHeight="1">
      <c r="E280" s="45"/>
    </row>
    <row r="281" ht="15.75" customHeight="1">
      <c r="E281" s="45"/>
    </row>
    <row r="282" ht="15.75" customHeight="1">
      <c r="E282" s="45"/>
    </row>
    <row r="283" ht="15.75" customHeight="1">
      <c r="E283" s="45"/>
    </row>
    <row r="284" ht="15.75" customHeight="1">
      <c r="E284" s="45"/>
    </row>
    <row r="285" ht="15.75" customHeight="1">
      <c r="E285" s="45"/>
    </row>
    <row r="286" ht="15.75" customHeight="1">
      <c r="E286" s="45"/>
    </row>
    <row r="287" ht="15.75" customHeight="1">
      <c r="E287" s="45"/>
    </row>
    <row r="288" ht="15.75" customHeight="1">
      <c r="E288" s="45"/>
    </row>
    <row r="289" ht="15.75" customHeight="1">
      <c r="E289" s="45"/>
    </row>
    <row r="290" ht="15.75" customHeight="1">
      <c r="E290" s="45"/>
    </row>
    <row r="291" ht="15.75" customHeight="1">
      <c r="E291" s="45"/>
    </row>
    <row r="292" ht="15.75" customHeight="1">
      <c r="E292" s="45"/>
    </row>
    <row r="293" ht="15.75" customHeight="1">
      <c r="E293" s="45"/>
    </row>
    <row r="294" ht="15.75" customHeight="1">
      <c r="E294" s="45"/>
    </row>
    <row r="295" ht="15.75" customHeight="1">
      <c r="E295" s="45"/>
    </row>
    <row r="296" ht="15.75" customHeight="1">
      <c r="E296" s="45"/>
    </row>
    <row r="297" ht="15.75" customHeight="1">
      <c r="E297" s="45"/>
    </row>
    <row r="298" ht="15.75" customHeight="1">
      <c r="E298" s="45"/>
    </row>
    <row r="299" ht="15.75" customHeight="1">
      <c r="E299" s="45"/>
    </row>
    <row r="300" ht="15.75" customHeight="1">
      <c r="E300" s="45"/>
    </row>
    <row r="301" ht="15.75" customHeight="1">
      <c r="E301" s="45"/>
    </row>
    <row r="302" ht="15.75" customHeight="1">
      <c r="E302" s="45"/>
    </row>
    <row r="303" ht="15.75" customHeight="1">
      <c r="E303" s="45"/>
    </row>
    <row r="304" ht="15.75" customHeight="1">
      <c r="E304" s="45"/>
    </row>
    <row r="305" ht="15.75" customHeight="1">
      <c r="E305" s="45"/>
    </row>
    <row r="306" ht="15.75" customHeight="1">
      <c r="E306" s="45"/>
    </row>
    <row r="307" ht="15.75" customHeight="1">
      <c r="E307" s="45"/>
    </row>
    <row r="308" ht="15.75" customHeight="1">
      <c r="E308" s="45"/>
    </row>
    <row r="309" ht="15.75" customHeight="1">
      <c r="E309" s="45"/>
    </row>
    <row r="310" ht="15.75" customHeight="1">
      <c r="E310" s="45"/>
    </row>
    <row r="311" ht="15.75" customHeight="1">
      <c r="E311" s="45"/>
    </row>
    <row r="312" ht="15.75" customHeight="1">
      <c r="E312" s="45"/>
    </row>
    <row r="313" ht="15.75" customHeight="1">
      <c r="E313" s="45"/>
    </row>
    <row r="314" ht="15.75" customHeight="1">
      <c r="E314" s="45"/>
    </row>
    <row r="315" ht="15.75" customHeight="1">
      <c r="E315" s="45"/>
    </row>
    <row r="316" ht="15.75" customHeight="1">
      <c r="E316" s="45"/>
    </row>
    <row r="317" ht="15.75" customHeight="1">
      <c r="E317" s="45"/>
    </row>
    <row r="318" ht="15.75" customHeight="1">
      <c r="E318" s="45"/>
    </row>
    <row r="319" ht="15.75" customHeight="1">
      <c r="E319" s="45"/>
    </row>
    <row r="320" ht="15.75" customHeight="1">
      <c r="E320" s="45"/>
    </row>
    <row r="321" ht="15.75" customHeight="1">
      <c r="E321" s="45"/>
    </row>
    <row r="322" ht="15.75" customHeight="1">
      <c r="E322" s="45"/>
    </row>
    <row r="323" ht="15.75" customHeight="1">
      <c r="E323" s="45"/>
    </row>
    <row r="324" ht="15.75" customHeight="1">
      <c r="E324" s="45"/>
    </row>
    <row r="325" ht="15.75" customHeight="1">
      <c r="E325" s="45"/>
    </row>
    <row r="326" ht="15.75" customHeight="1">
      <c r="E326" s="45"/>
    </row>
    <row r="327" ht="15.75" customHeight="1">
      <c r="E327" s="45"/>
    </row>
    <row r="328" ht="15.75" customHeight="1">
      <c r="E328" s="45"/>
    </row>
    <row r="329" ht="15.75" customHeight="1">
      <c r="E329" s="45"/>
    </row>
    <row r="330" ht="15.75" customHeight="1">
      <c r="E330" s="45"/>
    </row>
    <row r="331" ht="15.75" customHeight="1">
      <c r="E331" s="45"/>
    </row>
    <row r="332" ht="15.75" customHeight="1">
      <c r="E332" s="45"/>
    </row>
    <row r="333" ht="15.75" customHeight="1">
      <c r="E333" s="45"/>
    </row>
    <row r="334" ht="15.75" customHeight="1">
      <c r="E334" s="45"/>
    </row>
    <row r="335" ht="15.75" customHeight="1">
      <c r="E335" s="45"/>
    </row>
    <row r="336" ht="15.75" customHeight="1">
      <c r="E336" s="45"/>
    </row>
    <row r="337" ht="15.75" customHeight="1">
      <c r="E337" s="45"/>
    </row>
    <row r="338" ht="15.75" customHeight="1">
      <c r="E338" s="45"/>
    </row>
    <row r="339" ht="15.75" customHeight="1">
      <c r="E339" s="45"/>
    </row>
    <row r="340" ht="15.75" customHeight="1">
      <c r="E340" s="45"/>
    </row>
    <row r="341" ht="15.75" customHeight="1">
      <c r="E341" s="45"/>
    </row>
    <row r="342" ht="15.75" customHeight="1">
      <c r="E342" s="45"/>
    </row>
    <row r="343" ht="15.75" customHeight="1">
      <c r="E343" s="45"/>
    </row>
    <row r="344" ht="15.75" customHeight="1">
      <c r="E344" s="45"/>
    </row>
    <row r="345" ht="15.75" customHeight="1">
      <c r="E345" s="45"/>
    </row>
    <row r="346" ht="15.75" customHeight="1">
      <c r="E346" s="45"/>
    </row>
    <row r="347" ht="15.75" customHeight="1">
      <c r="E347" s="45"/>
    </row>
    <row r="348" ht="15.75" customHeight="1">
      <c r="E348" s="45"/>
    </row>
    <row r="349" ht="15.75" customHeight="1">
      <c r="E349" s="45"/>
    </row>
    <row r="350" ht="15.75" customHeight="1">
      <c r="E350" s="45"/>
    </row>
    <row r="351" ht="15.75" customHeight="1">
      <c r="E351" s="45"/>
    </row>
    <row r="352" ht="15.75" customHeight="1">
      <c r="E352" s="45"/>
    </row>
    <row r="353" ht="15.75" customHeight="1">
      <c r="E353" s="45"/>
    </row>
    <row r="354" ht="15.75" customHeight="1">
      <c r="E354" s="45"/>
    </row>
    <row r="355" ht="15.75" customHeight="1">
      <c r="E355" s="45"/>
    </row>
    <row r="356" ht="15.75" customHeight="1">
      <c r="E356" s="45"/>
    </row>
    <row r="357" ht="15.75" customHeight="1">
      <c r="E357" s="45"/>
    </row>
    <row r="358" ht="15.75" customHeight="1">
      <c r="E358" s="45"/>
    </row>
    <row r="359" ht="15.75" customHeight="1">
      <c r="E359" s="45"/>
    </row>
    <row r="360" ht="15.75" customHeight="1">
      <c r="E360" s="45"/>
    </row>
    <row r="361" ht="15.75" customHeight="1">
      <c r="E361" s="45"/>
    </row>
    <row r="362" ht="15.75" customHeight="1">
      <c r="E362" s="45"/>
    </row>
    <row r="363" ht="15.75" customHeight="1">
      <c r="E363" s="45"/>
    </row>
    <row r="364" ht="15.75" customHeight="1">
      <c r="E364" s="45"/>
    </row>
    <row r="365" ht="15.75" customHeight="1">
      <c r="E365" s="45"/>
    </row>
    <row r="366" ht="15.75" customHeight="1">
      <c r="E366" s="45"/>
    </row>
    <row r="367" ht="15.75" customHeight="1">
      <c r="E367" s="45"/>
    </row>
    <row r="368" ht="15.75" customHeight="1">
      <c r="E368" s="45"/>
    </row>
    <row r="369" ht="15.75" customHeight="1">
      <c r="E369" s="45"/>
    </row>
    <row r="370" ht="15.75" customHeight="1">
      <c r="E370" s="45"/>
    </row>
    <row r="371" ht="15.75" customHeight="1">
      <c r="E371" s="45"/>
    </row>
    <row r="372" ht="15.75" customHeight="1">
      <c r="E372" s="45"/>
    </row>
    <row r="373" ht="15.75" customHeight="1">
      <c r="E373" s="45"/>
    </row>
    <row r="374" ht="15.75" customHeight="1">
      <c r="E374" s="45"/>
    </row>
    <row r="375" ht="15.75" customHeight="1">
      <c r="E375" s="45"/>
    </row>
    <row r="376" ht="15.75" customHeight="1">
      <c r="E376" s="45"/>
    </row>
    <row r="377" ht="15.75" customHeight="1">
      <c r="E377" s="45"/>
    </row>
    <row r="378" ht="15.75" customHeight="1">
      <c r="E378" s="45"/>
    </row>
    <row r="379" ht="15.75" customHeight="1">
      <c r="E379" s="45"/>
    </row>
    <row r="380" ht="15.75" customHeight="1">
      <c r="E380" s="45"/>
    </row>
    <row r="381" ht="15.75" customHeight="1">
      <c r="E381" s="45"/>
    </row>
    <row r="382" ht="15.75" customHeight="1">
      <c r="E382" s="45"/>
    </row>
    <row r="383" ht="15.75" customHeight="1">
      <c r="E383" s="45"/>
    </row>
    <row r="384" ht="15.75" customHeight="1">
      <c r="E384" s="45"/>
    </row>
    <row r="385" ht="15.75" customHeight="1">
      <c r="E385" s="45"/>
    </row>
    <row r="386" ht="15.75" customHeight="1">
      <c r="E386" s="45"/>
    </row>
    <row r="387" ht="15.75" customHeight="1">
      <c r="E387" s="45"/>
    </row>
    <row r="388" ht="15.75" customHeight="1">
      <c r="E388" s="45"/>
    </row>
    <row r="389" ht="15.75" customHeight="1">
      <c r="E389" s="45"/>
    </row>
    <row r="390" ht="15.75" customHeight="1">
      <c r="E390" s="45"/>
    </row>
    <row r="391" ht="15.75" customHeight="1">
      <c r="E391" s="45"/>
    </row>
    <row r="392" ht="15.75" customHeight="1">
      <c r="E392" s="45"/>
    </row>
    <row r="393" ht="15.75" customHeight="1">
      <c r="E393" s="45"/>
    </row>
    <row r="394" ht="15.75" customHeight="1">
      <c r="E394" s="45"/>
    </row>
    <row r="395" ht="15.75" customHeight="1">
      <c r="E395" s="45"/>
    </row>
    <row r="396" ht="15.75" customHeight="1">
      <c r="E396" s="45"/>
    </row>
    <row r="397" ht="15.75" customHeight="1">
      <c r="E397" s="45"/>
    </row>
    <row r="398" ht="15.75" customHeight="1">
      <c r="E398" s="45"/>
    </row>
    <row r="399" ht="15.75" customHeight="1">
      <c r="E399" s="45"/>
    </row>
    <row r="400" ht="15.75" customHeight="1">
      <c r="E400" s="45"/>
    </row>
    <row r="401" ht="15.75" customHeight="1">
      <c r="E401" s="45"/>
    </row>
    <row r="402" ht="15.75" customHeight="1">
      <c r="E402" s="45"/>
    </row>
    <row r="403" ht="15.75" customHeight="1">
      <c r="E403" s="45"/>
    </row>
    <row r="404" ht="15.75" customHeight="1">
      <c r="E404" s="45"/>
    </row>
    <row r="405" ht="15.75" customHeight="1">
      <c r="E405" s="45"/>
    </row>
    <row r="406" ht="15.75" customHeight="1">
      <c r="E406" s="45"/>
    </row>
    <row r="407" ht="15.75" customHeight="1">
      <c r="E407" s="45"/>
    </row>
    <row r="408" ht="15.75" customHeight="1">
      <c r="E408" s="45"/>
    </row>
    <row r="409" ht="15.75" customHeight="1">
      <c r="E409" s="45"/>
    </row>
    <row r="410" ht="15.75" customHeight="1">
      <c r="E410" s="45"/>
    </row>
    <row r="411" ht="15.75" customHeight="1">
      <c r="E411" s="45"/>
    </row>
    <row r="412" ht="15.75" customHeight="1">
      <c r="E412" s="45"/>
    </row>
    <row r="413" ht="15.75" customHeight="1">
      <c r="E413" s="45"/>
    </row>
    <row r="414" ht="15.75" customHeight="1">
      <c r="E414" s="45"/>
    </row>
    <row r="415" ht="15.75" customHeight="1">
      <c r="E415" s="45"/>
    </row>
    <row r="416" ht="15.75" customHeight="1">
      <c r="E416" s="45"/>
    </row>
    <row r="417" ht="15.75" customHeight="1">
      <c r="E417" s="45"/>
    </row>
    <row r="418" ht="15.75" customHeight="1">
      <c r="E418" s="45"/>
    </row>
    <row r="419" ht="15.75" customHeight="1">
      <c r="E419" s="45"/>
    </row>
    <row r="420" ht="15.75" customHeight="1">
      <c r="E420" s="45"/>
    </row>
    <row r="421" ht="15.75" customHeight="1">
      <c r="E421" s="45"/>
    </row>
    <row r="422" ht="15.75" customHeight="1">
      <c r="E422" s="45"/>
    </row>
    <row r="423" ht="15.75" customHeight="1">
      <c r="E423" s="45"/>
    </row>
    <row r="424" ht="15.75" customHeight="1">
      <c r="E424" s="45"/>
    </row>
    <row r="425" ht="15.75" customHeight="1">
      <c r="E425" s="45"/>
    </row>
    <row r="426" ht="15.75" customHeight="1">
      <c r="E426" s="45"/>
    </row>
    <row r="427" ht="15.75" customHeight="1">
      <c r="E427" s="45"/>
    </row>
    <row r="428" ht="15.75" customHeight="1">
      <c r="E428" s="45"/>
    </row>
    <row r="429" ht="15.75" customHeight="1">
      <c r="E429" s="45"/>
    </row>
    <row r="430" ht="15.75" customHeight="1">
      <c r="E430" s="45"/>
    </row>
    <row r="431" ht="15.75" customHeight="1">
      <c r="E431" s="45"/>
    </row>
    <row r="432" ht="15.75" customHeight="1">
      <c r="E432" s="45"/>
    </row>
    <row r="433" ht="15.75" customHeight="1">
      <c r="E433" s="45"/>
    </row>
    <row r="434" ht="15.75" customHeight="1">
      <c r="E434" s="45"/>
    </row>
    <row r="435" ht="15.75" customHeight="1">
      <c r="E435" s="45"/>
    </row>
    <row r="436" ht="15.75" customHeight="1">
      <c r="E436" s="45"/>
    </row>
    <row r="437" ht="15.75" customHeight="1">
      <c r="E437" s="45"/>
    </row>
    <row r="438" ht="15.75" customHeight="1">
      <c r="E438" s="45"/>
    </row>
    <row r="439" ht="15.75" customHeight="1">
      <c r="E439" s="45"/>
    </row>
    <row r="440" ht="15.75" customHeight="1">
      <c r="E440" s="45"/>
    </row>
    <row r="441" ht="15.75" customHeight="1">
      <c r="E441" s="45"/>
    </row>
    <row r="442" ht="15.75" customHeight="1">
      <c r="E442" s="45"/>
    </row>
    <row r="443" ht="15.75" customHeight="1">
      <c r="E443" s="45"/>
    </row>
    <row r="444" ht="15.75" customHeight="1">
      <c r="E444" s="45"/>
    </row>
    <row r="445" ht="15.75" customHeight="1">
      <c r="E445" s="45"/>
    </row>
    <row r="446" ht="15.75" customHeight="1">
      <c r="E446" s="45"/>
    </row>
    <row r="447" ht="15.75" customHeight="1">
      <c r="E447" s="45"/>
    </row>
    <row r="448" ht="15.75" customHeight="1">
      <c r="E448" s="45"/>
    </row>
    <row r="449" ht="15.75" customHeight="1">
      <c r="E449" s="45"/>
    </row>
    <row r="450" ht="15.75" customHeight="1">
      <c r="E450" s="45"/>
    </row>
    <row r="451" ht="15.75" customHeight="1">
      <c r="E451" s="45"/>
    </row>
    <row r="452" ht="15.75" customHeight="1">
      <c r="E452" s="45"/>
    </row>
    <row r="453" ht="15.75" customHeight="1">
      <c r="E453" s="45"/>
    </row>
    <row r="454" ht="15.75" customHeight="1">
      <c r="E454" s="45"/>
    </row>
    <row r="455" ht="15.75" customHeight="1">
      <c r="E455" s="45"/>
    </row>
    <row r="456" ht="15.75" customHeight="1">
      <c r="E456" s="45"/>
    </row>
    <row r="457" ht="15.75" customHeight="1">
      <c r="E457" s="45"/>
    </row>
    <row r="458" ht="15.75" customHeight="1">
      <c r="E458" s="45"/>
    </row>
    <row r="459" ht="15.75" customHeight="1">
      <c r="E459" s="45"/>
    </row>
    <row r="460" ht="15.75" customHeight="1">
      <c r="E460" s="45"/>
    </row>
    <row r="461" ht="15.75" customHeight="1">
      <c r="E461" s="45"/>
    </row>
    <row r="462" ht="15.75" customHeight="1">
      <c r="E462" s="45"/>
    </row>
    <row r="463" ht="15.75" customHeight="1">
      <c r="E463" s="45"/>
    </row>
    <row r="464" ht="15.75" customHeight="1">
      <c r="E464" s="45"/>
    </row>
    <row r="465" ht="15.75" customHeight="1">
      <c r="E465" s="45"/>
    </row>
    <row r="466" ht="15.75" customHeight="1">
      <c r="E466" s="45"/>
    </row>
    <row r="467" ht="15.75" customHeight="1">
      <c r="E467" s="45"/>
    </row>
    <row r="468" ht="15.75" customHeight="1">
      <c r="E468" s="45"/>
    </row>
    <row r="469" ht="15.75" customHeight="1">
      <c r="E469" s="45"/>
    </row>
    <row r="470" ht="15.75" customHeight="1">
      <c r="E470" s="45"/>
    </row>
    <row r="471" ht="15.75" customHeight="1">
      <c r="E471" s="45"/>
    </row>
    <row r="472" ht="15.75" customHeight="1">
      <c r="E472" s="45"/>
    </row>
    <row r="473" ht="15.75" customHeight="1">
      <c r="E473" s="45"/>
    </row>
    <row r="474" ht="15.75" customHeight="1">
      <c r="E474" s="45"/>
    </row>
    <row r="475" ht="15.75" customHeight="1">
      <c r="E475" s="45"/>
    </row>
    <row r="476" ht="15.75" customHeight="1">
      <c r="E476" s="45"/>
    </row>
    <row r="477" ht="15.75" customHeight="1">
      <c r="E477" s="45"/>
    </row>
    <row r="478" ht="15.75" customHeight="1">
      <c r="E478" s="45"/>
    </row>
    <row r="479" ht="15.75" customHeight="1">
      <c r="E479" s="45"/>
    </row>
    <row r="480" ht="15.75" customHeight="1">
      <c r="E480" s="45"/>
    </row>
    <row r="481" ht="15.75" customHeight="1">
      <c r="E481" s="45"/>
    </row>
    <row r="482" ht="15.75" customHeight="1">
      <c r="E482" s="45"/>
    </row>
    <row r="483" ht="15.75" customHeight="1">
      <c r="E483" s="45"/>
    </row>
    <row r="484" ht="15.75" customHeight="1">
      <c r="E484" s="45"/>
    </row>
    <row r="485" ht="15.75" customHeight="1">
      <c r="E485" s="45"/>
    </row>
    <row r="486" ht="15.75" customHeight="1">
      <c r="E486" s="45"/>
    </row>
    <row r="487" ht="15.75" customHeight="1">
      <c r="E487" s="45"/>
    </row>
    <row r="488" ht="15.75" customHeight="1">
      <c r="E488" s="45"/>
    </row>
    <row r="489" ht="15.75" customHeight="1">
      <c r="E489" s="45"/>
    </row>
    <row r="490" ht="15.75" customHeight="1">
      <c r="E490" s="45"/>
    </row>
    <row r="491" ht="15.75" customHeight="1">
      <c r="E491" s="45"/>
    </row>
    <row r="492" ht="15.75" customHeight="1">
      <c r="E492" s="45"/>
    </row>
    <row r="493" ht="15.75" customHeight="1">
      <c r="E493" s="45"/>
    </row>
    <row r="494" ht="15.75" customHeight="1">
      <c r="E494" s="45"/>
    </row>
    <row r="495" ht="15.75" customHeight="1">
      <c r="E495" s="45"/>
    </row>
    <row r="496" ht="15.75" customHeight="1">
      <c r="E496" s="45"/>
    </row>
    <row r="497" ht="15.75" customHeight="1">
      <c r="E497" s="45"/>
    </row>
    <row r="498" ht="15.75" customHeight="1">
      <c r="E498" s="45"/>
    </row>
    <row r="499" ht="15.75" customHeight="1">
      <c r="E499" s="45"/>
    </row>
    <row r="500" ht="15.75" customHeight="1">
      <c r="E500" s="45"/>
    </row>
    <row r="501" ht="15.75" customHeight="1">
      <c r="E501" s="45"/>
    </row>
    <row r="502" ht="15.75" customHeight="1">
      <c r="E502" s="45"/>
    </row>
    <row r="503" ht="15.75" customHeight="1">
      <c r="E503" s="45"/>
    </row>
    <row r="504" ht="15.75" customHeight="1">
      <c r="E504" s="45"/>
    </row>
    <row r="505" ht="15.75" customHeight="1">
      <c r="E505" s="45"/>
    </row>
    <row r="506" ht="15.75" customHeight="1">
      <c r="E506" s="45"/>
    </row>
    <row r="507" ht="15.75" customHeight="1">
      <c r="E507" s="45"/>
    </row>
    <row r="508" ht="15.75" customHeight="1">
      <c r="E508" s="45"/>
    </row>
    <row r="509" ht="15.75" customHeight="1">
      <c r="E509" s="45"/>
    </row>
    <row r="510" ht="15.75" customHeight="1">
      <c r="E510" s="45"/>
    </row>
    <row r="511" ht="15.75" customHeight="1">
      <c r="E511" s="45"/>
    </row>
    <row r="512" ht="15.75" customHeight="1">
      <c r="E512" s="45"/>
    </row>
    <row r="513" ht="15.75" customHeight="1">
      <c r="E513" s="45"/>
    </row>
    <row r="514" ht="15.75" customHeight="1">
      <c r="E514" s="45"/>
    </row>
    <row r="515" ht="15.75" customHeight="1">
      <c r="E515" s="45"/>
    </row>
    <row r="516" ht="15.75" customHeight="1">
      <c r="E516" s="45"/>
    </row>
    <row r="517" ht="15.75" customHeight="1">
      <c r="E517" s="45"/>
    </row>
    <row r="518" ht="15.75" customHeight="1">
      <c r="E518" s="45"/>
    </row>
    <row r="519" ht="15.75" customHeight="1">
      <c r="E519" s="45"/>
    </row>
    <row r="520" ht="15.75" customHeight="1">
      <c r="E520" s="45"/>
    </row>
    <row r="521" ht="15.75" customHeight="1">
      <c r="E521" s="45"/>
    </row>
    <row r="522" ht="15.75" customHeight="1">
      <c r="E522" s="45"/>
    </row>
    <row r="523" ht="15.75" customHeight="1">
      <c r="E523" s="45"/>
    </row>
    <row r="524" ht="15.75" customHeight="1">
      <c r="E524" s="45"/>
    </row>
    <row r="525" ht="15.75" customHeight="1">
      <c r="E525" s="45"/>
    </row>
    <row r="526" ht="15.75" customHeight="1">
      <c r="E526" s="45"/>
    </row>
    <row r="527" ht="15.75" customHeight="1">
      <c r="E527" s="45"/>
    </row>
    <row r="528" ht="15.75" customHeight="1">
      <c r="E528" s="45"/>
    </row>
    <row r="529" ht="15.75" customHeight="1">
      <c r="E529" s="45"/>
    </row>
    <row r="530" ht="15.75" customHeight="1">
      <c r="E530" s="45"/>
    </row>
    <row r="531" ht="15.75" customHeight="1">
      <c r="E531" s="45"/>
    </row>
    <row r="532" ht="15.75" customHeight="1">
      <c r="E532" s="45"/>
    </row>
    <row r="533" ht="15.75" customHeight="1">
      <c r="E533" s="45"/>
    </row>
    <row r="534" ht="15.75" customHeight="1">
      <c r="E534" s="45"/>
    </row>
    <row r="535" ht="15.75" customHeight="1">
      <c r="E535" s="45"/>
    </row>
    <row r="536" ht="15.75" customHeight="1">
      <c r="E536" s="45"/>
    </row>
    <row r="537" ht="15.75" customHeight="1">
      <c r="E537" s="45"/>
    </row>
    <row r="538" ht="15.75" customHeight="1">
      <c r="E538" s="45"/>
    </row>
    <row r="539" ht="15.75" customHeight="1">
      <c r="E539" s="45"/>
    </row>
    <row r="540" ht="15.75" customHeight="1">
      <c r="E540" s="45"/>
    </row>
    <row r="541" ht="15.75" customHeight="1">
      <c r="E541" s="45"/>
    </row>
    <row r="542" ht="15.75" customHeight="1">
      <c r="E542" s="45"/>
    </row>
    <row r="543" ht="15.75" customHeight="1">
      <c r="E543" s="45"/>
    </row>
    <row r="544" ht="15.75" customHeight="1">
      <c r="E544" s="45"/>
    </row>
    <row r="545" ht="15.75" customHeight="1">
      <c r="E545" s="45"/>
    </row>
    <row r="546" ht="15.75" customHeight="1">
      <c r="E546" s="45"/>
    </row>
    <row r="547" ht="15.75" customHeight="1">
      <c r="E547" s="45"/>
    </row>
    <row r="548" ht="15.75" customHeight="1">
      <c r="E548" s="45"/>
    </row>
    <row r="549" ht="15.75" customHeight="1">
      <c r="E549" s="45"/>
    </row>
    <row r="550" ht="15.75" customHeight="1">
      <c r="E550" s="45"/>
    </row>
    <row r="551" ht="15.75" customHeight="1">
      <c r="E551" s="45"/>
    </row>
    <row r="552" ht="15.75" customHeight="1">
      <c r="E552" s="45"/>
    </row>
    <row r="553" ht="15.75" customHeight="1">
      <c r="E553" s="45"/>
    </row>
    <row r="554" ht="15.75" customHeight="1">
      <c r="E554" s="45"/>
    </row>
    <row r="555" ht="15.75" customHeight="1">
      <c r="E555" s="45"/>
    </row>
    <row r="556" ht="15.75" customHeight="1">
      <c r="E556" s="45"/>
    </row>
    <row r="557" ht="15.75" customHeight="1">
      <c r="E557" s="45"/>
    </row>
    <row r="558" ht="15.75" customHeight="1">
      <c r="E558" s="45"/>
    </row>
    <row r="559" ht="15.75" customHeight="1">
      <c r="E559" s="45"/>
    </row>
    <row r="560" ht="15.75" customHeight="1">
      <c r="E560" s="45"/>
    </row>
    <row r="561" ht="15.75" customHeight="1">
      <c r="E561" s="45"/>
    </row>
    <row r="562" ht="15.75" customHeight="1">
      <c r="E562" s="45"/>
    </row>
    <row r="563" ht="15.75" customHeight="1">
      <c r="E563" s="45"/>
    </row>
    <row r="564" ht="15.75" customHeight="1">
      <c r="E564" s="45"/>
    </row>
    <row r="565" ht="15.75" customHeight="1">
      <c r="E565" s="45"/>
    </row>
    <row r="566" ht="15.75" customHeight="1">
      <c r="E566" s="45"/>
    </row>
    <row r="567" ht="15.75" customHeight="1">
      <c r="E567" s="45"/>
    </row>
    <row r="568" ht="15.75" customHeight="1">
      <c r="E568" s="45"/>
    </row>
    <row r="569" ht="15.75" customHeight="1">
      <c r="E569" s="45"/>
    </row>
    <row r="570" ht="15.75" customHeight="1">
      <c r="E570" s="45"/>
    </row>
    <row r="571" ht="15.75" customHeight="1">
      <c r="E571" s="45"/>
    </row>
    <row r="572" ht="15.75" customHeight="1">
      <c r="E572" s="45"/>
    </row>
    <row r="573" ht="15.75" customHeight="1">
      <c r="E573" s="45"/>
    </row>
    <row r="574" ht="15.75" customHeight="1">
      <c r="E574" s="45"/>
    </row>
    <row r="575" ht="15.75" customHeight="1">
      <c r="E575" s="45"/>
    </row>
    <row r="576" ht="15.75" customHeight="1">
      <c r="E576" s="45"/>
    </row>
    <row r="577" ht="15.75" customHeight="1">
      <c r="E577" s="45"/>
    </row>
    <row r="578" ht="15.75" customHeight="1">
      <c r="E578" s="45"/>
    </row>
    <row r="579" ht="15.75" customHeight="1">
      <c r="E579" s="45"/>
    </row>
    <row r="580" ht="15.75" customHeight="1">
      <c r="E580" s="45"/>
    </row>
    <row r="581" ht="15.75" customHeight="1">
      <c r="E581" s="45"/>
    </row>
    <row r="582" ht="15.75" customHeight="1">
      <c r="E582" s="45"/>
    </row>
    <row r="583" ht="15.75" customHeight="1">
      <c r="E583" s="45"/>
    </row>
    <row r="584" ht="15.75" customHeight="1">
      <c r="E584" s="45"/>
    </row>
    <row r="585" ht="15.75" customHeight="1">
      <c r="E585" s="45"/>
    </row>
    <row r="586" ht="15.75" customHeight="1">
      <c r="E586" s="45"/>
    </row>
    <row r="587" ht="15.75" customHeight="1">
      <c r="E587" s="45"/>
    </row>
    <row r="588" ht="15.75" customHeight="1">
      <c r="E588" s="45"/>
    </row>
    <row r="589" ht="15.75" customHeight="1">
      <c r="E589" s="45"/>
    </row>
    <row r="590" ht="15.75" customHeight="1">
      <c r="E590" s="45"/>
    </row>
    <row r="591" ht="15.75" customHeight="1">
      <c r="E591" s="45"/>
    </row>
    <row r="592" ht="15.75" customHeight="1">
      <c r="E592" s="45"/>
    </row>
    <row r="593" ht="15.75" customHeight="1">
      <c r="E593" s="45"/>
    </row>
    <row r="594" ht="15.75" customHeight="1">
      <c r="E594" s="45"/>
    </row>
    <row r="595" ht="15.75" customHeight="1">
      <c r="E595" s="45"/>
    </row>
    <row r="596" ht="15.75" customHeight="1">
      <c r="E596" s="45"/>
    </row>
    <row r="597" ht="15.75" customHeight="1">
      <c r="E597" s="45"/>
    </row>
    <row r="598" ht="15.75" customHeight="1">
      <c r="E598" s="45"/>
    </row>
    <row r="599" ht="15.75" customHeight="1">
      <c r="E599" s="45"/>
    </row>
    <row r="600" ht="15.75" customHeight="1">
      <c r="E600" s="45"/>
    </row>
    <row r="601" ht="15.75" customHeight="1">
      <c r="E601" s="45"/>
    </row>
    <row r="602" ht="15.75" customHeight="1">
      <c r="E602" s="45"/>
    </row>
    <row r="603" ht="15.75" customHeight="1">
      <c r="E603" s="45"/>
    </row>
    <row r="604" ht="15.75" customHeight="1">
      <c r="E604" s="45"/>
    </row>
    <row r="605" ht="15.75" customHeight="1">
      <c r="E605" s="45"/>
    </row>
    <row r="606" ht="15.75" customHeight="1">
      <c r="E606" s="45"/>
    </row>
    <row r="607" ht="15.75" customHeight="1">
      <c r="E607" s="45"/>
    </row>
    <row r="608" ht="15.75" customHeight="1">
      <c r="E608" s="45"/>
    </row>
    <row r="609" ht="15.75" customHeight="1">
      <c r="E609" s="45"/>
    </row>
    <row r="610" ht="15.75" customHeight="1">
      <c r="E610" s="45"/>
    </row>
    <row r="611" ht="15.75" customHeight="1">
      <c r="E611" s="45"/>
    </row>
    <row r="612" ht="15.75" customHeight="1">
      <c r="E612" s="45"/>
    </row>
    <row r="613" ht="15.75" customHeight="1">
      <c r="E613" s="45"/>
    </row>
    <row r="614" ht="15.75" customHeight="1">
      <c r="E614" s="45"/>
    </row>
    <row r="615" ht="15.75" customHeight="1">
      <c r="E615" s="45"/>
    </row>
    <row r="616" ht="15.75" customHeight="1">
      <c r="E616" s="45"/>
    </row>
    <row r="617" ht="15.75" customHeight="1">
      <c r="E617" s="45"/>
    </row>
    <row r="618" ht="15.75" customHeight="1">
      <c r="E618" s="45"/>
    </row>
    <row r="619" ht="15.75" customHeight="1">
      <c r="E619" s="45"/>
    </row>
    <row r="620" ht="15.75" customHeight="1">
      <c r="E620" s="45"/>
    </row>
    <row r="621" ht="15.75" customHeight="1">
      <c r="E621" s="45"/>
    </row>
    <row r="622" ht="15.75" customHeight="1">
      <c r="E622" s="45"/>
    </row>
    <row r="623" ht="15.75" customHeight="1">
      <c r="E623" s="45"/>
    </row>
    <row r="624" ht="15.75" customHeight="1">
      <c r="E624" s="45"/>
    </row>
    <row r="625" ht="15.75" customHeight="1">
      <c r="E625" s="45"/>
    </row>
    <row r="626" ht="15.75" customHeight="1">
      <c r="E626" s="45"/>
    </row>
    <row r="627" ht="15.75" customHeight="1">
      <c r="E627" s="45"/>
    </row>
    <row r="628" ht="15.75" customHeight="1">
      <c r="E628" s="45"/>
    </row>
    <row r="629" ht="15.75" customHeight="1">
      <c r="E629" s="45"/>
    </row>
    <row r="630" ht="15.75" customHeight="1">
      <c r="E630" s="45"/>
    </row>
    <row r="631" ht="15.75" customHeight="1">
      <c r="E631" s="45"/>
    </row>
    <row r="632" ht="15.75" customHeight="1">
      <c r="E632" s="45"/>
    </row>
    <row r="633" ht="15.75" customHeight="1">
      <c r="E633" s="45"/>
    </row>
    <row r="634" ht="15.75" customHeight="1">
      <c r="E634" s="45"/>
    </row>
    <row r="635" ht="15.75" customHeight="1">
      <c r="E635" s="45"/>
    </row>
    <row r="636" ht="15.75" customHeight="1">
      <c r="E636" s="45"/>
    </row>
    <row r="637" ht="15.75" customHeight="1">
      <c r="E637" s="45"/>
    </row>
    <row r="638" ht="15.75" customHeight="1">
      <c r="E638" s="45"/>
    </row>
    <row r="639" ht="15.75" customHeight="1">
      <c r="E639" s="45"/>
    </row>
    <row r="640" ht="15.75" customHeight="1">
      <c r="E640" s="45"/>
    </row>
    <row r="641" ht="15.75" customHeight="1">
      <c r="E641" s="45"/>
    </row>
    <row r="642" ht="15.75" customHeight="1">
      <c r="E642" s="45"/>
    </row>
    <row r="643" ht="15.75" customHeight="1">
      <c r="E643" s="45"/>
    </row>
    <row r="644" ht="15.75" customHeight="1">
      <c r="E644" s="45"/>
    </row>
    <row r="645" ht="15.75" customHeight="1">
      <c r="E645" s="45"/>
    </row>
    <row r="646" ht="15.75" customHeight="1">
      <c r="E646" s="45"/>
    </row>
    <row r="647" ht="15.75" customHeight="1">
      <c r="E647" s="45"/>
    </row>
    <row r="648" ht="15.75" customHeight="1">
      <c r="E648" s="45"/>
    </row>
    <row r="649" ht="15.75" customHeight="1">
      <c r="E649" s="45"/>
    </row>
    <row r="650" ht="15.75" customHeight="1">
      <c r="E650" s="45"/>
    </row>
    <row r="651" ht="15.75" customHeight="1">
      <c r="E651" s="45"/>
    </row>
    <row r="652" ht="15.75" customHeight="1">
      <c r="E652" s="45"/>
    </row>
    <row r="653" ht="15.75" customHeight="1">
      <c r="E653" s="45"/>
    </row>
    <row r="654" ht="15.75" customHeight="1">
      <c r="E654" s="45"/>
    </row>
    <row r="655" ht="15.75" customHeight="1">
      <c r="E655" s="45"/>
    </row>
    <row r="656" ht="15.75" customHeight="1">
      <c r="E656" s="45"/>
    </row>
    <row r="657" ht="15.75" customHeight="1">
      <c r="E657" s="45"/>
    </row>
    <row r="658" ht="15.75" customHeight="1">
      <c r="E658" s="45"/>
    </row>
    <row r="659" ht="15.75" customHeight="1">
      <c r="E659" s="45"/>
    </row>
    <row r="660" ht="15.75" customHeight="1">
      <c r="E660" s="45"/>
    </row>
    <row r="661" ht="15.75" customHeight="1">
      <c r="E661" s="45"/>
    </row>
    <row r="662" ht="15.75" customHeight="1">
      <c r="E662" s="45"/>
    </row>
    <row r="663" ht="15.75" customHeight="1">
      <c r="E663" s="45"/>
    </row>
    <row r="664" ht="15.75" customHeight="1">
      <c r="E664" s="45"/>
    </row>
    <row r="665" ht="15.75" customHeight="1">
      <c r="E665" s="45"/>
    </row>
    <row r="666" ht="15.75" customHeight="1">
      <c r="E666" s="45"/>
    </row>
    <row r="667" ht="15.75" customHeight="1">
      <c r="E667" s="45"/>
    </row>
    <row r="668" ht="15.75" customHeight="1">
      <c r="E668" s="45"/>
    </row>
    <row r="669" ht="15.75" customHeight="1">
      <c r="E669" s="45"/>
    </row>
    <row r="670" ht="15.75" customHeight="1">
      <c r="E670" s="45"/>
    </row>
    <row r="671" ht="15.75" customHeight="1">
      <c r="E671" s="45"/>
    </row>
    <row r="672" ht="15.75" customHeight="1">
      <c r="E672" s="45"/>
    </row>
    <row r="673" ht="15.75" customHeight="1">
      <c r="E673" s="45"/>
    </row>
    <row r="674" ht="15.75" customHeight="1">
      <c r="E674" s="45"/>
    </row>
    <row r="675" ht="15.75" customHeight="1">
      <c r="E675" s="45"/>
    </row>
    <row r="676" ht="15.75" customHeight="1">
      <c r="E676" s="45"/>
    </row>
    <row r="677" ht="15.75" customHeight="1">
      <c r="E677" s="45"/>
    </row>
    <row r="678" ht="15.75" customHeight="1">
      <c r="E678" s="45"/>
    </row>
    <row r="679" ht="15.75" customHeight="1">
      <c r="E679" s="45"/>
    </row>
    <row r="680" ht="15.75" customHeight="1">
      <c r="E680" s="45"/>
    </row>
    <row r="681" ht="15.75" customHeight="1">
      <c r="E681" s="45"/>
    </row>
    <row r="682" ht="15.75" customHeight="1">
      <c r="E682" s="45"/>
    </row>
    <row r="683" ht="15.75" customHeight="1">
      <c r="E683" s="45"/>
    </row>
    <row r="684" ht="15.75" customHeight="1">
      <c r="E684" s="45"/>
    </row>
    <row r="685" ht="15.75" customHeight="1">
      <c r="E685" s="45"/>
    </row>
    <row r="686" ht="15.75" customHeight="1">
      <c r="E686" s="45"/>
    </row>
    <row r="687" ht="15.75" customHeight="1">
      <c r="E687" s="45"/>
    </row>
    <row r="688" ht="15.75" customHeight="1">
      <c r="E688" s="45"/>
    </row>
    <row r="689" ht="15.75" customHeight="1">
      <c r="E689" s="45"/>
    </row>
    <row r="690" ht="15.75" customHeight="1">
      <c r="E690" s="45"/>
    </row>
    <row r="691" ht="15.75" customHeight="1">
      <c r="E691" s="45"/>
    </row>
    <row r="692" ht="15.75" customHeight="1">
      <c r="E692" s="45"/>
    </row>
    <row r="693" ht="15.75" customHeight="1">
      <c r="E693" s="45"/>
    </row>
    <row r="694" ht="15.75" customHeight="1">
      <c r="E694" s="45"/>
    </row>
    <row r="695" ht="15.75" customHeight="1">
      <c r="E695" s="45"/>
    </row>
    <row r="696" ht="15.75" customHeight="1">
      <c r="E696" s="45"/>
    </row>
    <row r="697" ht="15.75" customHeight="1">
      <c r="E697" s="45"/>
    </row>
    <row r="698" ht="15.75" customHeight="1">
      <c r="E698" s="45"/>
    </row>
    <row r="699" ht="15.75" customHeight="1">
      <c r="E699" s="45"/>
    </row>
    <row r="700" ht="15.75" customHeight="1">
      <c r="E700" s="45"/>
    </row>
    <row r="701" ht="15.75" customHeight="1">
      <c r="E701" s="45"/>
    </row>
    <row r="702" ht="15.75" customHeight="1">
      <c r="E702" s="45"/>
    </row>
    <row r="703" ht="15.75" customHeight="1">
      <c r="E703" s="45"/>
    </row>
    <row r="704" ht="15.75" customHeight="1">
      <c r="E704" s="45"/>
    </row>
    <row r="705" ht="15.75" customHeight="1">
      <c r="E705" s="45"/>
    </row>
    <row r="706" ht="15.75" customHeight="1">
      <c r="E706" s="45"/>
    </row>
    <row r="707" ht="15.75" customHeight="1">
      <c r="E707" s="45"/>
    </row>
    <row r="708" ht="15.75" customHeight="1">
      <c r="E708" s="45"/>
    </row>
    <row r="709" ht="15.75" customHeight="1">
      <c r="E709" s="45"/>
    </row>
    <row r="710" ht="15.75" customHeight="1">
      <c r="E710" s="45"/>
    </row>
    <row r="711" ht="15.75" customHeight="1">
      <c r="E711" s="45"/>
    </row>
    <row r="712" ht="15.75" customHeight="1">
      <c r="E712" s="45"/>
    </row>
    <row r="713" ht="15.75" customHeight="1">
      <c r="E713" s="45"/>
    </row>
    <row r="714" ht="15.75" customHeight="1">
      <c r="E714" s="45"/>
    </row>
    <row r="715" ht="15.75" customHeight="1">
      <c r="E715" s="45"/>
    </row>
    <row r="716" ht="15.75" customHeight="1">
      <c r="E716" s="45"/>
    </row>
    <row r="717" ht="15.75" customHeight="1">
      <c r="E717" s="45"/>
    </row>
    <row r="718" ht="15.75" customHeight="1">
      <c r="E718" s="45"/>
    </row>
    <row r="719" ht="15.75" customHeight="1">
      <c r="E719" s="45"/>
    </row>
    <row r="720" ht="15.75" customHeight="1">
      <c r="E720" s="45"/>
    </row>
    <row r="721" ht="15.75" customHeight="1">
      <c r="E721" s="45"/>
    </row>
    <row r="722" ht="15.75" customHeight="1">
      <c r="E722" s="45"/>
    </row>
    <row r="723" ht="15.75" customHeight="1">
      <c r="E723" s="45"/>
    </row>
    <row r="724" ht="15.75" customHeight="1">
      <c r="E724" s="45"/>
    </row>
    <row r="725" ht="15.75" customHeight="1">
      <c r="E725" s="45"/>
    </row>
    <row r="726" ht="15.75" customHeight="1">
      <c r="E726" s="45"/>
    </row>
    <row r="727" ht="15.75" customHeight="1">
      <c r="E727" s="45"/>
    </row>
    <row r="728" ht="15.75" customHeight="1">
      <c r="E728" s="45"/>
    </row>
    <row r="729" ht="15.75" customHeight="1">
      <c r="E729" s="45"/>
    </row>
    <row r="730" ht="15.75" customHeight="1">
      <c r="E730" s="45"/>
    </row>
    <row r="731" ht="15.75" customHeight="1">
      <c r="E731" s="45"/>
    </row>
    <row r="732" ht="15.75" customHeight="1">
      <c r="E732" s="45"/>
    </row>
    <row r="733" ht="15.75" customHeight="1">
      <c r="E733" s="45"/>
    </row>
    <row r="734" ht="15.75" customHeight="1">
      <c r="E734" s="45"/>
    </row>
    <row r="735" ht="15.75" customHeight="1">
      <c r="E735" s="45"/>
    </row>
    <row r="736" ht="15.75" customHeight="1">
      <c r="E736" s="45"/>
    </row>
    <row r="737" ht="15.75" customHeight="1">
      <c r="E737" s="45"/>
    </row>
    <row r="738" ht="15.75" customHeight="1">
      <c r="E738" s="45"/>
    </row>
    <row r="739" ht="15.75" customHeight="1">
      <c r="E739" s="45"/>
    </row>
    <row r="740" ht="15.75" customHeight="1">
      <c r="E740" s="45"/>
    </row>
    <row r="741" ht="15.75" customHeight="1">
      <c r="E741" s="45"/>
    </row>
    <row r="742" ht="15.75" customHeight="1">
      <c r="E742" s="45"/>
    </row>
    <row r="743" ht="15.75" customHeight="1">
      <c r="E743" s="45"/>
    </row>
    <row r="744" ht="15.75" customHeight="1">
      <c r="E744" s="45"/>
    </row>
    <row r="745" ht="15.75" customHeight="1">
      <c r="E745" s="45"/>
    </row>
    <row r="746" ht="15.75" customHeight="1">
      <c r="E746" s="45"/>
    </row>
    <row r="747" ht="15.75" customHeight="1">
      <c r="E747" s="45"/>
    </row>
    <row r="748" ht="15.75" customHeight="1">
      <c r="E748" s="45"/>
    </row>
    <row r="749" ht="15.75" customHeight="1">
      <c r="E749" s="45"/>
    </row>
    <row r="750" ht="15.75" customHeight="1">
      <c r="E750" s="45"/>
    </row>
    <row r="751" ht="15.75" customHeight="1">
      <c r="E751" s="45"/>
    </row>
    <row r="752" ht="15.75" customHeight="1">
      <c r="E752" s="45"/>
    </row>
    <row r="753" ht="15.75" customHeight="1">
      <c r="E753" s="45"/>
    </row>
    <row r="754" ht="15.75" customHeight="1">
      <c r="E754" s="45"/>
    </row>
    <row r="755" ht="15.75" customHeight="1">
      <c r="E755" s="45"/>
    </row>
    <row r="756" ht="15.75" customHeight="1">
      <c r="E756" s="45"/>
    </row>
    <row r="757" ht="15.75" customHeight="1">
      <c r="E757" s="45"/>
    </row>
    <row r="758" ht="15.75" customHeight="1">
      <c r="E758" s="45"/>
    </row>
    <row r="759" ht="15.75" customHeight="1">
      <c r="E759" s="45"/>
    </row>
    <row r="760" ht="15.75" customHeight="1">
      <c r="E760" s="45"/>
    </row>
    <row r="761" ht="15.75" customHeight="1">
      <c r="E761" s="45"/>
    </row>
    <row r="762" ht="15.75" customHeight="1">
      <c r="E762" s="45"/>
    </row>
    <row r="763" ht="15.75" customHeight="1">
      <c r="E763" s="45"/>
    </row>
    <row r="764" ht="15.75" customHeight="1">
      <c r="E764" s="45"/>
    </row>
    <row r="765" ht="15.75" customHeight="1">
      <c r="E765" s="45"/>
    </row>
    <row r="766" ht="15.75" customHeight="1">
      <c r="E766" s="45"/>
    </row>
    <row r="767" ht="15.75" customHeight="1">
      <c r="E767" s="45"/>
    </row>
    <row r="768" ht="15.75" customHeight="1">
      <c r="E768" s="45"/>
    </row>
    <row r="769" ht="15.75" customHeight="1">
      <c r="E769" s="45"/>
    </row>
    <row r="770" ht="15.75" customHeight="1">
      <c r="E770" s="45"/>
    </row>
    <row r="771" ht="15.75" customHeight="1">
      <c r="E771" s="45"/>
    </row>
    <row r="772" ht="15.75" customHeight="1">
      <c r="E772" s="45"/>
    </row>
    <row r="773" ht="15.75" customHeight="1">
      <c r="E773" s="45"/>
    </row>
    <row r="774" ht="15.75" customHeight="1">
      <c r="E774" s="45"/>
    </row>
    <row r="775" ht="15.75" customHeight="1">
      <c r="E775" s="45"/>
    </row>
    <row r="776" ht="15.75" customHeight="1">
      <c r="E776" s="45"/>
    </row>
    <row r="777" ht="15.75" customHeight="1">
      <c r="E777" s="45"/>
    </row>
    <row r="778" ht="15.75" customHeight="1">
      <c r="E778" s="45"/>
    </row>
    <row r="779" ht="15.75" customHeight="1">
      <c r="E779" s="45"/>
    </row>
    <row r="780" ht="15.75" customHeight="1">
      <c r="E780" s="45"/>
    </row>
    <row r="781" ht="15.75" customHeight="1">
      <c r="E781" s="45"/>
    </row>
    <row r="782" ht="15.75" customHeight="1">
      <c r="E782" s="45"/>
    </row>
    <row r="783" ht="15.75" customHeight="1">
      <c r="E783" s="45"/>
    </row>
    <row r="784" ht="15.75" customHeight="1">
      <c r="E784" s="45"/>
    </row>
    <row r="785" ht="15.75" customHeight="1">
      <c r="E785" s="45"/>
    </row>
    <row r="786" ht="15.75" customHeight="1">
      <c r="E786" s="45"/>
    </row>
    <row r="787" ht="15.75" customHeight="1">
      <c r="E787" s="45"/>
    </row>
    <row r="788" ht="15.75" customHeight="1">
      <c r="E788" s="45"/>
    </row>
    <row r="789" ht="15.75" customHeight="1">
      <c r="E789" s="45"/>
    </row>
    <row r="790" ht="15.75" customHeight="1">
      <c r="E790" s="45"/>
    </row>
    <row r="791" ht="15.75" customHeight="1">
      <c r="E791" s="45"/>
    </row>
    <row r="792" ht="15.75" customHeight="1">
      <c r="E792" s="45"/>
    </row>
    <row r="793" ht="15.75" customHeight="1">
      <c r="E793" s="45"/>
    </row>
    <row r="794" ht="15.75" customHeight="1">
      <c r="E794" s="45"/>
    </row>
    <row r="795" ht="15.75" customHeight="1">
      <c r="E795" s="45"/>
    </row>
    <row r="796" ht="15.75" customHeight="1">
      <c r="E796" s="45"/>
    </row>
    <row r="797" ht="15.75" customHeight="1">
      <c r="E797" s="45"/>
    </row>
    <row r="798" ht="15.75" customHeight="1">
      <c r="E798" s="45"/>
    </row>
    <row r="799" ht="15.75" customHeight="1">
      <c r="E799" s="45"/>
    </row>
    <row r="800" ht="15.75" customHeight="1">
      <c r="E800" s="45"/>
    </row>
    <row r="801" ht="15.75" customHeight="1">
      <c r="E801" s="45"/>
    </row>
    <row r="802" ht="15.75" customHeight="1">
      <c r="E802" s="45"/>
    </row>
    <row r="803" ht="15.75" customHeight="1">
      <c r="E803" s="45"/>
    </row>
    <row r="804" ht="15.75" customHeight="1">
      <c r="E804" s="45"/>
    </row>
    <row r="805" ht="15.75" customHeight="1">
      <c r="E805" s="45"/>
    </row>
    <row r="806" ht="15.75" customHeight="1">
      <c r="E806" s="45"/>
    </row>
    <row r="807" ht="15.75" customHeight="1">
      <c r="E807" s="45"/>
    </row>
    <row r="808" ht="15.75" customHeight="1">
      <c r="E808" s="45"/>
    </row>
    <row r="809" ht="15.75" customHeight="1">
      <c r="E809" s="45"/>
    </row>
    <row r="810" ht="15.75" customHeight="1">
      <c r="E810" s="45"/>
    </row>
    <row r="811" ht="15.75" customHeight="1">
      <c r="E811" s="45"/>
    </row>
    <row r="812" ht="15.75" customHeight="1">
      <c r="E812" s="45"/>
    </row>
    <row r="813" ht="15.75" customHeight="1">
      <c r="E813" s="45"/>
    </row>
    <row r="814" ht="15.75" customHeight="1">
      <c r="E814" s="45"/>
    </row>
    <row r="815" ht="15.75" customHeight="1">
      <c r="E815" s="45"/>
    </row>
    <row r="816" ht="15.75" customHeight="1">
      <c r="E816" s="45"/>
    </row>
    <row r="817" ht="15.75" customHeight="1">
      <c r="E817" s="45"/>
    </row>
    <row r="818" ht="15.75" customHeight="1">
      <c r="E818" s="45"/>
    </row>
    <row r="819" ht="15.75" customHeight="1">
      <c r="E819" s="45"/>
    </row>
    <row r="820" ht="15.75" customHeight="1">
      <c r="E820" s="45"/>
    </row>
    <row r="821" ht="15.75" customHeight="1">
      <c r="E821" s="45"/>
    </row>
    <row r="822" ht="15.75" customHeight="1">
      <c r="E822" s="45"/>
    </row>
    <row r="823" ht="15.75" customHeight="1">
      <c r="E823" s="45"/>
    </row>
    <row r="824" ht="15.75" customHeight="1">
      <c r="E824" s="45"/>
    </row>
    <row r="825" ht="15.75" customHeight="1">
      <c r="E825" s="45"/>
    </row>
    <row r="826" ht="15.75" customHeight="1">
      <c r="E826" s="45"/>
    </row>
    <row r="827" ht="15.75" customHeight="1">
      <c r="E827" s="45"/>
    </row>
    <row r="828" ht="15.75" customHeight="1">
      <c r="E828" s="45"/>
    </row>
    <row r="829" ht="15.75" customHeight="1">
      <c r="E829" s="45"/>
    </row>
    <row r="830" ht="15.75" customHeight="1">
      <c r="E830" s="45"/>
    </row>
    <row r="831" ht="15.75" customHeight="1">
      <c r="E831" s="45"/>
    </row>
    <row r="832" ht="15.75" customHeight="1">
      <c r="E832" s="45"/>
    </row>
    <row r="833" ht="15.75" customHeight="1">
      <c r="E833" s="45"/>
    </row>
    <row r="834" ht="15.75" customHeight="1">
      <c r="E834" s="45"/>
    </row>
    <row r="835" ht="15.75" customHeight="1">
      <c r="E835" s="45"/>
    </row>
    <row r="836" ht="15.75" customHeight="1">
      <c r="E836" s="45"/>
    </row>
    <row r="837" ht="15.75" customHeight="1">
      <c r="E837" s="45"/>
    </row>
    <row r="838" ht="15.75" customHeight="1">
      <c r="E838" s="45"/>
    </row>
    <row r="839" ht="15.75" customHeight="1">
      <c r="E839" s="45"/>
    </row>
    <row r="840" ht="15.75" customHeight="1">
      <c r="E840" s="45"/>
    </row>
    <row r="841" ht="15.75" customHeight="1">
      <c r="E841" s="45"/>
    </row>
    <row r="842" ht="15.75" customHeight="1">
      <c r="E842" s="45"/>
    </row>
    <row r="843" ht="15.75" customHeight="1">
      <c r="E843" s="45"/>
    </row>
    <row r="844" ht="15.75" customHeight="1">
      <c r="E844" s="45"/>
    </row>
    <row r="845" ht="15.75" customHeight="1">
      <c r="E845" s="45"/>
    </row>
    <row r="846" ht="15.75" customHeight="1">
      <c r="E846" s="45"/>
    </row>
    <row r="847" ht="15.75" customHeight="1">
      <c r="E847" s="45"/>
    </row>
    <row r="848" ht="15.75" customHeight="1">
      <c r="E848" s="45"/>
    </row>
    <row r="849" ht="15.75" customHeight="1">
      <c r="E849" s="45"/>
    </row>
    <row r="850" ht="15.75" customHeight="1">
      <c r="E850" s="45"/>
    </row>
    <row r="851" ht="15.75" customHeight="1">
      <c r="E851" s="45"/>
    </row>
    <row r="852" ht="15.75" customHeight="1">
      <c r="E852" s="45"/>
    </row>
    <row r="853" ht="15.75" customHeight="1">
      <c r="E853" s="45"/>
    </row>
    <row r="854" ht="15.75" customHeight="1">
      <c r="E854" s="45"/>
    </row>
    <row r="855" ht="15.75" customHeight="1">
      <c r="E855" s="45"/>
    </row>
    <row r="856" ht="15.75" customHeight="1">
      <c r="E856" s="45"/>
    </row>
    <row r="857" ht="15.75" customHeight="1">
      <c r="E857" s="45"/>
    </row>
    <row r="858" ht="15.75" customHeight="1">
      <c r="E858" s="45"/>
    </row>
    <row r="859" ht="15.75" customHeight="1">
      <c r="E859" s="45"/>
    </row>
    <row r="860" ht="15.75" customHeight="1">
      <c r="E860" s="45"/>
    </row>
    <row r="861" ht="15.75" customHeight="1">
      <c r="E861" s="45"/>
    </row>
    <row r="862" ht="15.75" customHeight="1">
      <c r="E862" s="45"/>
    </row>
    <row r="863" ht="15.75" customHeight="1">
      <c r="E863" s="45"/>
    </row>
    <row r="864" ht="15.75" customHeight="1">
      <c r="E864" s="45"/>
    </row>
    <row r="865" ht="15.75" customHeight="1">
      <c r="E865" s="45"/>
    </row>
    <row r="866" ht="15.75" customHeight="1">
      <c r="E866" s="45"/>
    </row>
    <row r="867" ht="15.75" customHeight="1">
      <c r="E867" s="45"/>
    </row>
    <row r="868" ht="15.75" customHeight="1">
      <c r="E868" s="45"/>
    </row>
    <row r="869" ht="15.75" customHeight="1">
      <c r="E869" s="45"/>
    </row>
    <row r="870" ht="15.75" customHeight="1">
      <c r="E870" s="45"/>
    </row>
    <row r="871" ht="15.75" customHeight="1">
      <c r="E871" s="45"/>
    </row>
    <row r="872" ht="15.75" customHeight="1">
      <c r="E872" s="45"/>
    </row>
    <row r="873" ht="15.75" customHeight="1">
      <c r="E873" s="45"/>
    </row>
    <row r="874" ht="15.75" customHeight="1">
      <c r="E874" s="45"/>
    </row>
    <row r="875" ht="15.75" customHeight="1">
      <c r="E875" s="45"/>
    </row>
    <row r="876" ht="15.75" customHeight="1">
      <c r="E876" s="45"/>
    </row>
    <row r="877" ht="15.75" customHeight="1">
      <c r="E877" s="45"/>
    </row>
    <row r="878" ht="15.75" customHeight="1">
      <c r="E878" s="45"/>
    </row>
    <row r="879" ht="15.75" customHeight="1">
      <c r="E879" s="45"/>
    </row>
    <row r="880" ht="15.75" customHeight="1">
      <c r="E880" s="45"/>
    </row>
    <row r="881" ht="15.75" customHeight="1">
      <c r="E881" s="45"/>
    </row>
    <row r="882" ht="15.75" customHeight="1">
      <c r="E882" s="45"/>
    </row>
    <row r="883" ht="15.75" customHeight="1">
      <c r="E883" s="45"/>
    </row>
    <row r="884" ht="15.75" customHeight="1">
      <c r="E884" s="45"/>
    </row>
    <row r="885" ht="15.75" customHeight="1">
      <c r="E885" s="45"/>
    </row>
    <row r="886" ht="15.75" customHeight="1">
      <c r="E886" s="45"/>
    </row>
    <row r="887" ht="15.75" customHeight="1">
      <c r="E887" s="45"/>
    </row>
    <row r="888" ht="15.75" customHeight="1">
      <c r="E888" s="45"/>
    </row>
    <row r="889" ht="15.75" customHeight="1">
      <c r="E889" s="45"/>
    </row>
    <row r="890" ht="15.75" customHeight="1">
      <c r="E890" s="45"/>
    </row>
    <row r="891" ht="15.75" customHeight="1">
      <c r="E891" s="45"/>
    </row>
    <row r="892" ht="15.75" customHeight="1">
      <c r="E892" s="45"/>
    </row>
    <row r="893" ht="15.75" customHeight="1">
      <c r="E893" s="45"/>
    </row>
    <row r="894" ht="15.75" customHeight="1">
      <c r="E894" s="45"/>
    </row>
    <row r="895" ht="15.75" customHeight="1">
      <c r="E895" s="45"/>
    </row>
    <row r="896" ht="15.75" customHeight="1">
      <c r="E896" s="45"/>
    </row>
    <row r="897" ht="15.75" customHeight="1">
      <c r="E897" s="45"/>
    </row>
    <row r="898" ht="15.75" customHeight="1">
      <c r="E898" s="45"/>
    </row>
    <row r="899" ht="15.75" customHeight="1">
      <c r="E899" s="45"/>
    </row>
    <row r="900" ht="15.75" customHeight="1">
      <c r="E900" s="45"/>
    </row>
    <row r="901" ht="15.75" customHeight="1">
      <c r="E901" s="45"/>
    </row>
    <row r="902" ht="15.75" customHeight="1">
      <c r="E902" s="45"/>
    </row>
    <row r="903" ht="15.75" customHeight="1">
      <c r="E903" s="45"/>
    </row>
    <row r="904" ht="15.75" customHeight="1">
      <c r="E904" s="45"/>
    </row>
    <row r="905" ht="15.75" customHeight="1">
      <c r="E905" s="45"/>
    </row>
    <row r="906" ht="15.75" customHeight="1">
      <c r="E906" s="45"/>
    </row>
    <row r="907" ht="15.75" customHeight="1">
      <c r="E907" s="45"/>
    </row>
    <row r="908" ht="15.75" customHeight="1">
      <c r="E908" s="45"/>
    </row>
    <row r="909" ht="15.75" customHeight="1">
      <c r="E909" s="45"/>
    </row>
    <row r="910" ht="15.75" customHeight="1">
      <c r="E910" s="45"/>
    </row>
    <row r="911" ht="15.75" customHeight="1">
      <c r="E911" s="45"/>
    </row>
    <row r="912" ht="15.75" customHeight="1">
      <c r="E912" s="45"/>
    </row>
    <row r="913" ht="15.75" customHeight="1">
      <c r="E913" s="45"/>
    </row>
    <row r="914" ht="15.75" customHeight="1">
      <c r="E914" s="45"/>
    </row>
    <row r="915" ht="15.75" customHeight="1">
      <c r="E915" s="45"/>
    </row>
    <row r="916" ht="15.75" customHeight="1">
      <c r="E916" s="45"/>
    </row>
    <row r="917" ht="15.75" customHeight="1">
      <c r="E917" s="45"/>
    </row>
    <row r="918" ht="15.75" customHeight="1">
      <c r="E918" s="45"/>
    </row>
    <row r="919" ht="15.75" customHeight="1">
      <c r="E919" s="45"/>
    </row>
    <row r="920" ht="15.75" customHeight="1">
      <c r="E920" s="45"/>
    </row>
    <row r="921" ht="15.75" customHeight="1">
      <c r="E921" s="45"/>
    </row>
    <row r="922" ht="15.75" customHeight="1">
      <c r="E922" s="45"/>
    </row>
    <row r="923" ht="15.75" customHeight="1">
      <c r="E923" s="45"/>
    </row>
    <row r="924" ht="15.75" customHeight="1">
      <c r="E924" s="45"/>
    </row>
    <row r="925" ht="15.75" customHeight="1">
      <c r="E925" s="45"/>
    </row>
    <row r="926" ht="15.75" customHeight="1">
      <c r="E926" s="45"/>
    </row>
    <row r="927" ht="15.75" customHeight="1">
      <c r="E927" s="45"/>
    </row>
    <row r="928" ht="15.75" customHeight="1">
      <c r="E928" s="45"/>
    </row>
    <row r="929" ht="15.75" customHeight="1">
      <c r="E929" s="45"/>
    </row>
    <row r="930" ht="15.75" customHeight="1">
      <c r="E930" s="45"/>
    </row>
    <row r="931" ht="15.75" customHeight="1">
      <c r="E931" s="45"/>
    </row>
    <row r="932" ht="15.75" customHeight="1">
      <c r="E932" s="45"/>
    </row>
    <row r="933" ht="15.75" customHeight="1">
      <c r="E933" s="45"/>
    </row>
    <row r="934" ht="15.75" customHeight="1">
      <c r="E934" s="45"/>
    </row>
    <row r="935" ht="15.75" customHeight="1">
      <c r="E935" s="45"/>
    </row>
    <row r="936" ht="15.75" customHeight="1">
      <c r="E936" s="45"/>
    </row>
    <row r="937" ht="15.75" customHeight="1">
      <c r="E937" s="45"/>
    </row>
    <row r="938" ht="15.75" customHeight="1">
      <c r="E938" s="45"/>
    </row>
    <row r="939" ht="15.75" customHeight="1">
      <c r="E939" s="45"/>
    </row>
    <row r="940" ht="15.75" customHeight="1">
      <c r="E940" s="45"/>
    </row>
    <row r="941" ht="15.75" customHeight="1">
      <c r="E941" s="45"/>
    </row>
    <row r="942" ht="15.75" customHeight="1">
      <c r="E942" s="45"/>
    </row>
    <row r="943" ht="15.75" customHeight="1">
      <c r="E943" s="45"/>
    </row>
    <row r="944" ht="15.75" customHeight="1">
      <c r="E944" s="45"/>
    </row>
    <row r="945" ht="15.75" customHeight="1">
      <c r="E945" s="45"/>
    </row>
    <row r="946" ht="15.75" customHeight="1">
      <c r="E946" s="45"/>
    </row>
    <row r="947" ht="15.75" customHeight="1">
      <c r="E947" s="45"/>
    </row>
    <row r="948" ht="15.75" customHeight="1">
      <c r="E948" s="45"/>
    </row>
    <row r="949" ht="15.75" customHeight="1">
      <c r="E949" s="45"/>
    </row>
    <row r="950" ht="15.75" customHeight="1">
      <c r="E950" s="45"/>
    </row>
    <row r="951" ht="15.75" customHeight="1">
      <c r="E951" s="45"/>
    </row>
    <row r="952" ht="15.75" customHeight="1">
      <c r="E952" s="45"/>
    </row>
    <row r="953" ht="15.75" customHeight="1">
      <c r="E953" s="45"/>
    </row>
    <row r="954" ht="15.75" customHeight="1">
      <c r="E954" s="45"/>
    </row>
    <row r="955" ht="15.75" customHeight="1">
      <c r="E955" s="45"/>
    </row>
    <row r="956" ht="15.75" customHeight="1">
      <c r="E956" s="45"/>
    </row>
    <row r="957" ht="15.75" customHeight="1">
      <c r="E957" s="45"/>
    </row>
    <row r="958" ht="15.75" customHeight="1">
      <c r="E958" s="45"/>
    </row>
    <row r="959" ht="15.75" customHeight="1">
      <c r="E959" s="45"/>
    </row>
    <row r="960" ht="15.75" customHeight="1">
      <c r="E960" s="45"/>
    </row>
    <row r="961" ht="15.75" customHeight="1">
      <c r="E961" s="45"/>
    </row>
    <row r="962" ht="15.75" customHeight="1">
      <c r="E962" s="45"/>
    </row>
    <row r="963" ht="15.75" customHeight="1">
      <c r="E963" s="45"/>
    </row>
    <row r="964" ht="15.75" customHeight="1">
      <c r="E964" s="45"/>
    </row>
    <row r="965" ht="15.75" customHeight="1">
      <c r="E965" s="45"/>
    </row>
    <row r="966" ht="15.75" customHeight="1">
      <c r="E966" s="45"/>
    </row>
    <row r="967" ht="15.75" customHeight="1">
      <c r="E967" s="45"/>
    </row>
    <row r="968" ht="15.75" customHeight="1">
      <c r="E968" s="45"/>
    </row>
    <row r="969" ht="15.75" customHeight="1">
      <c r="E969" s="45"/>
    </row>
    <row r="970" ht="15.75" customHeight="1">
      <c r="E970" s="45"/>
    </row>
    <row r="971" ht="15.75" customHeight="1">
      <c r="E971" s="45"/>
    </row>
    <row r="972" ht="15.75" customHeight="1">
      <c r="E972" s="45"/>
    </row>
    <row r="973" ht="15.75" customHeight="1">
      <c r="E973" s="45"/>
    </row>
    <row r="974" ht="15.75" customHeight="1">
      <c r="E974" s="45"/>
    </row>
    <row r="975" ht="15.75" customHeight="1">
      <c r="E975" s="45"/>
    </row>
    <row r="976" ht="15.75" customHeight="1">
      <c r="E976" s="45"/>
    </row>
    <row r="977" ht="15.75" customHeight="1">
      <c r="E977" s="45"/>
    </row>
    <row r="978" ht="15.75" customHeight="1">
      <c r="E978" s="45"/>
    </row>
    <row r="979" ht="15.75" customHeight="1">
      <c r="E979" s="45"/>
    </row>
    <row r="980" ht="15.75" customHeight="1">
      <c r="E980" s="45"/>
    </row>
    <row r="981" ht="15.75" customHeight="1">
      <c r="E981" s="45"/>
    </row>
    <row r="982" ht="15.75" customHeight="1">
      <c r="E982" s="45"/>
    </row>
    <row r="983" ht="15.75" customHeight="1">
      <c r="E983" s="45"/>
    </row>
    <row r="984" ht="15.75" customHeight="1">
      <c r="E984" s="45"/>
    </row>
    <row r="985" ht="15.75" customHeight="1">
      <c r="E985" s="45"/>
    </row>
    <row r="986" ht="15.75" customHeight="1">
      <c r="E986" s="45"/>
    </row>
    <row r="987" ht="15.75" customHeight="1">
      <c r="E987" s="45"/>
    </row>
    <row r="988" ht="15.75" customHeight="1">
      <c r="E988" s="45"/>
    </row>
    <row r="989" ht="15.75" customHeight="1">
      <c r="E989" s="45"/>
    </row>
    <row r="990" ht="15.75" customHeight="1">
      <c r="E990" s="45"/>
    </row>
    <row r="991" ht="15.75" customHeight="1">
      <c r="E991" s="45"/>
    </row>
    <row r="992" ht="15.75" customHeight="1">
      <c r="E992" s="45"/>
    </row>
    <row r="993" ht="15.75" customHeight="1">
      <c r="E993" s="45"/>
    </row>
    <row r="994" ht="15.75" customHeight="1">
      <c r="E994" s="45"/>
    </row>
    <row r="995" ht="15.75" customHeight="1">
      <c r="E995" s="45"/>
    </row>
    <row r="996" ht="15.75" customHeight="1">
      <c r="E996" s="45"/>
    </row>
    <row r="997" ht="15.75" customHeight="1">
      <c r="E997" s="45"/>
    </row>
    <row r="998" ht="15.75" customHeight="1">
      <c r="E998" s="45"/>
    </row>
    <row r="999" ht="15.75" customHeight="1">
      <c r="E999" s="45"/>
    </row>
    <row r="1000" ht="15.75" customHeight="1">
      <c r="E1000" s="45"/>
    </row>
  </sheetData>
  <hyperlinks>
    <hyperlink r:id="rId2" ref="F2"/>
    <hyperlink r:id="rId3" ref="F3"/>
    <hyperlink r:id="rId4" ref="F4"/>
    <hyperlink r:id="rId5" ref="F5"/>
    <hyperlink r:id="rId6" ref="F6"/>
  </hyperlinks>
  <drawing r:id="rId7"/>
  <legacyDrawing r:id="rId8"/>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75"/>
  <cols>
    <col customWidth="1" min="1" max="1" width="16.63"/>
    <col customWidth="1" min="2" max="2" width="15.63"/>
    <col customWidth="1" min="3" max="3" width="23.63"/>
    <col customWidth="1" min="4" max="4" width="22.75"/>
    <col customWidth="1" min="5" max="5" width="23.0"/>
    <col customWidth="1" min="6" max="6" width="20.13"/>
    <col customWidth="1" min="7" max="7" width="13.88"/>
    <col customWidth="1" min="8" max="8" width="10.25"/>
    <col customWidth="1" min="9" max="10" width="8.63"/>
    <col customWidth="1" min="11" max="11" width="9.38"/>
    <col customWidth="1" min="12" max="28" width="8.63"/>
  </cols>
  <sheetData>
    <row r="1" ht="14.25" customHeight="1">
      <c r="A1" s="53" t="s">
        <v>6055</v>
      </c>
      <c r="B1" s="53" t="s">
        <v>9551</v>
      </c>
      <c r="C1" s="53" t="s">
        <v>9552</v>
      </c>
      <c r="E1" s="10" t="s">
        <v>9553</v>
      </c>
      <c r="F1" s="10" t="s">
        <v>9554</v>
      </c>
      <c r="G1" s="10" t="s">
        <v>9555</v>
      </c>
      <c r="H1" s="54" t="s">
        <v>9556</v>
      </c>
      <c r="I1" s="55"/>
      <c r="J1" s="55" t="s">
        <v>9</v>
      </c>
      <c r="K1" s="55" t="s">
        <v>10</v>
      </c>
      <c r="L1" s="55" t="s">
        <v>11</v>
      </c>
      <c r="M1" s="55" t="s">
        <v>12</v>
      </c>
    </row>
    <row r="2" ht="14.25" customHeight="1">
      <c r="A2" s="56" t="s">
        <v>9557</v>
      </c>
      <c r="B2" s="56" t="s">
        <v>9558</v>
      </c>
      <c r="C2" s="57">
        <v>40924.0</v>
      </c>
      <c r="E2" s="10" t="str">
        <f t="shared" ref="E2:E51" si="1">IF(ISBLANK(C2),"",IF(F2&lt;TODAY(),"Eligible","Not eligible"))</f>
        <v>Eligible</v>
      </c>
      <c r="F2" s="58">
        <f t="shared" ref="F2:F56" si="2">IF(ISBLANK(C2),"", IF(G2="Y",DATE(YEAR(C2)+H2,MONTH(C2),DAY(C2)),"N/A"))</f>
        <v>42020</v>
      </c>
      <c r="G2" s="10" t="str">
        <f>IF(ISBLANK(A2),"",VLOOKUP(A2,'Abbreviated Jotform Charge List'!A:B,2,TRUE))</f>
        <v>Y</v>
      </c>
      <c r="H2" s="11">
        <f t="shared" ref="H2:H58" si="3">IFS( (B2 = "guilty"),J2,(B2 ="attempt"),K2,(B2 = "conspiracy"),L2, (B2 = "solicitation"), M2, ISBLANK(B2), " ")</f>
        <v>3</v>
      </c>
      <c r="J2" s="10">
        <f>IF(ISBLANK(A2),"",VLOOKUP(A2,'Abbreviated Jotform Charge List'!A:F,3))</f>
        <v>3</v>
      </c>
      <c r="K2" s="10">
        <f>IF(ISBLANK(A2),"",VLOOKUP(A2,'Abbreviated Jotform Charge List'!A:F,4))</f>
        <v>3</v>
      </c>
      <c r="L2" s="10">
        <f>IF(ISBLANK(A2),"",VLOOKUP(A2,'Abbreviated Jotform Charge List'!A:F,5))</f>
        <v>3</v>
      </c>
      <c r="M2" s="10">
        <f>IF(ISBLANK(A2),"",VLOOKUP(A2,'Abbreviated Jotform Charge List'!A:F,6))</f>
        <v>3</v>
      </c>
    </row>
    <row r="3" ht="14.25" customHeight="1">
      <c r="A3" s="56" t="s">
        <v>9559</v>
      </c>
      <c r="B3" s="56" t="s">
        <v>9558</v>
      </c>
      <c r="C3" s="57">
        <v>40924.0</v>
      </c>
      <c r="E3" s="10" t="str">
        <f t="shared" si="1"/>
        <v>Not eligible</v>
      </c>
      <c r="F3" s="58" t="str">
        <f t="shared" si="2"/>
        <v>N/A</v>
      </c>
      <c r="G3" s="10" t="str">
        <f>IF(ISBLANK(A3),"",VLOOKUP(A3,'Abbreviated Jotform Charge List'!A:B,2,TRUE))</f>
        <v>N</v>
      </c>
      <c r="H3" s="11">
        <f t="shared" si="3"/>
        <v>3</v>
      </c>
      <c r="J3" s="10">
        <f>IF(ISBLANK(A3),"",VLOOKUP(A3,'Abbreviated Jotform Charge List'!A:F,3))</f>
        <v>3</v>
      </c>
      <c r="K3" s="10">
        <f>IF(ISBLANK(A3),"",VLOOKUP(A3,'Abbreviated Jotform Charge List'!A:F,4))</f>
        <v>3</v>
      </c>
      <c r="L3" s="10">
        <f>IF(ISBLANK(A3),"",VLOOKUP(A3,'Abbreviated Jotform Charge List'!A:F,5))</f>
        <v>3</v>
      </c>
      <c r="M3" s="10">
        <f>IF(ISBLANK(A3),"",VLOOKUP(A3,'Abbreviated Jotform Charge List'!A:F,6))</f>
        <v>3</v>
      </c>
    </row>
    <row r="4" ht="14.25" customHeight="1">
      <c r="A4" s="56" t="s">
        <v>5651</v>
      </c>
      <c r="B4" s="56" t="s">
        <v>9558</v>
      </c>
      <c r="C4" s="57">
        <v>44577.0</v>
      </c>
      <c r="E4" s="10" t="str">
        <f t="shared" si="1"/>
        <v>Not eligible</v>
      </c>
      <c r="F4" s="58">
        <f t="shared" si="2"/>
        <v>45673</v>
      </c>
      <c r="G4" s="10" t="str">
        <f>IF(ISBLANK(A4),"",VLOOKUP(A4,'Abbreviated Jotform Charge List'!A:B,2,TRUE))</f>
        <v>Y</v>
      </c>
      <c r="H4" s="11">
        <f t="shared" si="3"/>
        <v>3</v>
      </c>
      <c r="J4" s="10">
        <f>IF(ISBLANK(A4),"",VLOOKUP(A4,'Abbreviated Jotform Charge List'!A:F,3))</f>
        <v>3</v>
      </c>
      <c r="K4" s="10">
        <f>IF(ISBLANK(A4),"",VLOOKUP(A4,'Abbreviated Jotform Charge List'!A:F,4))</f>
        <v>3</v>
      </c>
      <c r="L4" s="10">
        <f>IF(ISBLANK(A4),"",VLOOKUP(A4,'Abbreviated Jotform Charge List'!A:F,5))</f>
        <v>3</v>
      </c>
      <c r="M4" s="10">
        <f>IF(ISBLANK(A4),"",VLOOKUP(A4,'Abbreviated Jotform Charge List'!A:F,6))</f>
        <v>3</v>
      </c>
    </row>
    <row r="5" ht="14.25" customHeight="1">
      <c r="A5" s="56" t="s">
        <v>5651</v>
      </c>
      <c r="B5" s="56" t="s">
        <v>9558</v>
      </c>
      <c r="C5" s="56"/>
      <c r="E5" s="10" t="str">
        <f t="shared" si="1"/>
        <v/>
      </c>
      <c r="F5" s="58" t="str">
        <f t="shared" si="2"/>
        <v/>
      </c>
      <c r="G5" s="10" t="str">
        <f>IF(ISBLANK(A5),"",VLOOKUP(A5,'Abbreviated Jotform Charge List'!A:B,2,TRUE))</f>
        <v>Y</v>
      </c>
      <c r="H5" s="11">
        <f t="shared" si="3"/>
        <v>3</v>
      </c>
      <c r="J5" s="10">
        <f>IF(ISBLANK(A5),"",VLOOKUP(A5,'Abbreviated Jotform Charge List'!A:F,3))</f>
        <v>3</v>
      </c>
      <c r="K5" s="10">
        <f>IF(ISBLANK(A5),"",VLOOKUP(A5,'Abbreviated Jotform Charge List'!A:F,4))</f>
        <v>3</v>
      </c>
      <c r="L5" s="10">
        <f>IF(ISBLANK(A5),"",VLOOKUP(A5,'Abbreviated Jotform Charge List'!A:F,5))</f>
        <v>3</v>
      </c>
      <c r="M5" s="10">
        <f>IF(ISBLANK(A5),"",VLOOKUP(A5,'Abbreviated Jotform Charge List'!A:F,6))</f>
        <v>3</v>
      </c>
    </row>
    <row r="6" ht="14.25" customHeight="1">
      <c r="A6" s="59" t="s">
        <v>9557</v>
      </c>
      <c r="B6" s="59" t="s">
        <v>9560</v>
      </c>
      <c r="C6" s="60">
        <v>40924.0</v>
      </c>
      <c r="E6" s="10" t="str">
        <f t="shared" si="1"/>
        <v>Eligible</v>
      </c>
      <c r="F6" s="58">
        <f t="shared" si="2"/>
        <v>42020</v>
      </c>
      <c r="G6" s="10" t="str">
        <f>IF(ISBLANK(A6),"",VLOOKUP(A6,'Abbreviated Jotform Charge List'!A:B,2,TRUE))</f>
        <v>Y</v>
      </c>
      <c r="H6" s="11">
        <f t="shared" si="3"/>
        <v>3</v>
      </c>
      <c r="J6" s="10">
        <f>IF(ISBLANK(A6),"",VLOOKUP(A6,'Abbreviated Jotform Charge List'!A:F,3))</f>
        <v>3</v>
      </c>
      <c r="K6" s="10">
        <f>IF(ISBLANK(A6),"",VLOOKUP(A6,'Abbreviated Jotform Charge List'!A:F,4))</f>
        <v>3</v>
      </c>
      <c r="L6" s="10">
        <f>IF(ISBLANK(A6),"",VLOOKUP(A6,'Abbreviated Jotform Charge List'!A:F,5))</f>
        <v>3</v>
      </c>
      <c r="M6" s="10">
        <f>IF(ISBLANK(A6),"",VLOOKUP(A6,'Abbreviated Jotform Charge List'!A:F,6))</f>
        <v>3</v>
      </c>
    </row>
    <row r="7" ht="14.25" customHeight="1">
      <c r="A7" s="56"/>
      <c r="B7" s="56"/>
      <c r="C7" s="56"/>
      <c r="E7" s="10" t="str">
        <f t="shared" si="1"/>
        <v/>
      </c>
      <c r="F7" s="58" t="str">
        <f t="shared" si="2"/>
        <v/>
      </c>
      <c r="G7" s="10" t="str">
        <f>IF(ISBLANK(A7),"",VLOOKUP(A7,'Abbreviated Jotform Charge List'!A:B,2,TRUE))</f>
        <v/>
      </c>
      <c r="H7" s="11" t="str">
        <f t="shared" si="3"/>
        <v> </v>
      </c>
      <c r="J7" s="10" t="str">
        <f>IF(ISBLANK(A7),"",VLOOKUP(A7,'Abbreviated Jotform Charge List'!A:F,3))</f>
        <v/>
      </c>
      <c r="K7" s="10" t="str">
        <f>IF(ISBLANK(A7),"",VLOOKUP(A7,'Abbreviated Jotform Charge List'!A:F,4))</f>
        <v/>
      </c>
      <c r="L7" s="10" t="str">
        <f>IF(ISBLANK(A7),"",VLOOKUP(A7,'Abbreviated Jotform Charge List'!A:F,5))</f>
        <v/>
      </c>
      <c r="M7" s="10" t="str">
        <f>IF(ISBLANK(A7),"",VLOOKUP(A7,'Abbreviated Jotform Charge List'!A:F,6))</f>
        <v/>
      </c>
    </row>
    <row r="8" ht="14.25" customHeight="1">
      <c r="A8" s="56"/>
      <c r="B8" s="56"/>
      <c r="C8" s="56"/>
      <c r="E8" s="10" t="str">
        <f t="shared" si="1"/>
        <v/>
      </c>
      <c r="F8" s="58" t="str">
        <f t="shared" si="2"/>
        <v/>
      </c>
      <c r="G8" s="10" t="str">
        <f>IF(ISBLANK(A8),"",VLOOKUP(A8,'Abbreviated Jotform Charge List'!A:B,2,TRUE))</f>
        <v/>
      </c>
      <c r="H8" s="11" t="str">
        <f t="shared" si="3"/>
        <v> </v>
      </c>
      <c r="J8" s="10" t="str">
        <f>IF(ISBLANK(A8),"",VLOOKUP(A8,'Abbreviated Jotform Charge List'!A:F,3))</f>
        <v/>
      </c>
      <c r="K8" s="10" t="str">
        <f>IF(ISBLANK(A8),"",VLOOKUP(A8,'Abbreviated Jotform Charge List'!A:F,4))</f>
        <v/>
      </c>
      <c r="L8" s="10" t="str">
        <f>IF(ISBLANK(A8),"",VLOOKUP(A8,'Abbreviated Jotform Charge List'!A:F,5))</f>
        <v/>
      </c>
      <c r="M8" s="10" t="str">
        <f>IF(ISBLANK(A8),"",VLOOKUP(A8,'Abbreviated Jotform Charge List'!A:F,6))</f>
        <v/>
      </c>
    </row>
    <row r="9" ht="14.25" customHeight="1">
      <c r="A9" s="56"/>
      <c r="B9" s="56"/>
      <c r="C9" s="56"/>
      <c r="E9" s="10" t="str">
        <f t="shared" si="1"/>
        <v/>
      </c>
      <c r="F9" s="58" t="str">
        <f t="shared" si="2"/>
        <v/>
      </c>
      <c r="G9" s="10" t="str">
        <f>IF(ISBLANK(A9),"",VLOOKUP(A9,'Abbreviated Jotform Charge List'!A:B,2,TRUE))</f>
        <v/>
      </c>
      <c r="H9" s="11" t="str">
        <f t="shared" si="3"/>
        <v> </v>
      </c>
      <c r="J9" s="10" t="str">
        <f>IF(ISBLANK(A9),"",VLOOKUP(A9,'Abbreviated Jotform Charge List'!A:F,3))</f>
        <v/>
      </c>
      <c r="K9" s="10" t="str">
        <f>IF(ISBLANK(A9),"",VLOOKUP(A9,'Abbreviated Jotform Charge List'!A:F,4))</f>
        <v/>
      </c>
      <c r="L9" s="10" t="str">
        <f>IF(ISBLANK(A9),"",VLOOKUP(A9,'Abbreviated Jotform Charge List'!A:F,5))</f>
        <v/>
      </c>
      <c r="M9" s="10" t="str">
        <f>IF(ISBLANK(A9),"",VLOOKUP(A9,'Abbreviated Jotform Charge List'!A:F,6))</f>
        <v/>
      </c>
    </row>
    <row r="10" ht="14.25" customHeight="1">
      <c r="A10" s="56"/>
      <c r="B10" s="56"/>
      <c r="C10" s="56"/>
      <c r="E10" s="10" t="str">
        <f t="shared" si="1"/>
        <v/>
      </c>
      <c r="F10" s="58" t="str">
        <f t="shared" si="2"/>
        <v/>
      </c>
      <c r="G10" s="10" t="str">
        <f>IF(ISBLANK(A10),"",VLOOKUP(A10,'Abbreviated Jotform Charge List'!A:B,2,TRUE))</f>
        <v/>
      </c>
      <c r="H10" s="11" t="str">
        <f t="shared" si="3"/>
        <v> </v>
      </c>
      <c r="J10" s="10" t="str">
        <f>IF(ISBLANK(A10),"",VLOOKUP(A10,'Abbreviated Jotform Charge List'!A:F,3))</f>
        <v/>
      </c>
      <c r="K10" s="10" t="str">
        <f>IF(ISBLANK(A10),"",VLOOKUP(A10,'Abbreviated Jotform Charge List'!A:F,4))</f>
        <v/>
      </c>
      <c r="L10" s="10" t="str">
        <f>IF(ISBLANK(A10),"",VLOOKUP(A10,'Abbreviated Jotform Charge List'!A:F,5))</f>
        <v/>
      </c>
      <c r="M10" s="10" t="str">
        <f>IF(ISBLANK(A10),"",VLOOKUP(A10,'Abbreviated Jotform Charge List'!A:F,6))</f>
        <v/>
      </c>
    </row>
    <row r="11" ht="14.25" customHeight="1">
      <c r="A11" s="56"/>
      <c r="B11" s="56"/>
      <c r="C11" s="56"/>
      <c r="E11" s="10" t="str">
        <f t="shared" si="1"/>
        <v/>
      </c>
      <c r="F11" s="58" t="str">
        <f t="shared" si="2"/>
        <v/>
      </c>
      <c r="G11" s="10" t="str">
        <f>IF(ISBLANK(A11),"",VLOOKUP(A11,'Abbreviated Jotform Charge List'!A:B,2,TRUE))</f>
        <v/>
      </c>
      <c r="H11" s="11" t="str">
        <f t="shared" si="3"/>
        <v> </v>
      </c>
      <c r="J11" s="10" t="str">
        <f>IF(ISBLANK(A11),"",VLOOKUP(A11,'Abbreviated Jotform Charge List'!A:F,3))</f>
        <v/>
      </c>
      <c r="K11" s="10" t="str">
        <f>IF(ISBLANK(A11),"",VLOOKUP(A11,'Abbreviated Jotform Charge List'!A:F,4))</f>
        <v/>
      </c>
      <c r="L11" s="10" t="str">
        <f>IF(ISBLANK(A11),"",VLOOKUP(A11,'Abbreviated Jotform Charge List'!A:F,5))</f>
        <v/>
      </c>
      <c r="M11" s="10" t="str">
        <f>IF(ISBLANK(A11),"",VLOOKUP(A11,'Abbreviated Jotform Charge List'!A:F,6))</f>
        <v/>
      </c>
    </row>
    <row r="12" ht="14.25" customHeight="1">
      <c r="A12" s="56"/>
      <c r="B12" s="56"/>
      <c r="C12" s="56"/>
      <c r="E12" s="10" t="str">
        <f t="shared" si="1"/>
        <v/>
      </c>
      <c r="F12" s="58" t="str">
        <f t="shared" si="2"/>
        <v/>
      </c>
      <c r="G12" s="10" t="str">
        <f>IF(ISBLANK(A12),"",VLOOKUP(A12,'Abbreviated Jotform Charge List'!A:B,2,TRUE))</f>
        <v/>
      </c>
      <c r="H12" s="11" t="str">
        <f t="shared" si="3"/>
        <v> </v>
      </c>
      <c r="J12" s="10" t="str">
        <f>IF(ISBLANK(A12),"",VLOOKUP(A12,'Abbreviated Jotform Charge List'!A:F,3))</f>
        <v/>
      </c>
      <c r="K12" s="10" t="str">
        <f>IF(ISBLANK(A12),"",VLOOKUP(A12,'Abbreviated Jotform Charge List'!A:F,4))</f>
        <v/>
      </c>
      <c r="L12" s="10" t="str">
        <f>IF(ISBLANK(A12),"",VLOOKUP(A12,'Abbreviated Jotform Charge List'!A:F,5))</f>
        <v/>
      </c>
      <c r="M12" s="10" t="str">
        <f>IF(ISBLANK(A12),"",VLOOKUP(A12,'Abbreviated Jotform Charge List'!A:F,6))</f>
        <v/>
      </c>
    </row>
    <row r="13" ht="14.25" customHeight="1">
      <c r="A13" s="56"/>
      <c r="B13" s="56"/>
      <c r="C13" s="56"/>
      <c r="E13" s="10" t="str">
        <f t="shared" si="1"/>
        <v/>
      </c>
      <c r="F13" s="58" t="str">
        <f t="shared" si="2"/>
        <v/>
      </c>
      <c r="G13" s="10" t="str">
        <f>IF(ISBLANK(A13),"",VLOOKUP(A13,'Abbreviated Jotform Charge List'!A:B,2,TRUE))</f>
        <v/>
      </c>
      <c r="H13" s="11" t="str">
        <f t="shared" si="3"/>
        <v> </v>
      </c>
      <c r="J13" s="10" t="str">
        <f>IF(ISBLANK(A13),"",VLOOKUP(A13,'Abbreviated Jotform Charge List'!A:F,3))</f>
        <v/>
      </c>
      <c r="K13" s="10" t="str">
        <f>IF(ISBLANK(A13),"",VLOOKUP(A13,'Abbreviated Jotform Charge List'!A:F,4))</f>
        <v/>
      </c>
      <c r="L13" s="10" t="str">
        <f>IF(ISBLANK(A13),"",VLOOKUP(A13,'Abbreviated Jotform Charge List'!A:F,5))</f>
        <v/>
      </c>
      <c r="M13" s="10" t="str">
        <f>IF(ISBLANK(A13),"",VLOOKUP(A13,'Abbreviated Jotform Charge List'!A:F,6))</f>
        <v/>
      </c>
    </row>
    <row r="14" ht="14.25" customHeight="1">
      <c r="A14" s="56"/>
      <c r="B14" s="56"/>
      <c r="C14" s="56"/>
      <c r="E14" s="10" t="str">
        <f t="shared" si="1"/>
        <v/>
      </c>
      <c r="F14" s="58" t="str">
        <f t="shared" si="2"/>
        <v/>
      </c>
      <c r="G14" s="10" t="str">
        <f>IF(ISBLANK(A14),"",VLOOKUP(A14,'Abbreviated Jotform Charge List'!A:B,2,TRUE))</f>
        <v/>
      </c>
      <c r="H14" s="11" t="str">
        <f t="shared" si="3"/>
        <v> </v>
      </c>
      <c r="J14" s="10" t="str">
        <f>IF(ISBLANK(A14),"",VLOOKUP(A14,'Abbreviated Jotform Charge List'!A:F,3))</f>
        <v/>
      </c>
      <c r="K14" s="10" t="str">
        <f>IF(ISBLANK(A14),"",VLOOKUP(A14,'Abbreviated Jotform Charge List'!A:F,4))</f>
        <v/>
      </c>
      <c r="L14" s="10" t="str">
        <f>IF(ISBLANK(A14),"",VLOOKUP(A14,'Abbreviated Jotform Charge List'!A:F,5))</f>
        <v/>
      </c>
      <c r="M14" s="10" t="str">
        <f>IF(ISBLANK(A14),"",VLOOKUP(A14,'Abbreviated Jotform Charge List'!A:F,6))</f>
        <v/>
      </c>
    </row>
    <row r="15" ht="14.25" customHeight="1">
      <c r="A15" s="56"/>
      <c r="B15" s="56"/>
      <c r="C15" s="56"/>
      <c r="E15" s="10" t="str">
        <f t="shared" si="1"/>
        <v/>
      </c>
      <c r="F15" s="58" t="str">
        <f t="shared" si="2"/>
        <v/>
      </c>
      <c r="G15" s="10" t="str">
        <f>IF(ISBLANK(A15),"",VLOOKUP(A15,'Abbreviated Jotform Charge List'!A:B,2,TRUE))</f>
        <v/>
      </c>
      <c r="H15" s="11" t="str">
        <f t="shared" si="3"/>
        <v> </v>
      </c>
      <c r="J15" s="10" t="str">
        <f>IF(ISBLANK(A15),"",VLOOKUP(A15,'Abbreviated Jotform Charge List'!A:F,3))</f>
        <v/>
      </c>
      <c r="K15" s="10" t="str">
        <f>IF(ISBLANK(A15),"",VLOOKUP(A15,'Abbreviated Jotform Charge List'!A:F,4))</f>
        <v/>
      </c>
      <c r="L15" s="10" t="str">
        <f>IF(ISBLANK(A15),"",VLOOKUP(A15,'Abbreviated Jotform Charge List'!A:F,5))</f>
        <v/>
      </c>
      <c r="M15" s="10" t="str">
        <f>IF(ISBLANK(A15),"",VLOOKUP(A15,'Abbreviated Jotform Charge List'!A:F,6))</f>
        <v/>
      </c>
    </row>
    <row r="16" ht="14.25" customHeight="1">
      <c r="A16" s="56"/>
      <c r="B16" s="56"/>
      <c r="C16" s="56"/>
      <c r="E16" s="10" t="str">
        <f t="shared" si="1"/>
        <v/>
      </c>
      <c r="F16" s="58" t="str">
        <f t="shared" si="2"/>
        <v/>
      </c>
      <c r="G16" s="10" t="str">
        <f>IF(ISBLANK(A16),"",VLOOKUP(A16,'Abbreviated Jotform Charge List'!A:B,2,TRUE))</f>
        <v/>
      </c>
      <c r="H16" s="11" t="str">
        <f t="shared" si="3"/>
        <v> </v>
      </c>
      <c r="J16" s="10" t="str">
        <f>IF(ISBLANK(A16),"",VLOOKUP(A16,'Abbreviated Jotform Charge List'!A:F,3))</f>
        <v/>
      </c>
      <c r="K16" s="10" t="str">
        <f>IF(ISBLANK(A16),"",VLOOKUP(A16,'Abbreviated Jotform Charge List'!A:F,4))</f>
        <v/>
      </c>
      <c r="L16" s="10" t="str">
        <f>IF(ISBLANK(A16),"",VLOOKUP(A16,'Abbreviated Jotform Charge List'!A:F,5))</f>
        <v/>
      </c>
      <c r="M16" s="10" t="str">
        <f>IF(ISBLANK(A16),"",VLOOKUP(A16,'Abbreviated Jotform Charge List'!A:F,6))</f>
        <v/>
      </c>
    </row>
    <row r="17" ht="14.25" customHeight="1">
      <c r="A17" s="56"/>
      <c r="B17" s="56"/>
      <c r="C17" s="56"/>
      <c r="E17" s="10" t="str">
        <f t="shared" si="1"/>
        <v/>
      </c>
      <c r="F17" s="58" t="str">
        <f t="shared" si="2"/>
        <v/>
      </c>
      <c r="G17" s="10" t="str">
        <f>IF(ISBLANK(A17),"",VLOOKUP(A17,'Abbreviated Jotform Charge List'!A:B,2,TRUE))</f>
        <v/>
      </c>
      <c r="H17" s="11" t="str">
        <f t="shared" si="3"/>
        <v> </v>
      </c>
      <c r="J17" s="10" t="str">
        <f>IF(ISBLANK(A17),"",VLOOKUP(A17,'Abbreviated Jotform Charge List'!A:F,3))</f>
        <v/>
      </c>
      <c r="K17" s="10" t="str">
        <f>IF(ISBLANK(A17),"",VLOOKUP(A17,'Abbreviated Jotform Charge List'!A:F,4))</f>
        <v/>
      </c>
      <c r="L17" s="10" t="str">
        <f>IF(ISBLANK(A17),"",VLOOKUP(A17,'Abbreviated Jotform Charge List'!A:F,5))</f>
        <v/>
      </c>
      <c r="M17" s="10" t="str">
        <f>IF(ISBLANK(A17),"",VLOOKUP(A17,'Abbreviated Jotform Charge List'!A:F,6))</f>
        <v/>
      </c>
    </row>
    <row r="18" ht="14.25" customHeight="1">
      <c r="A18" s="56"/>
      <c r="B18" s="56"/>
      <c r="C18" s="56"/>
      <c r="E18" s="10" t="str">
        <f t="shared" si="1"/>
        <v/>
      </c>
      <c r="F18" s="58" t="str">
        <f t="shared" si="2"/>
        <v/>
      </c>
      <c r="G18" s="10" t="str">
        <f>IF(ISBLANK(A18),"",VLOOKUP(A18,'Abbreviated Jotform Charge List'!A:B,2,TRUE))</f>
        <v/>
      </c>
      <c r="H18" s="11" t="str">
        <f t="shared" si="3"/>
        <v> </v>
      </c>
      <c r="J18" s="10" t="str">
        <f>IF(ISBLANK(A18),"",VLOOKUP(A18,'Abbreviated Jotform Charge List'!A:F,3))</f>
        <v/>
      </c>
      <c r="K18" s="10" t="str">
        <f>IF(ISBLANK(A18),"",VLOOKUP(A18,'Abbreviated Jotform Charge List'!A:F,4))</f>
        <v/>
      </c>
      <c r="L18" s="10" t="str">
        <f>IF(ISBLANK(A18),"",VLOOKUP(A18,'Abbreviated Jotform Charge List'!A:F,5))</f>
        <v/>
      </c>
      <c r="M18" s="10" t="str">
        <f>IF(ISBLANK(A18),"",VLOOKUP(A18,'Abbreviated Jotform Charge List'!A:F,6))</f>
        <v/>
      </c>
    </row>
    <row r="19" ht="14.25" customHeight="1">
      <c r="A19" s="56"/>
      <c r="B19" s="56"/>
      <c r="C19" s="56"/>
      <c r="E19" s="10" t="str">
        <f t="shared" si="1"/>
        <v/>
      </c>
      <c r="F19" s="58" t="str">
        <f t="shared" si="2"/>
        <v/>
      </c>
      <c r="G19" s="10" t="str">
        <f>IF(ISBLANK(A19),"",VLOOKUP(A19,'Abbreviated Jotform Charge List'!A:B,2,TRUE))</f>
        <v/>
      </c>
      <c r="H19" s="11" t="str">
        <f t="shared" si="3"/>
        <v> </v>
      </c>
      <c r="J19" s="10" t="str">
        <f>IF(ISBLANK(A19),"",VLOOKUP(A19,'Abbreviated Jotform Charge List'!A:F,3))</f>
        <v/>
      </c>
      <c r="K19" s="10" t="str">
        <f>IF(ISBLANK(A19),"",VLOOKUP(A19,'Abbreviated Jotform Charge List'!A:F,4))</f>
        <v/>
      </c>
      <c r="L19" s="10" t="str">
        <f>IF(ISBLANK(A19),"",VLOOKUP(A19,'Abbreviated Jotform Charge List'!A:F,5))</f>
        <v/>
      </c>
      <c r="M19" s="10" t="str">
        <f>IF(ISBLANK(A19),"",VLOOKUP(A19,'Abbreviated Jotform Charge List'!A:F,6))</f>
        <v/>
      </c>
    </row>
    <row r="20" ht="14.25" customHeight="1">
      <c r="A20" s="56"/>
      <c r="B20" s="56"/>
      <c r="C20" s="56"/>
      <c r="E20" s="10" t="str">
        <f t="shared" si="1"/>
        <v/>
      </c>
      <c r="F20" s="58" t="str">
        <f t="shared" si="2"/>
        <v/>
      </c>
      <c r="G20" s="10" t="str">
        <f>IF(ISBLANK(A20),"",VLOOKUP(A20,'Abbreviated Jotform Charge List'!A:B,2,TRUE))</f>
        <v/>
      </c>
      <c r="H20" s="11" t="str">
        <f t="shared" si="3"/>
        <v> </v>
      </c>
      <c r="J20" s="10" t="str">
        <f>IF(ISBLANK(A20),"",VLOOKUP(A20,'Abbreviated Jotform Charge List'!A:F,3))</f>
        <v/>
      </c>
      <c r="K20" s="10" t="str">
        <f>IF(ISBLANK(A20),"",VLOOKUP(A20,'Abbreviated Jotform Charge List'!A:F,4))</f>
        <v/>
      </c>
      <c r="L20" s="10" t="str">
        <f>IF(ISBLANK(A20),"",VLOOKUP(A20,'Abbreviated Jotform Charge List'!A:F,5))</f>
        <v/>
      </c>
      <c r="M20" s="10" t="str">
        <f>IF(ISBLANK(A20),"",VLOOKUP(A20,'Abbreviated Jotform Charge List'!A:F,6))</f>
        <v/>
      </c>
    </row>
    <row r="21" ht="14.25" customHeight="1">
      <c r="A21" s="56"/>
      <c r="B21" s="56"/>
      <c r="C21" s="56"/>
      <c r="E21" s="10" t="str">
        <f t="shared" si="1"/>
        <v/>
      </c>
      <c r="F21" s="58" t="str">
        <f t="shared" si="2"/>
        <v/>
      </c>
      <c r="G21" s="10" t="str">
        <f>IF(ISBLANK(A21),"",VLOOKUP(A21,'Abbreviated Jotform Charge List'!A:B,2,TRUE))</f>
        <v/>
      </c>
      <c r="H21" s="11" t="str">
        <f t="shared" si="3"/>
        <v> </v>
      </c>
      <c r="J21" s="10" t="str">
        <f>IF(ISBLANK(A21),"",VLOOKUP(A21,'Abbreviated Jotform Charge List'!A:F,3))</f>
        <v/>
      </c>
      <c r="K21" s="10" t="str">
        <f>IF(ISBLANK(A21),"",VLOOKUP(A21,'Abbreviated Jotform Charge List'!A:F,4))</f>
        <v/>
      </c>
      <c r="L21" s="10" t="str">
        <f>IF(ISBLANK(A21),"",VLOOKUP(A21,'Abbreviated Jotform Charge List'!A:F,5))</f>
        <v/>
      </c>
      <c r="M21" s="10" t="str">
        <f>IF(ISBLANK(A21),"",VLOOKUP(A21,'Abbreviated Jotform Charge List'!A:F,6))</f>
        <v/>
      </c>
    </row>
    <row r="22" ht="14.25" customHeight="1">
      <c r="A22" s="56"/>
      <c r="B22" s="56"/>
      <c r="C22" s="56"/>
      <c r="E22" s="10" t="str">
        <f t="shared" si="1"/>
        <v/>
      </c>
      <c r="F22" s="58" t="str">
        <f t="shared" si="2"/>
        <v/>
      </c>
      <c r="G22" s="10" t="str">
        <f>IF(ISBLANK(A22),"",VLOOKUP(A22,'Abbreviated Jotform Charge List'!A:B,2,TRUE))</f>
        <v/>
      </c>
      <c r="H22" s="11" t="str">
        <f t="shared" si="3"/>
        <v> </v>
      </c>
      <c r="J22" s="10" t="str">
        <f>IF(ISBLANK(A22),"",VLOOKUP(A22,'Abbreviated Jotform Charge List'!A:F,3))</f>
        <v/>
      </c>
      <c r="K22" s="10" t="str">
        <f>IF(ISBLANK(A22),"",VLOOKUP(A22,'Abbreviated Jotform Charge List'!A:F,4))</f>
        <v/>
      </c>
      <c r="L22" s="10" t="str">
        <f>IF(ISBLANK(A22),"",VLOOKUP(A22,'Abbreviated Jotform Charge List'!A:F,5))</f>
        <v/>
      </c>
      <c r="M22" s="10" t="str">
        <f>IF(ISBLANK(A22),"",VLOOKUP(A22,'Abbreviated Jotform Charge List'!A:F,6))</f>
        <v/>
      </c>
    </row>
    <row r="23" ht="14.25" customHeight="1">
      <c r="A23" s="56"/>
      <c r="B23" s="56"/>
      <c r="C23" s="56"/>
      <c r="E23" s="10" t="str">
        <f t="shared" si="1"/>
        <v/>
      </c>
      <c r="F23" s="58" t="str">
        <f t="shared" si="2"/>
        <v/>
      </c>
      <c r="G23" s="10" t="str">
        <f>IF(ISBLANK(A23),"",VLOOKUP(A23,'Abbreviated Jotform Charge List'!A:B,2,TRUE))</f>
        <v/>
      </c>
      <c r="H23" s="11" t="str">
        <f t="shared" si="3"/>
        <v> </v>
      </c>
      <c r="J23" s="10" t="str">
        <f>IF(ISBLANK(A23),"",VLOOKUP(A23,'Abbreviated Jotform Charge List'!A:F,3))</f>
        <v/>
      </c>
      <c r="K23" s="10" t="str">
        <f>IF(ISBLANK(A23),"",VLOOKUP(A23,'Abbreviated Jotform Charge List'!A:F,4))</f>
        <v/>
      </c>
      <c r="L23" s="10" t="str">
        <f>IF(ISBLANK(A23),"",VLOOKUP(A23,'Abbreviated Jotform Charge List'!A:F,5))</f>
        <v/>
      </c>
      <c r="M23" s="10" t="str">
        <f>IF(ISBLANK(A23),"",VLOOKUP(A23,'Abbreviated Jotform Charge List'!A:F,6))</f>
        <v/>
      </c>
    </row>
    <row r="24" ht="14.25" customHeight="1">
      <c r="A24" s="56"/>
      <c r="B24" s="56"/>
      <c r="C24" s="56"/>
      <c r="E24" s="10" t="str">
        <f t="shared" si="1"/>
        <v/>
      </c>
      <c r="F24" s="58" t="str">
        <f t="shared" si="2"/>
        <v/>
      </c>
      <c r="G24" s="10" t="str">
        <f>IF(ISBLANK(A24),"",VLOOKUP(A24,'Abbreviated Jotform Charge List'!A:B,2,TRUE))</f>
        <v/>
      </c>
      <c r="H24" s="11" t="str">
        <f t="shared" si="3"/>
        <v> </v>
      </c>
      <c r="J24" s="10" t="str">
        <f>IF(ISBLANK(A24),"",VLOOKUP(A24,'Abbreviated Jotform Charge List'!A:F,3))</f>
        <v/>
      </c>
      <c r="K24" s="10" t="str">
        <f>IF(ISBLANK(A24),"",VLOOKUP(A24,'Abbreviated Jotform Charge List'!A:F,4))</f>
        <v/>
      </c>
      <c r="L24" s="10" t="str">
        <f>IF(ISBLANK(A24),"",VLOOKUP(A24,'Abbreviated Jotform Charge List'!A:F,5))</f>
        <v/>
      </c>
      <c r="M24" s="10" t="str">
        <f>IF(ISBLANK(A24),"",VLOOKUP(A24,'Abbreviated Jotform Charge List'!A:F,6))</f>
        <v/>
      </c>
    </row>
    <row r="25" ht="14.25" customHeight="1">
      <c r="A25" s="56"/>
      <c r="B25" s="56"/>
      <c r="C25" s="56"/>
      <c r="E25" s="10" t="str">
        <f t="shared" si="1"/>
        <v/>
      </c>
      <c r="F25" s="58" t="str">
        <f t="shared" si="2"/>
        <v/>
      </c>
      <c r="G25" s="10" t="str">
        <f>IF(ISBLANK(A25),"",VLOOKUP(A25,'Abbreviated Jotform Charge List'!A:B,2,TRUE))</f>
        <v/>
      </c>
      <c r="H25" s="11" t="str">
        <f t="shared" si="3"/>
        <v> </v>
      </c>
      <c r="J25" s="10" t="str">
        <f>IF(ISBLANK(A25),"",VLOOKUP(A25,'Abbreviated Jotform Charge List'!A:F,3))</f>
        <v/>
      </c>
      <c r="K25" s="10" t="str">
        <f>IF(ISBLANK(A25),"",VLOOKUP(A25,'Abbreviated Jotform Charge List'!A:F,4))</f>
        <v/>
      </c>
      <c r="L25" s="10" t="str">
        <f>IF(ISBLANK(A25),"",VLOOKUP(A25,'Abbreviated Jotform Charge List'!A:F,5))</f>
        <v/>
      </c>
      <c r="M25" s="10" t="str">
        <f>IF(ISBLANK(A25),"",VLOOKUP(A25,'Abbreviated Jotform Charge List'!A:F,6))</f>
        <v/>
      </c>
    </row>
    <row r="26" ht="14.25" customHeight="1">
      <c r="A26" s="56"/>
      <c r="B26" s="56"/>
      <c r="C26" s="56"/>
      <c r="E26" s="10" t="str">
        <f t="shared" si="1"/>
        <v/>
      </c>
      <c r="F26" s="58" t="str">
        <f t="shared" si="2"/>
        <v/>
      </c>
      <c r="G26" s="10" t="str">
        <f>IF(ISBLANK(A26),"",VLOOKUP(A26,'Abbreviated Jotform Charge List'!A:B,2,TRUE))</f>
        <v/>
      </c>
      <c r="H26" s="11" t="str">
        <f t="shared" si="3"/>
        <v> </v>
      </c>
      <c r="J26" s="10" t="str">
        <f>IF(ISBLANK(A26),"",VLOOKUP(A26,'Abbreviated Jotform Charge List'!A:F,3))</f>
        <v/>
      </c>
      <c r="K26" s="10" t="str">
        <f>IF(ISBLANK(A26),"",VLOOKUP(A26,'Abbreviated Jotform Charge List'!A:F,4))</f>
        <v/>
      </c>
      <c r="L26" s="10" t="str">
        <f>IF(ISBLANK(A26),"",VLOOKUP(A26,'Abbreviated Jotform Charge List'!A:F,5))</f>
        <v/>
      </c>
      <c r="M26" s="10" t="str">
        <f>IF(ISBLANK(A26),"",VLOOKUP(A26,'Abbreviated Jotform Charge List'!A:F,6))</f>
        <v/>
      </c>
    </row>
    <row r="27" ht="14.25" customHeight="1">
      <c r="A27" s="56"/>
      <c r="B27" s="56"/>
      <c r="C27" s="56"/>
      <c r="E27" s="10" t="str">
        <f t="shared" si="1"/>
        <v/>
      </c>
      <c r="F27" s="58" t="str">
        <f t="shared" si="2"/>
        <v/>
      </c>
      <c r="G27" s="10" t="str">
        <f>IF(ISBLANK(A27),"",VLOOKUP(A27,'Abbreviated Jotform Charge List'!A:B,2,TRUE))</f>
        <v/>
      </c>
      <c r="H27" s="11" t="str">
        <f t="shared" si="3"/>
        <v> </v>
      </c>
      <c r="J27" s="10" t="str">
        <f>IF(ISBLANK(A27),"",VLOOKUP(A27,'Abbreviated Jotform Charge List'!A:F,3))</f>
        <v/>
      </c>
      <c r="K27" s="10" t="str">
        <f>IF(ISBLANK(A27),"",VLOOKUP(A27,'Abbreviated Jotform Charge List'!A:F,4))</f>
        <v/>
      </c>
      <c r="L27" s="10" t="str">
        <f>IF(ISBLANK(A27),"",VLOOKUP(A27,'Abbreviated Jotform Charge List'!A:F,5))</f>
        <v/>
      </c>
      <c r="M27" s="10" t="str">
        <f>IF(ISBLANK(A27),"",VLOOKUP(A27,'Abbreviated Jotform Charge List'!A:F,6))</f>
        <v/>
      </c>
    </row>
    <row r="28" ht="14.25" customHeight="1">
      <c r="A28" s="56"/>
      <c r="B28" s="56"/>
      <c r="C28" s="56"/>
      <c r="E28" s="10" t="str">
        <f t="shared" si="1"/>
        <v/>
      </c>
      <c r="F28" s="58" t="str">
        <f t="shared" si="2"/>
        <v/>
      </c>
      <c r="G28" s="10" t="str">
        <f>IF(ISBLANK(A28),"",VLOOKUP(A28,'Abbreviated Jotform Charge List'!A:B,2,TRUE))</f>
        <v/>
      </c>
      <c r="H28" s="11" t="str">
        <f t="shared" si="3"/>
        <v> </v>
      </c>
      <c r="J28" s="10" t="str">
        <f>IF(ISBLANK(A28),"",VLOOKUP(A28,'Abbreviated Jotform Charge List'!A:F,3))</f>
        <v/>
      </c>
      <c r="K28" s="10" t="str">
        <f>IF(ISBLANK(A28),"",VLOOKUP(A28,'Abbreviated Jotform Charge List'!A:F,4))</f>
        <v/>
      </c>
      <c r="L28" s="10" t="str">
        <f>IF(ISBLANK(A28),"",VLOOKUP(A28,'Abbreviated Jotform Charge List'!A:F,5))</f>
        <v/>
      </c>
      <c r="M28" s="10" t="str">
        <f>IF(ISBLANK(A28),"",VLOOKUP(A28,'Abbreviated Jotform Charge List'!A:F,6))</f>
        <v/>
      </c>
    </row>
    <row r="29" ht="14.25" customHeight="1">
      <c r="A29" s="56"/>
      <c r="B29" s="56"/>
      <c r="C29" s="56"/>
      <c r="E29" s="10" t="str">
        <f t="shared" si="1"/>
        <v/>
      </c>
      <c r="F29" s="58" t="str">
        <f t="shared" si="2"/>
        <v/>
      </c>
      <c r="G29" s="10" t="str">
        <f>IF(ISBLANK(A29),"",VLOOKUP(A29,'Abbreviated Jotform Charge List'!A:B,2,TRUE))</f>
        <v/>
      </c>
      <c r="H29" s="11" t="str">
        <f t="shared" si="3"/>
        <v> </v>
      </c>
      <c r="J29" s="10" t="str">
        <f>IF(ISBLANK(A29),"",VLOOKUP(A29,'Abbreviated Jotform Charge List'!A:F,3))</f>
        <v/>
      </c>
      <c r="K29" s="10" t="str">
        <f>IF(ISBLANK(A29),"",VLOOKUP(A29,'Abbreviated Jotform Charge List'!A:F,4))</f>
        <v/>
      </c>
      <c r="L29" s="10" t="str">
        <f>IF(ISBLANK(A29),"",VLOOKUP(A29,'Abbreviated Jotform Charge List'!A:F,5))</f>
        <v/>
      </c>
      <c r="M29" s="10" t="str">
        <f>IF(ISBLANK(A29),"",VLOOKUP(A29,'Abbreviated Jotform Charge List'!A:F,6))</f>
        <v/>
      </c>
    </row>
    <row r="30" ht="14.25" customHeight="1">
      <c r="A30" s="56"/>
      <c r="B30" s="56"/>
      <c r="C30" s="56"/>
      <c r="E30" s="10" t="str">
        <f t="shared" si="1"/>
        <v/>
      </c>
      <c r="F30" s="58" t="str">
        <f t="shared" si="2"/>
        <v/>
      </c>
      <c r="G30" s="10" t="str">
        <f>IF(ISBLANK(A30),"",VLOOKUP(A30,'Abbreviated Jotform Charge List'!A:B,2,TRUE))</f>
        <v/>
      </c>
      <c r="H30" s="11" t="str">
        <f t="shared" si="3"/>
        <v> </v>
      </c>
      <c r="J30" s="10" t="str">
        <f>IF(ISBLANK(A30),"",VLOOKUP(A30,'Abbreviated Jotform Charge List'!A:F,3))</f>
        <v/>
      </c>
      <c r="K30" s="10" t="str">
        <f>IF(ISBLANK(A30),"",VLOOKUP(A30,'Abbreviated Jotform Charge List'!A:F,4))</f>
        <v/>
      </c>
      <c r="L30" s="10" t="str">
        <f>IF(ISBLANK(A30),"",VLOOKUP(A30,'Abbreviated Jotform Charge List'!A:F,5))</f>
        <v/>
      </c>
      <c r="M30" s="10" t="str">
        <f>IF(ISBLANK(A30),"",VLOOKUP(A30,'Abbreviated Jotform Charge List'!A:F,6))</f>
        <v/>
      </c>
    </row>
    <row r="31" ht="14.25" customHeight="1">
      <c r="A31" s="56"/>
      <c r="B31" s="56"/>
      <c r="C31" s="56"/>
      <c r="E31" s="10" t="str">
        <f t="shared" si="1"/>
        <v/>
      </c>
      <c r="F31" s="58" t="str">
        <f t="shared" si="2"/>
        <v/>
      </c>
      <c r="G31" s="10" t="str">
        <f>IF(ISBLANK(A31),"",VLOOKUP(A31,'Abbreviated Jotform Charge List'!A:B,2,TRUE))</f>
        <v/>
      </c>
      <c r="H31" s="11" t="str">
        <f t="shared" si="3"/>
        <v> </v>
      </c>
      <c r="J31" s="10" t="str">
        <f>IF(ISBLANK(A31),"",VLOOKUP(A31,'Abbreviated Jotform Charge List'!A:F,3))</f>
        <v/>
      </c>
      <c r="K31" s="10" t="str">
        <f>IF(ISBLANK(A31),"",VLOOKUP(A31,'Abbreviated Jotform Charge List'!A:F,4))</f>
        <v/>
      </c>
      <c r="L31" s="10" t="str">
        <f>IF(ISBLANK(A31),"",VLOOKUP(A31,'Abbreviated Jotform Charge List'!A:F,5))</f>
        <v/>
      </c>
      <c r="M31" s="10" t="str">
        <f>IF(ISBLANK(A31),"",VLOOKUP(A31,'Abbreviated Jotform Charge List'!A:F,6))</f>
        <v/>
      </c>
    </row>
    <row r="32" ht="14.25" customHeight="1">
      <c r="A32" s="56"/>
      <c r="B32" s="56"/>
      <c r="C32" s="56"/>
      <c r="E32" s="10" t="str">
        <f t="shared" si="1"/>
        <v/>
      </c>
      <c r="F32" s="58" t="str">
        <f t="shared" si="2"/>
        <v/>
      </c>
      <c r="G32" s="10" t="str">
        <f>IF(ISBLANK(A32),"",VLOOKUP(A32,'Abbreviated Jotform Charge List'!A:B,2,TRUE))</f>
        <v/>
      </c>
      <c r="H32" s="11" t="str">
        <f t="shared" si="3"/>
        <v> </v>
      </c>
      <c r="J32" s="10" t="str">
        <f>IF(ISBLANK(A32),"",VLOOKUP(A32,'Abbreviated Jotform Charge List'!A:F,3))</f>
        <v/>
      </c>
      <c r="K32" s="10" t="str">
        <f>IF(ISBLANK(A32),"",VLOOKUP(A32,'Abbreviated Jotform Charge List'!A:F,4))</f>
        <v/>
      </c>
      <c r="L32" s="10" t="str">
        <f>IF(ISBLANK(A32),"",VLOOKUP(A32,'Abbreviated Jotform Charge List'!A:F,5))</f>
        <v/>
      </c>
      <c r="M32" s="10" t="str">
        <f>IF(ISBLANK(A32),"",VLOOKUP(A32,'Abbreviated Jotform Charge List'!A:F,6))</f>
        <v/>
      </c>
    </row>
    <row r="33" ht="14.25" customHeight="1">
      <c r="A33" s="56"/>
      <c r="B33" s="56"/>
      <c r="C33" s="56"/>
      <c r="E33" s="10" t="str">
        <f t="shared" si="1"/>
        <v/>
      </c>
      <c r="F33" s="58" t="str">
        <f t="shared" si="2"/>
        <v/>
      </c>
      <c r="G33" s="10" t="str">
        <f>IF(ISBLANK(A33),"",VLOOKUP(A33,'Abbreviated Jotform Charge List'!A:B,2,TRUE))</f>
        <v/>
      </c>
      <c r="H33" s="11" t="str">
        <f t="shared" si="3"/>
        <v> </v>
      </c>
      <c r="J33" s="10" t="str">
        <f>IF(ISBLANK(A33),"",VLOOKUP(A33,'Abbreviated Jotform Charge List'!A:F,3))</f>
        <v/>
      </c>
      <c r="K33" s="10" t="str">
        <f>IF(ISBLANK(A33),"",VLOOKUP(A33,'Abbreviated Jotform Charge List'!A:F,4))</f>
        <v/>
      </c>
      <c r="L33" s="10" t="str">
        <f>IF(ISBLANK(A33),"",VLOOKUP(A33,'Abbreviated Jotform Charge List'!A:F,5))</f>
        <v/>
      </c>
      <c r="M33" s="10" t="str">
        <f>IF(ISBLANK(A33),"",VLOOKUP(A33,'Abbreviated Jotform Charge List'!A:F,6))</f>
        <v/>
      </c>
    </row>
    <row r="34" ht="14.25" customHeight="1">
      <c r="A34" s="56"/>
      <c r="B34" s="56"/>
      <c r="C34" s="56"/>
      <c r="E34" s="10" t="str">
        <f t="shared" si="1"/>
        <v/>
      </c>
      <c r="F34" s="58" t="str">
        <f t="shared" si="2"/>
        <v/>
      </c>
      <c r="G34" s="10" t="str">
        <f>IF(ISBLANK(A34),"",VLOOKUP(A34,'Abbreviated Jotform Charge List'!A:B,2,TRUE))</f>
        <v/>
      </c>
      <c r="H34" s="11" t="str">
        <f t="shared" si="3"/>
        <v> </v>
      </c>
      <c r="J34" s="10" t="str">
        <f>IF(ISBLANK(A34),"",VLOOKUP(A34,'Abbreviated Jotform Charge List'!A:F,3))</f>
        <v/>
      </c>
      <c r="K34" s="10" t="str">
        <f>IF(ISBLANK(A34),"",VLOOKUP(A34,'Abbreviated Jotform Charge List'!A:F,4))</f>
        <v/>
      </c>
      <c r="L34" s="10" t="str">
        <f>IF(ISBLANK(A34),"",VLOOKUP(A34,'Abbreviated Jotform Charge List'!A:F,5))</f>
        <v/>
      </c>
      <c r="M34" s="10" t="str">
        <f>IF(ISBLANK(A34),"",VLOOKUP(A34,'Abbreviated Jotform Charge List'!A:F,6))</f>
        <v/>
      </c>
    </row>
    <row r="35" ht="14.25" customHeight="1">
      <c r="A35" s="56"/>
      <c r="B35" s="56"/>
      <c r="C35" s="56"/>
      <c r="E35" s="10" t="str">
        <f t="shared" si="1"/>
        <v/>
      </c>
      <c r="F35" s="58" t="str">
        <f t="shared" si="2"/>
        <v/>
      </c>
      <c r="G35" s="10" t="str">
        <f>IF(ISBLANK(A35),"",VLOOKUP(A35,'Abbreviated Jotform Charge List'!A:B,2,TRUE))</f>
        <v/>
      </c>
      <c r="H35" s="11" t="str">
        <f t="shared" si="3"/>
        <v> </v>
      </c>
      <c r="J35" s="10" t="str">
        <f>IF(ISBLANK(A35),"",VLOOKUP(A35,'Abbreviated Jotform Charge List'!A:F,3))</f>
        <v/>
      </c>
      <c r="K35" s="10" t="str">
        <f>IF(ISBLANK(A35),"",VLOOKUP(A35,'Abbreviated Jotform Charge List'!A:F,4))</f>
        <v/>
      </c>
      <c r="L35" s="10" t="str">
        <f>IF(ISBLANK(A35),"",VLOOKUP(A35,'Abbreviated Jotform Charge List'!A:F,5))</f>
        <v/>
      </c>
      <c r="M35" s="10" t="str">
        <f>IF(ISBLANK(A35),"",VLOOKUP(A35,'Abbreviated Jotform Charge List'!A:F,6))</f>
        <v/>
      </c>
    </row>
    <row r="36" ht="14.25" customHeight="1">
      <c r="A36" s="56"/>
      <c r="B36" s="56"/>
      <c r="C36" s="56"/>
      <c r="E36" s="10" t="str">
        <f t="shared" si="1"/>
        <v/>
      </c>
      <c r="F36" s="58" t="str">
        <f t="shared" si="2"/>
        <v/>
      </c>
      <c r="G36" s="10" t="str">
        <f>IF(ISBLANK(A36),"",VLOOKUP(A36,'Abbreviated Jotform Charge List'!A:B,2,TRUE))</f>
        <v/>
      </c>
      <c r="H36" s="11" t="str">
        <f t="shared" si="3"/>
        <v> </v>
      </c>
      <c r="J36" s="10" t="str">
        <f>IF(ISBLANK(A36),"",VLOOKUP(A36,'Abbreviated Jotform Charge List'!A:F,3))</f>
        <v/>
      </c>
      <c r="K36" s="10" t="str">
        <f>IF(ISBLANK(A36),"",VLOOKUP(A36,'Abbreviated Jotform Charge List'!A:F,4))</f>
        <v/>
      </c>
      <c r="L36" s="10" t="str">
        <f>IF(ISBLANK(A36),"",VLOOKUP(A36,'Abbreviated Jotform Charge List'!A:F,5))</f>
        <v/>
      </c>
      <c r="M36" s="10" t="str">
        <f>IF(ISBLANK(A36),"",VLOOKUP(A36,'Abbreviated Jotform Charge List'!A:F,6))</f>
        <v/>
      </c>
    </row>
    <row r="37" ht="14.25" customHeight="1">
      <c r="A37" s="56"/>
      <c r="B37" s="56"/>
      <c r="C37" s="56"/>
      <c r="E37" s="10" t="str">
        <f t="shared" si="1"/>
        <v/>
      </c>
      <c r="F37" s="58" t="str">
        <f t="shared" si="2"/>
        <v/>
      </c>
      <c r="G37" s="10" t="str">
        <f>IF(ISBLANK(A37),"",VLOOKUP(A37,'Abbreviated Jotform Charge List'!A:B,2,TRUE))</f>
        <v/>
      </c>
      <c r="H37" s="11" t="str">
        <f t="shared" si="3"/>
        <v> </v>
      </c>
      <c r="J37" s="10" t="str">
        <f>IF(ISBLANK(A37),"",VLOOKUP(A37,'Abbreviated Jotform Charge List'!A:F,3))</f>
        <v/>
      </c>
      <c r="K37" s="10" t="str">
        <f>IF(ISBLANK(A37),"",VLOOKUP(A37,'Abbreviated Jotform Charge List'!A:F,4))</f>
        <v/>
      </c>
      <c r="L37" s="10" t="str">
        <f>IF(ISBLANK(A37),"",VLOOKUP(A37,'Abbreviated Jotform Charge List'!A:F,5))</f>
        <v/>
      </c>
      <c r="M37" s="10" t="str">
        <f>IF(ISBLANK(A37),"",VLOOKUP(A37,'Abbreviated Jotform Charge List'!A:F,6))</f>
        <v/>
      </c>
    </row>
    <row r="38" ht="14.25" customHeight="1">
      <c r="A38" s="56"/>
      <c r="B38" s="56"/>
      <c r="C38" s="56"/>
      <c r="E38" s="10" t="str">
        <f t="shared" si="1"/>
        <v/>
      </c>
      <c r="F38" s="58" t="str">
        <f t="shared" si="2"/>
        <v/>
      </c>
      <c r="G38" s="10" t="str">
        <f>IF(ISBLANK(A38),"",VLOOKUP(A38,'Abbreviated Jotform Charge List'!A:B,2,TRUE))</f>
        <v/>
      </c>
      <c r="H38" s="11" t="str">
        <f t="shared" si="3"/>
        <v> </v>
      </c>
      <c r="J38" s="10" t="str">
        <f>IF(ISBLANK(A38),"",VLOOKUP(A38,'Abbreviated Jotform Charge List'!A:F,3))</f>
        <v/>
      </c>
      <c r="K38" s="10" t="str">
        <f>IF(ISBLANK(A38),"",VLOOKUP(A38,'Abbreviated Jotform Charge List'!A:F,4))</f>
        <v/>
      </c>
      <c r="L38" s="10" t="str">
        <f>IF(ISBLANK(A38),"",VLOOKUP(A38,'Abbreviated Jotform Charge List'!A:F,5))</f>
        <v/>
      </c>
      <c r="M38" s="10" t="str">
        <f>IF(ISBLANK(A38),"",VLOOKUP(A38,'Abbreviated Jotform Charge List'!A:F,6))</f>
        <v/>
      </c>
    </row>
    <row r="39" ht="14.25" customHeight="1">
      <c r="A39" s="56"/>
      <c r="B39" s="56"/>
      <c r="C39" s="56"/>
      <c r="E39" s="10" t="str">
        <f t="shared" si="1"/>
        <v/>
      </c>
      <c r="F39" s="58" t="str">
        <f t="shared" si="2"/>
        <v/>
      </c>
      <c r="G39" s="10" t="str">
        <f>IF(ISBLANK(A39),"",VLOOKUP(A39,'Abbreviated Jotform Charge List'!A:B,2,TRUE))</f>
        <v/>
      </c>
      <c r="H39" s="11" t="str">
        <f t="shared" si="3"/>
        <v> </v>
      </c>
      <c r="J39" s="10" t="str">
        <f>IF(ISBLANK(A39),"",VLOOKUP(A39,'Abbreviated Jotform Charge List'!A:F,3))</f>
        <v/>
      </c>
      <c r="K39" s="10" t="str">
        <f>IF(ISBLANK(A39),"",VLOOKUP(A39,'Abbreviated Jotform Charge List'!A:F,4))</f>
        <v/>
      </c>
      <c r="L39" s="10" t="str">
        <f>IF(ISBLANK(A39),"",VLOOKUP(A39,'Abbreviated Jotform Charge List'!A:F,5))</f>
        <v/>
      </c>
      <c r="M39" s="10" t="str">
        <f>IF(ISBLANK(A39),"",VLOOKUP(A39,'Abbreviated Jotform Charge List'!A:F,6))</f>
        <v/>
      </c>
    </row>
    <row r="40" ht="14.25" customHeight="1">
      <c r="A40" s="56"/>
      <c r="B40" s="56"/>
      <c r="C40" s="56"/>
      <c r="E40" s="10" t="str">
        <f t="shared" si="1"/>
        <v/>
      </c>
      <c r="F40" s="58" t="str">
        <f t="shared" si="2"/>
        <v/>
      </c>
      <c r="G40" s="10" t="str">
        <f>IF(ISBLANK(A40),"",VLOOKUP(A40,'Abbreviated Jotform Charge List'!A:B,2,TRUE))</f>
        <v/>
      </c>
      <c r="H40" s="11" t="str">
        <f t="shared" si="3"/>
        <v> </v>
      </c>
      <c r="J40" s="10" t="str">
        <f>IF(ISBLANK(A40),"",VLOOKUP(A40,'Abbreviated Jotform Charge List'!A:F,3))</f>
        <v/>
      </c>
      <c r="K40" s="10" t="str">
        <f>IF(ISBLANK(A40),"",VLOOKUP(A40,'Abbreviated Jotform Charge List'!A:F,4))</f>
        <v/>
      </c>
      <c r="L40" s="10" t="str">
        <f>IF(ISBLANK(A40),"",VLOOKUP(A40,'Abbreviated Jotform Charge List'!A:F,5))</f>
        <v/>
      </c>
      <c r="M40" s="10" t="str">
        <f>IF(ISBLANK(A40),"",VLOOKUP(A40,'Abbreviated Jotform Charge List'!A:F,6))</f>
        <v/>
      </c>
    </row>
    <row r="41" ht="14.25" customHeight="1">
      <c r="A41" s="56"/>
      <c r="B41" s="56"/>
      <c r="C41" s="56"/>
      <c r="E41" s="10" t="str">
        <f t="shared" si="1"/>
        <v/>
      </c>
      <c r="F41" s="58" t="str">
        <f t="shared" si="2"/>
        <v/>
      </c>
      <c r="G41" s="10" t="str">
        <f>IF(ISBLANK(A41),"",VLOOKUP(A41,'Abbreviated Jotform Charge List'!A:B,2,TRUE))</f>
        <v/>
      </c>
      <c r="H41" s="11" t="str">
        <f t="shared" si="3"/>
        <v> </v>
      </c>
      <c r="J41" s="10" t="str">
        <f>IF(ISBLANK(A41),"",VLOOKUP(A41,'Abbreviated Jotform Charge List'!A:F,3))</f>
        <v/>
      </c>
      <c r="K41" s="10" t="str">
        <f>IF(ISBLANK(A41),"",VLOOKUP(A41,'Abbreviated Jotform Charge List'!A:F,4))</f>
        <v/>
      </c>
      <c r="L41" s="10" t="str">
        <f>IF(ISBLANK(A41),"",VLOOKUP(A41,'Abbreviated Jotform Charge List'!A:F,5))</f>
        <v/>
      </c>
      <c r="M41" s="10" t="str">
        <f>IF(ISBLANK(A41),"",VLOOKUP(A41,'Abbreviated Jotform Charge List'!A:F,6))</f>
        <v/>
      </c>
    </row>
    <row r="42" ht="14.25" customHeight="1">
      <c r="A42" s="56"/>
      <c r="B42" s="56"/>
      <c r="C42" s="56"/>
      <c r="E42" s="10" t="str">
        <f t="shared" si="1"/>
        <v/>
      </c>
      <c r="F42" s="58" t="str">
        <f t="shared" si="2"/>
        <v/>
      </c>
      <c r="G42" s="10" t="str">
        <f>IF(ISBLANK(A42),"",VLOOKUP(A42,'Abbreviated Jotform Charge List'!A:B,2,TRUE))</f>
        <v/>
      </c>
      <c r="H42" s="11" t="str">
        <f t="shared" si="3"/>
        <v> </v>
      </c>
      <c r="J42" s="10" t="str">
        <f>IF(ISBLANK(A42),"",VLOOKUP(A42,'Abbreviated Jotform Charge List'!A:F,3))</f>
        <v/>
      </c>
      <c r="K42" s="10" t="str">
        <f>IF(ISBLANK(A42),"",VLOOKUP(A42,'Abbreviated Jotform Charge List'!A:F,4))</f>
        <v/>
      </c>
      <c r="L42" s="10" t="str">
        <f>IF(ISBLANK(A42),"",VLOOKUP(A42,'Abbreviated Jotform Charge List'!A:F,5))</f>
        <v/>
      </c>
      <c r="M42" s="10" t="str">
        <f>IF(ISBLANK(A42),"",VLOOKUP(A42,'Abbreviated Jotform Charge List'!A:F,6))</f>
        <v/>
      </c>
    </row>
    <row r="43" ht="14.25" customHeight="1">
      <c r="A43" s="56"/>
      <c r="B43" s="56"/>
      <c r="C43" s="56"/>
      <c r="E43" s="10" t="str">
        <f t="shared" si="1"/>
        <v/>
      </c>
      <c r="F43" s="58" t="str">
        <f t="shared" si="2"/>
        <v/>
      </c>
      <c r="G43" s="10" t="str">
        <f>IF(ISBLANK(A43),"",VLOOKUP(A43,'Abbreviated Jotform Charge List'!A:B,2,TRUE))</f>
        <v/>
      </c>
      <c r="H43" s="11" t="str">
        <f t="shared" si="3"/>
        <v> </v>
      </c>
      <c r="J43" s="10" t="str">
        <f>IF(ISBLANK(A43),"",VLOOKUP(A43,'Abbreviated Jotform Charge List'!A:F,3))</f>
        <v/>
      </c>
      <c r="K43" s="10" t="str">
        <f>IF(ISBLANK(A43),"",VLOOKUP(A43,'Abbreviated Jotform Charge List'!A:F,4))</f>
        <v/>
      </c>
      <c r="L43" s="10" t="str">
        <f>IF(ISBLANK(A43),"",VLOOKUP(A43,'Abbreviated Jotform Charge List'!A:F,5))</f>
        <v/>
      </c>
      <c r="M43" s="10" t="str">
        <f>IF(ISBLANK(A43),"",VLOOKUP(A43,'Abbreviated Jotform Charge List'!A:F,6))</f>
        <v/>
      </c>
    </row>
    <row r="44" ht="14.25" customHeight="1">
      <c r="A44" s="56"/>
      <c r="B44" s="56"/>
      <c r="C44" s="56"/>
      <c r="E44" s="10" t="str">
        <f t="shared" si="1"/>
        <v/>
      </c>
      <c r="F44" s="58" t="str">
        <f t="shared" si="2"/>
        <v/>
      </c>
      <c r="G44" s="10" t="str">
        <f>IF(ISBLANK(A44),"",VLOOKUP(A44,'Abbreviated Jotform Charge List'!A:B,2,TRUE))</f>
        <v/>
      </c>
      <c r="H44" s="11" t="str">
        <f t="shared" si="3"/>
        <v> </v>
      </c>
      <c r="J44" s="10" t="str">
        <f>IF(ISBLANK(A44),"",VLOOKUP(A44,'Abbreviated Jotform Charge List'!A:F,3))</f>
        <v/>
      </c>
      <c r="K44" s="10" t="str">
        <f>IF(ISBLANK(A44),"",VLOOKUP(A44,'Abbreviated Jotform Charge List'!A:F,4))</f>
        <v/>
      </c>
      <c r="L44" s="10" t="str">
        <f>IF(ISBLANK(A44),"",VLOOKUP(A44,'Abbreviated Jotform Charge List'!A:F,5))</f>
        <v/>
      </c>
      <c r="M44" s="10" t="str">
        <f>IF(ISBLANK(A44),"",VLOOKUP(A44,'Abbreviated Jotform Charge List'!A:F,6))</f>
        <v/>
      </c>
    </row>
    <row r="45" ht="14.25" customHeight="1">
      <c r="A45" s="56"/>
      <c r="B45" s="56"/>
      <c r="C45" s="56"/>
      <c r="E45" s="10" t="str">
        <f t="shared" si="1"/>
        <v/>
      </c>
      <c r="F45" s="58" t="str">
        <f t="shared" si="2"/>
        <v/>
      </c>
      <c r="G45" s="10" t="str">
        <f>IF(ISBLANK(A45),"",VLOOKUP(A45,'Abbreviated Jotform Charge List'!A:B,2,TRUE))</f>
        <v/>
      </c>
      <c r="H45" s="11" t="str">
        <f t="shared" si="3"/>
        <v> </v>
      </c>
      <c r="J45" s="10" t="str">
        <f>IF(ISBLANK(A45),"",VLOOKUP(A45,'Abbreviated Jotform Charge List'!A:F,3))</f>
        <v/>
      </c>
      <c r="K45" s="10" t="str">
        <f>IF(ISBLANK(A45),"",VLOOKUP(A45,'Abbreviated Jotform Charge List'!A:F,4))</f>
        <v/>
      </c>
      <c r="L45" s="10" t="str">
        <f>IF(ISBLANK(A45),"",VLOOKUP(A45,'Abbreviated Jotform Charge List'!A:F,5))</f>
        <v/>
      </c>
      <c r="M45" s="10" t="str">
        <f>IF(ISBLANK(A45),"",VLOOKUP(A45,'Abbreviated Jotform Charge List'!A:F,6))</f>
        <v/>
      </c>
    </row>
    <row r="46" ht="14.25" customHeight="1">
      <c r="A46" s="56"/>
      <c r="B46" s="56"/>
      <c r="C46" s="56"/>
      <c r="E46" s="10" t="str">
        <f t="shared" si="1"/>
        <v/>
      </c>
      <c r="F46" s="58" t="str">
        <f t="shared" si="2"/>
        <v/>
      </c>
      <c r="G46" s="10" t="str">
        <f>IF(ISBLANK(A46),"",VLOOKUP(A46,'Abbreviated Jotform Charge List'!A:B,2,TRUE))</f>
        <v/>
      </c>
      <c r="H46" s="11" t="str">
        <f t="shared" si="3"/>
        <v> </v>
      </c>
      <c r="J46" s="10" t="str">
        <f>IF(ISBLANK(A46),"",VLOOKUP(A46,'Abbreviated Jotform Charge List'!A:F,3))</f>
        <v/>
      </c>
      <c r="K46" s="10" t="str">
        <f>IF(ISBLANK(A46),"",VLOOKUP(A46,'Abbreviated Jotform Charge List'!A:F,4))</f>
        <v/>
      </c>
      <c r="L46" s="10" t="str">
        <f>IF(ISBLANK(A46),"",VLOOKUP(A46,'Abbreviated Jotform Charge List'!A:F,5))</f>
        <v/>
      </c>
      <c r="M46" s="10" t="str">
        <f>IF(ISBLANK(A46),"",VLOOKUP(A46,'Abbreviated Jotform Charge List'!A:F,6))</f>
        <v/>
      </c>
    </row>
    <row r="47" ht="14.25" customHeight="1">
      <c r="A47" s="56"/>
      <c r="B47" s="56"/>
      <c r="C47" s="56"/>
      <c r="E47" s="10" t="str">
        <f t="shared" si="1"/>
        <v/>
      </c>
      <c r="F47" s="58" t="str">
        <f t="shared" si="2"/>
        <v/>
      </c>
      <c r="G47" s="10" t="str">
        <f>IF(ISBLANK(A47),"",VLOOKUP(A47,'Abbreviated Jotform Charge List'!A:B,2,TRUE))</f>
        <v/>
      </c>
      <c r="H47" s="11" t="str">
        <f t="shared" si="3"/>
        <v> </v>
      </c>
      <c r="J47" s="10" t="str">
        <f>IF(ISBLANK(A47),"",VLOOKUP(A47,'Abbreviated Jotform Charge List'!A:F,3))</f>
        <v/>
      </c>
      <c r="K47" s="10" t="str">
        <f>IF(ISBLANK(A47),"",VLOOKUP(A47,'Abbreviated Jotform Charge List'!A:F,4))</f>
        <v/>
      </c>
      <c r="L47" s="10" t="str">
        <f>IF(ISBLANK(A47),"",VLOOKUP(A47,'Abbreviated Jotform Charge List'!A:F,5))</f>
        <v/>
      </c>
      <c r="M47" s="10" t="str">
        <f>IF(ISBLANK(A47),"",VLOOKUP(A47,'Abbreviated Jotform Charge List'!A:F,6))</f>
        <v/>
      </c>
    </row>
    <row r="48" ht="14.25" customHeight="1">
      <c r="A48" s="56"/>
      <c r="B48" s="56"/>
      <c r="C48" s="56"/>
      <c r="E48" s="10" t="str">
        <f t="shared" si="1"/>
        <v/>
      </c>
      <c r="F48" s="58" t="str">
        <f t="shared" si="2"/>
        <v/>
      </c>
      <c r="G48" s="10" t="str">
        <f>IF(ISBLANK(A48),"",VLOOKUP(A48,'Abbreviated Jotform Charge List'!A:B,2,TRUE))</f>
        <v/>
      </c>
      <c r="H48" s="11" t="str">
        <f t="shared" si="3"/>
        <v> </v>
      </c>
      <c r="J48" s="10" t="str">
        <f>IF(ISBLANK(A48),"",VLOOKUP(A48,'Abbreviated Jotform Charge List'!A:F,3))</f>
        <v/>
      </c>
      <c r="K48" s="10" t="str">
        <f>IF(ISBLANK(A48),"",VLOOKUP(A48,'Abbreviated Jotform Charge List'!A:F,4))</f>
        <v/>
      </c>
      <c r="L48" s="10" t="str">
        <f>IF(ISBLANK(A48),"",VLOOKUP(A48,'Abbreviated Jotform Charge List'!A:F,5))</f>
        <v/>
      </c>
      <c r="M48" s="10" t="str">
        <f>IF(ISBLANK(A48),"",VLOOKUP(A48,'Abbreviated Jotform Charge List'!A:F,6))</f>
        <v/>
      </c>
    </row>
    <row r="49" ht="14.25" customHeight="1">
      <c r="A49" s="56"/>
      <c r="B49" s="56"/>
      <c r="C49" s="56"/>
      <c r="E49" s="10" t="str">
        <f t="shared" si="1"/>
        <v/>
      </c>
      <c r="F49" s="58" t="str">
        <f t="shared" si="2"/>
        <v/>
      </c>
      <c r="G49" s="10" t="str">
        <f>IF(ISBLANK(A49),"",VLOOKUP(A49,'Abbreviated Jotform Charge List'!A:B,2,TRUE))</f>
        <v/>
      </c>
      <c r="H49" s="11" t="str">
        <f t="shared" si="3"/>
        <v> </v>
      </c>
      <c r="J49" s="10" t="str">
        <f>IF(ISBLANK(A49),"",VLOOKUP(A49,'Abbreviated Jotform Charge List'!A:F,3))</f>
        <v/>
      </c>
      <c r="K49" s="10" t="str">
        <f>IF(ISBLANK(A49),"",VLOOKUP(A49,'Abbreviated Jotform Charge List'!A:F,4))</f>
        <v/>
      </c>
      <c r="L49" s="10" t="str">
        <f>IF(ISBLANK(A49),"",VLOOKUP(A49,'Abbreviated Jotform Charge List'!A:F,5))</f>
        <v/>
      </c>
      <c r="M49" s="10" t="str">
        <f>IF(ISBLANK(A49),"",VLOOKUP(A49,'Abbreviated Jotform Charge List'!A:F,6))</f>
        <v/>
      </c>
    </row>
    <row r="50" ht="14.25" customHeight="1">
      <c r="A50" s="56"/>
      <c r="B50" s="56"/>
      <c r="C50" s="56"/>
      <c r="E50" s="10" t="str">
        <f t="shared" si="1"/>
        <v/>
      </c>
      <c r="F50" s="58" t="str">
        <f t="shared" si="2"/>
        <v/>
      </c>
      <c r="G50" s="10" t="str">
        <f>IF(ISBLANK(A50),"",VLOOKUP(A50,'Abbreviated Jotform Charge List'!A:B,2,TRUE))</f>
        <v/>
      </c>
      <c r="H50" s="11" t="str">
        <f t="shared" si="3"/>
        <v> </v>
      </c>
      <c r="J50" s="10" t="str">
        <f>IF(ISBLANK(A50),"",VLOOKUP(A50,'Abbreviated Jotform Charge List'!A:F,3))</f>
        <v/>
      </c>
      <c r="K50" s="10" t="str">
        <f>IF(ISBLANK(A50),"",VLOOKUP(A50,'Abbreviated Jotform Charge List'!A:F,4))</f>
        <v/>
      </c>
      <c r="L50" s="10" t="str">
        <f>IF(ISBLANK(A50),"",VLOOKUP(A50,'Abbreviated Jotform Charge List'!A:F,5))</f>
        <v/>
      </c>
      <c r="M50" s="10" t="str">
        <f>IF(ISBLANK(A50),"",VLOOKUP(A50,'Abbreviated Jotform Charge List'!A:F,6))</f>
        <v/>
      </c>
    </row>
    <row r="51" ht="14.25" customHeight="1">
      <c r="A51" s="56"/>
      <c r="B51" s="56"/>
      <c r="C51" s="56"/>
      <c r="E51" s="10" t="str">
        <f t="shared" si="1"/>
        <v/>
      </c>
      <c r="F51" s="58" t="str">
        <f t="shared" si="2"/>
        <v/>
      </c>
      <c r="H51" s="11" t="str">
        <f t="shared" si="3"/>
        <v> </v>
      </c>
    </row>
    <row r="52" ht="14.25" customHeight="1">
      <c r="A52" s="56"/>
      <c r="B52" s="56"/>
      <c r="C52" s="56"/>
      <c r="F52" s="58" t="str">
        <f t="shared" si="2"/>
        <v/>
      </c>
      <c r="H52" s="11" t="str">
        <f t="shared" si="3"/>
        <v> </v>
      </c>
    </row>
    <row r="53" ht="14.25" customHeight="1">
      <c r="A53" s="56"/>
      <c r="B53" s="56"/>
      <c r="C53" s="56"/>
      <c r="F53" s="58" t="str">
        <f t="shared" si="2"/>
        <v/>
      </c>
      <c r="H53" s="11" t="str">
        <f t="shared" si="3"/>
        <v> </v>
      </c>
    </row>
    <row r="54" ht="14.25" customHeight="1">
      <c r="A54" s="56"/>
      <c r="B54" s="56"/>
      <c r="C54" s="56"/>
      <c r="F54" s="58" t="str">
        <f t="shared" si="2"/>
        <v/>
      </c>
      <c r="H54" s="11" t="str">
        <f t="shared" si="3"/>
        <v> </v>
      </c>
    </row>
    <row r="55" ht="14.25" customHeight="1">
      <c r="A55" s="56"/>
      <c r="B55" s="56"/>
      <c r="C55" s="56"/>
      <c r="F55" s="58" t="str">
        <f t="shared" si="2"/>
        <v/>
      </c>
      <c r="H55" s="11" t="str">
        <f t="shared" si="3"/>
        <v> </v>
      </c>
    </row>
    <row r="56" ht="14.25" customHeight="1">
      <c r="A56" s="56"/>
      <c r="B56" s="56"/>
      <c r="C56" s="56"/>
      <c r="F56" s="58" t="str">
        <f t="shared" si="2"/>
        <v/>
      </c>
      <c r="H56" s="11" t="str">
        <f t="shared" si="3"/>
        <v> </v>
      </c>
    </row>
    <row r="57" ht="14.25" customHeight="1">
      <c r="A57" s="56"/>
      <c r="B57" s="56"/>
      <c r="C57" s="56"/>
      <c r="H57" s="11" t="str">
        <f t="shared" si="3"/>
        <v> </v>
      </c>
    </row>
    <row r="58" ht="14.25" customHeight="1">
      <c r="A58" s="56"/>
      <c r="B58" s="56"/>
      <c r="C58" s="56"/>
      <c r="H58" s="11" t="str">
        <f t="shared" si="3"/>
        <v> </v>
      </c>
    </row>
    <row r="59" ht="14.25" customHeight="1">
      <c r="A59" s="56"/>
      <c r="B59" s="56"/>
      <c r="C59" s="56"/>
    </row>
    <row r="60" ht="14.25" customHeight="1">
      <c r="A60" s="56"/>
      <c r="B60" s="56"/>
      <c r="C60" s="56"/>
    </row>
    <row r="61" ht="14.25" customHeight="1">
      <c r="A61" s="56"/>
      <c r="B61" s="56"/>
      <c r="C61" s="56"/>
    </row>
    <row r="62" ht="14.25" customHeight="1">
      <c r="A62" s="56"/>
      <c r="B62" s="56"/>
      <c r="C62" s="56"/>
    </row>
    <row r="63" ht="14.25" customHeight="1">
      <c r="A63" s="56"/>
      <c r="B63" s="56"/>
      <c r="C63" s="56"/>
    </row>
    <row r="64" ht="14.25" customHeight="1">
      <c r="A64" s="56"/>
      <c r="B64" s="56"/>
      <c r="C64" s="56"/>
    </row>
    <row r="65" ht="14.25" customHeight="1">
      <c r="A65" s="56"/>
      <c r="B65" s="56"/>
      <c r="C65" s="56"/>
    </row>
    <row r="66" ht="14.25" customHeight="1">
      <c r="A66" s="56"/>
      <c r="B66" s="56"/>
      <c r="C66" s="56"/>
    </row>
    <row r="67" ht="14.25" customHeight="1">
      <c r="A67" s="56"/>
      <c r="B67" s="56"/>
      <c r="C67" s="56"/>
    </row>
    <row r="68" ht="14.25" customHeight="1">
      <c r="A68" s="56"/>
      <c r="B68" s="56"/>
      <c r="C68" s="56"/>
    </row>
    <row r="69" ht="14.25" customHeight="1">
      <c r="A69" s="56"/>
      <c r="B69" s="56"/>
      <c r="C69" s="56"/>
    </row>
    <row r="70" ht="14.25" customHeight="1">
      <c r="A70" s="56"/>
      <c r="B70" s="56"/>
      <c r="C70" s="56"/>
    </row>
    <row r="71" ht="14.25" customHeight="1">
      <c r="A71" s="56"/>
      <c r="B71" s="56"/>
      <c r="C71" s="56"/>
    </row>
    <row r="72" ht="14.25" customHeight="1">
      <c r="A72" s="56"/>
      <c r="B72" s="56"/>
      <c r="C72" s="56"/>
    </row>
    <row r="73" ht="14.25" customHeight="1">
      <c r="A73" s="56"/>
      <c r="B73" s="56"/>
      <c r="C73" s="56"/>
    </row>
    <row r="74" ht="14.25" customHeight="1">
      <c r="A74" s="56"/>
      <c r="B74" s="56"/>
      <c r="C74" s="56"/>
    </row>
    <row r="75" ht="14.25" customHeight="1">
      <c r="A75" s="56"/>
      <c r="B75" s="56"/>
      <c r="C75" s="56"/>
    </row>
    <row r="76" ht="14.25" customHeight="1">
      <c r="A76" s="56"/>
      <c r="B76" s="56"/>
      <c r="C76" s="56"/>
    </row>
    <row r="77" ht="14.25" customHeight="1">
      <c r="A77" s="56"/>
      <c r="B77" s="56"/>
      <c r="C77" s="56"/>
      <c r="D77" s="10" t="str">
        <f>IF(AND(ISBLANK(A2),ISBLANK(B2),ISBLANK(C2)),"Please enter data","")</f>
        <v/>
      </c>
    </row>
    <row r="78" ht="14.25" customHeight="1">
      <c r="A78" s="56"/>
      <c r="B78" s="56"/>
      <c r="C78" s="56"/>
    </row>
    <row r="79" ht="14.25" customHeight="1">
      <c r="A79" s="56"/>
      <c r="B79" s="56"/>
      <c r="C79" s="56"/>
    </row>
    <row r="80" ht="14.25" customHeight="1">
      <c r="A80" s="56"/>
      <c r="B80" s="56"/>
      <c r="C80" s="56"/>
    </row>
    <row r="81" ht="14.25" customHeight="1">
      <c r="A81" s="56"/>
      <c r="B81" s="56"/>
      <c r="C81" s="56"/>
    </row>
    <row r="82" ht="14.25" customHeight="1">
      <c r="A82" s="56"/>
      <c r="B82" s="56"/>
      <c r="C82" s="56"/>
    </row>
    <row r="83" ht="14.25" customHeight="1">
      <c r="A83" s="56"/>
      <c r="B83" s="56"/>
      <c r="C83" s="56"/>
    </row>
    <row r="84" ht="14.25" customHeight="1">
      <c r="A84" s="56"/>
      <c r="B84" s="56"/>
      <c r="C84" s="56"/>
    </row>
    <row r="85" ht="14.25" customHeight="1">
      <c r="A85" s="56"/>
      <c r="B85" s="56"/>
      <c r="C85" s="56"/>
    </row>
    <row r="86" ht="14.25" customHeight="1">
      <c r="A86" s="56"/>
      <c r="B86" s="56"/>
      <c r="C86" s="56"/>
    </row>
    <row r="87" ht="14.25" customHeight="1">
      <c r="A87" s="56"/>
      <c r="B87" s="56"/>
      <c r="C87" s="56"/>
    </row>
    <row r="88" ht="14.25" customHeight="1">
      <c r="A88" s="56"/>
      <c r="B88" s="56"/>
      <c r="C88" s="56"/>
    </row>
    <row r="89" ht="14.25" customHeight="1">
      <c r="A89" s="56"/>
      <c r="B89" s="56"/>
      <c r="C89" s="56"/>
    </row>
    <row r="90" ht="14.25" customHeight="1">
      <c r="A90" s="56"/>
      <c r="B90" s="56"/>
      <c r="C90" s="56"/>
    </row>
    <row r="91" ht="14.25" customHeight="1">
      <c r="A91" s="56"/>
      <c r="B91" s="56"/>
      <c r="C91" s="56"/>
    </row>
    <row r="92" ht="14.25" customHeight="1">
      <c r="A92" s="56"/>
      <c r="B92" s="56"/>
      <c r="C92" s="56"/>
    </row>
    <row r="93" ht="14.25" customHeight="1">
      <c r="A93" s="56"/>
      <c r="B93" s="56"/>
      <c r="C93" s="56"/>
    </row>
    <row r="94" ht="14.25" customHeight="1">
      <c r="A94" s="56"/>
      <c r="B94" s="56"/>
      <c r="C94" s="56"/>
    </row>
    <row r="95" ht="14.25" customHeight="1">
      <c r="A95" s="56"/>
      <c r="B95" s="56"/>
      <c r="C95" s="56"/>
    </row>
    <row r="96" ht="14.25" customHeight="1">
      <c r="A96" s="56"/>
      <c r="B96" s="56"/>
      <c r="C96" s="56"/>
    </row>
    <row r="97" ht="14.25" customHeight="1">
      <c r="A97" s="56"/>
      <c r="B97" s="56"/>
      <c r="C97" s="56"/>
    </row>
    <row r="98" ht="14.25" customHeight="1">
      <c r="A98" s="56"/>
      <c r="B98" s="56"/>
      <c r="C98" s="56"/>
    </row>
    <row r="99" ht="14.25" customHeight="1">
      <c r="A99" s="56"/>
      <c r="B99" s="56"/>
      <c r="C99" s="56"/>
    </row>
    <row r="100" ht="14.25" customHeight="1">
      <c r="A100" s="56"/>
      <c r="B100" s="56"/>
      <c r="C100" s="56"/>
    </row>
    <row r="101" ht="14.25" customHeight="1">
      <c r="A101" s="56"/>
      <c r="B101" s="56"/>
      <c r="C101" s="56"/>
    </row>
    <row r="102" ht="14.25" customHeight="1">
      <c r="A102" s="56"/>
      <c r="B102" s="56"/>
      <c r="C102" s="56"/>
    </row>
    <row r="103" ht="14.25" customHeight="1">
      <c r="A103" s="56"/>
      <c r="B103" s="56"/>
      <c r="C103" s="56"/>
    </row>
    <row r="104" ht="14.25" customHeight="1">
      <c r="A104" s="56"/>
      <c r="B104" s="56"/>
      <c r="C104" s="56"/>
    </row>
    <row r="105" ht="14.25" customHeight="1">
      <c r="A105" s="56"/>
      <c r="B105" s="56"/>
      <c r="C105" s="56"/>
    </row>
    <row r="106" ht="14.25" customHeight="1">
      <c r="A106" s="56"/>
      <c r="B106" s="56"/>
      <c r="C106" s="56"/>
    </row>
    <row r="107" ht="14.25" customHeight="1">
      <c r="A107" s="56"/>
      <c r="B107" s="56"/>
      <c r="C107" s="56"/>
    </row>
    <row r="108" ht="14.25" customHeight="1">
      <c r="A108" s="56"/>
      <c r="B108" s="56"/>
      <c r="C108" s="56"/>
    </row>
    <row r="109" ht="14.25" customHeight="1">
      <c r="A109" s="56"/>
      <c r="B109" s="56"/>
      <c r="C109" s="56"/>
    </row>
    <row r="110" ht="14.25" customHeight="1">
      <c r="A110" s="56"/>
      <c r="B110" s="56"/>
      <c r="C110" s="56"/>
    </row>
    <row r="111" ht="14.25" customHeight="1">
      <c r="A111" s="56"/>
      <c r="B111" s="56"/>
      <c r="C111" s="56"/>
    </row>
    <row r="112" ht="14.25" customHeight="1">
      <c r="A112" s="56"/>
      <c r="B112" s="56"/>
      <c r="C112" s="56"/>
    </row>
    <row r="113" ht="14.25" customHeight="1">
      <c r="A113" s="56"/>
      <c r="B113" s="56"/>
      <c r="C113" s="56"/>
    </row>
    <row r="114" ht="14.25" customHeight="1">
      <c r="A114" s="56"/>
      <c r="B114" s="56"/>
      <c r="C114" s="56"/>
    </row>
    <row r="115" ht="14.25" customHeight="1">
      <c r="A115" s="56"/>
      <c r="B115" s="56"/>
      <c r="C115" s="56"/>
    </row>
    <row r="116" ht="14.25" customHeight="1">
      <c r="A116" s="56"/>
      <c r="B116" s="56"/>
      <c r="C116" s="56"/>
    </row>
    <row r="117" ht="14.25" customHeight="1">
      <c r="A117" s="56"/>
      <c r="B117" s="56"/>
      <c r="C117" s="56"/>
    </row>
    <row r="118" ht="14.25" customHeight="1">
      <c r="A118" s="56"/>
      <c r="B118" s="56"/>
      <c r="C118" s="56"/>
    </row>
    <row r="119" ht="14.25" customHeight="1">
      <c r="A119" s="56"/>
      <c r="B119" s="56"/>
      <c r="C119" s="56"/>
    </row>
    <row r="120" ht="14.25" customHeight="1">
      <c r="A120" s="56"/>
      <c r="B120" s="56"/>
      <c r="C120" s="56"/>
    </row>
    <row r="121" ht="14.25" customHeight="1">
      <c r="A121" s="56"/>
      <c r="B121" s="56"/>
      <c r="C121" s="56"/>
    </row>
    <row r="122" ht="14.25" customHeight="1">
      <c r="A122" s="56"/>
      <c r="B122" s="56"/>
      <c r="C122" s="56"/>
    </row>
    <row r="123" ht="14.25" customHeight="1">
      <c r="A123" s="56"/>
      <c r="B123" s="56"/>
      <c r="C123" s="56"/>
    </row>
    <row r="124" ht="14.25" customHeight="1">
      <c r="A124" s="56"/>
      <c r="B124" s="56"/>
      <c r="C124" s="56"/>
    </row>
    <row r="125" ht="14.25" customHeight="1">
      <c r="A125" s="56"/>
      <c r="B125" s="56"/>
      <c r="C125" s="56"/>
    </row>
    <row r="126" ht="14.25" customHeight="1">
      <c r="A126" s="56"/>
      <c r="B126" s="56"/>
      <c r="C126" s="56"/>
    </row>
    <row r="127" ht="14.25" customHeight="1">
      <c r="A127" s="56"/>
      <c r="B127" s="56"/>
      <c r="C127" s="56"/>
    </row>
    <row r="128" ht="14.25" customHeight="1">
      <c r="A128" s="56"/>
      <c r="B128" s="56"/>
      <c r="C128" s="56"/>
    </row>
    <row r="129" ht="14.25" customHeight="1">
      <c r="A129" s="56"/>
      <c r="B129" s="56"/>
      <c r="C129" s="56"/>
    </row>
    <row r="130" ht="14.25" customHeight="1">
      <c r="A130" s="56"/>
      <c r="B130" s="56"/>
      <c r="C130" s="56"/>
    </row>
    <row r="131" ht="14.25" customHeight="1">
      <c r="A131" s="56"/>
      <c r="B131" s="56"/>
      <c r="C131" s="56"/>
    </row>
    <row r="132" ht="14.25" customHeight="1">
      <c r="A132" s="56"/>
      <c r="B132" s="56"/>
      <c r="C132" s="56"/>
    </row>
    <row r="133" ht="14.25" customHeight="1">
      <c r="A133" s="56"/>
      <c r="B133" s="56"/>
      <c r="C133" s="56"/>
    </row>
    <row r="134" ht="14.25" customHeight="1">
      <c r="A134" s="56"/>
      <c r="B134" s="56"/>
      <c r="C134" s="56"/>
    </row>
    <row r="135" ht="14.25" customHeight="1">
      <c r="A135" s="56"/>
      <c r="B135" s="56"/>
      <c r="C135" s="56"/>
    </row>
    <row r="136" ht="14.25" customHeight="1">
      <c r="A136" s="56"/>
      <c r="B136" s="56"/>
      <c r="C136" s="56"/>
    </row>
    <row r="137" ht="14.25" customHeight="1">
      <c r="A137" s="56"/>
      <c r="B137" s="56"/>
      <c r="C137" s="56"/>
    </row>
    <row r="138" ht="14.25" customHeight="1">
      <c r="A138" s="56"/>
      <c r="B138" s="56"/>
      <c r="C138" s="56"/>
    </row>
    <row r="139" ht="14.25" customHeight="1">
      <c r="A139" s="56"/>
      <c r="B139" s="56"/>
      <c r="C139" s="56"/>
    </row>
    <row r="140" ht="14.25" customHeight="1">
      <c r="A140" s="56"/>
      <c r="B140" s="56"/>
      <c r="C140" s="56"/>
    </row>
    <row r="141" ht="14.25" customHeight="1">
      <c r="A141" s="56"/>
      <c r="B141" s="56"/>
      <c r="C141" s="56"/>
    </row>
    <row r="142" ht="14.25" customHeight="1">
      <c r="A142" s="56"/>
      <c r="B142" s="56"/>
      <c r="C142" s="56"/>
    </row>
    <row r="143" ht="14.25" customHeight="1">
      <c r="A143" s="56"/>
      <c r="B143" s="56"/>
      <c r="C143" s="56"/>
    </row>
    <row r="144" ht="14.25" customHeight="1">
      <c r="A144" s="56"/>
      <c r="B144" s="56"/>
      <c r="C144" s="56"/>
    </row>
    <row r="145" ht="14.25" customHeight="1">
      <c r="A145" s="56"/>
      <c r="B145" s="56"/>
      <c r="C145" s="56"/>
    </row>
    <row r="146" ht="14.25" customHeight="1">
      <c r="A146" s="56"/>
      <c r="B146" s="56"/>
      <c r="C146" s="56"/>
    </row>
    <row r="147" ht="14.25" customHeight="1">
      <c r="A147" s="56"/>
      <c r="B147" s="56"/>
      <c r="C147" s="56"/>
    </row>
    <row r="148" ht="14.25" customHeight="1">
      <c r="A148" s="56"/>
      <c r="B148" s="56"/>
      <c r="C148" s="56"/>
    </row>
    <row r="149" ht="14.25" customHeight="1">
      <c r="A149" s="56"/>
      <c r="B149" s="56"/>
      <c r="C149" s="56"/>
    </row>
    <row r="150" ht="14.25" customHeight="1">
      <c r="A150" s="56"/>
      <c r="B150" s="56"/>
      <c r="C150" s="56"/>
    </row>
    <row r="151" ht="14.25" customHeight="1">
      <c r="A151" s="56"/>
      <c r="B151" s="56"/>
      <c r="C151" s="56"/>
    </row>
    <row r="152" ht="14.25" customHeight="1">
      <c r="A152" s="56"/>
      <c r="B152" s="56"/>
      <c r="C152" s="56"/>
    </row>
    <row r="153" ht="14.25" customHeight="1">
      <c r="A153" s="56"/>
      <c r="B153" s="56"/>
      <c r="C153" s="56"/>
    </row>
    <row r="154" ht="14.25" customHeight="1">
      <c r="A154" s="56"/>
      <c r="B154" s="56"/>
      <c r="C154" s="56"/>
    </row>
    <row r="155" ht="14.25" customHeight="1">
      <c r="A155" s="56"/>
      <c r="B155" s="56"/>
      <c r="C155" s="56"/>
    </row>
    <row r="156" ht="14.25" customHeight="1">
      <c r="A156" s="56"/>
      <c r="B156" s="56"/>
      <c r="C156" s="56"/>
    </row>
    <row r="157" ht="14.25" customHeight="1">
      <c r="A157" s="56"/>
      <c r="B157" s="56"/>
      <c r="C157" s="56"/>
    </row>
    <row r="158" ht="14.25" customHeight="1">
      <c r="A158" s="56"/>
      <c r="B158" s="56"/>
      <c r="C158" s="56"/>
    </row>
    <row r="159" ht="14.25" customHeight="1">
      <c r="A159" s="56"/>
      <c r="B159" s="56"/>
      <c r="C159" s="56"/>
    </row>
    <row r="160" ht="14.25" customHeight="1">
      <c r="A160" s="56"/>
      <c r="B160" s="56"/>
      <c r="C160" s="56"/>
    </row>
    <row r="161" ht="14.25" customHeight="1">
      <c r="A161" s="56"/>
      <c r="B161" s="56"/>
      <c r="C161" s="56"/>
    </row>
    <row r="162" ht="14.25" customHeight="1">
      <c r="A162" s="56"/>
      <c r="B162" s="56"/>
      <c r="C162" s="56"/>
    </row>
    <row r="163" ht="14.25" customHeight="1">
      <c r="A163" s="56"/>
      <c r="B163" s="56"/>
      <c r="C163" s="56"/>
    </row>
    <row r="164" ht="14.25" customHeight="1">
      <c r="A164" s="56"/>
      <c r="B164" s="56"/>
      <c r="C164" s="56"/>
    </row>
    <row r="165" ht="14.25" customHeight="1">
      <c r="A165" s="56"/>
      <c r="B165" s="56"/>
      <c r="C165" s="56"/>
    </row>
    <row r="166" ht="14.25" customHeight="1">
      <c r="A166" s="56"/>
      <c r="B166" s="56"/>
      <c r="C166" s="56"/>
    </row>
    <row r="167" ht="14.25" customHeight="1">
      <c r="A167" s="56"/>
      <c r="B167" s="56"/>
      <c r="C167" s="56"/>
    </row>
    <row r="168" ht="14.25" customHeight="1">
      <c r="A168" s="56"/>
      <c r="B168" s="56"/>
      <c r="C168" s="56"/>
    </row>
    <row r="169" ht="14.25" customHeight="1">
      <c r="A169" s="56"/>
      <c r="B169" s="56"/>
      <c r="C169" s="56"/>
    </row>
    <row r="170" ht="14.25" customHeight="1">
      <c r="A170" s="56"/>
      <c r="B170" s="56"/>
      <c r="C170" s="56"/>
    </row>
    <row r="171" ht="14.25" customHeight="1">
      <c r="A171" s="56"/>
      <c r="B171" s="56"/>
      <c r="C171" s="56"/>
    </row>
    <row r="172" ht="14.25" customHeight="1">
      <c r="A172" s="56"/>
      <c r="B172" s="56"/>
      <c r="C172" s="56"/>
    </row>
    <row r="173" ht="14.25" customHeight="1">
      <c r="A173" s="56"/>
      <c r="B173" s="56"/>
      <c r="C173" s="56"/>
    </row>
    <row r="174" ht="14.25" customHeight="1">
      <c r="A174" s="56"/>
      <c r="B174" s="56"/>
      <c r="C174" s="56"/>
    </row>
    <row r="175" ht="14.25" customHeight="1">
      <c r="A175" s="56"/>
      <c r="B175" s="56"/>
      <c r="C175" s="56"/>
    </row>
    <row r="176" ht="14.25" customHeight="1">
      <c r="A176" s="56"/>
      <c r="B176" s="56"/>
      <c r="C176" s="56"/>
    </row>
    <row r="177" ht="14.25" customHeight="1">
      <c r="A177" s="56"/>
      <c r="B177" s="56"/>
      <c r="C177" s="56"/>
    </row>
    <row r="178" ht="14.25" customHeight="1">
      <c r="A178" s="56"/>
      <c r="B178" s="56"/>
      <c r="C178" s="56"/>
    </row>
    <row r="179" ht="14.25" customHeight="1">
      <c r="A179" s="56"/>
      <c r="B179" s="56"/>
      <c r="C179" s="56"/>
    </row>
    <row r="180" ht="14.25" customHeight="1">
      <c r="A180" s="56"/>
      <c r="B180" s="56"/>
      <c r="C180" s="56"/>
    </row>
    <row r="181" ht="14.25" customHeight="1">
      <c r="A181" s="56"/>
      <c r="B181" s="56"/>
      <c r="C181" s="56"/>
    </row>
    <row r="182" ht="14.25" customHeight="1">
      <c r="A182" s="56"/>
      <c r="B182" s="56"/>
      <c r="C182" s="56"/>
    </row>
    <row r="183" ht="14.25" customHeight="1">
      <c r="A183" s="56"/>
      <c r="B183" s="56"/>
      <c r="C183" s="56"/>
    </row>
    <row r="184" ht="14.25" customHeight="1">
      <c r="A184" s="56"/>
      <c r="B184" s="56"/>
      <c r="C184" s="56"/>
    </row>
    <row r="185" ht="14.25" customHeight="1">
      <c r="A185" s="56"/>
      <c r="B185" s="56"/>
      <c r="C185" s="56"/>
    </row>
    <row r="186" ht="14.25" customHeight="1">
      <c r="A186" s="56"/>
      <c r="B186" s="56"/>
      <c r="C186" s="56"/>
    </row>
    <row r="187" ht="14.25" customHeight="1">
      <c r="A187" s="56"/>
      <c r="B187" s="56"/>
      <c r="C187" s="56"/>
    </row>
    <row r="188" ht="14.25" customHeight="1">
      <c r="A188" s="56"/>
      <c r="B188" s="56"/>
      <c r="C188" s="56"/>
    </row>
    <row r="189" ht="14.25" customHeight="1">
      <c r="A189" s="56"/>
      <c r="B189" s="56"/>
      <c r="C189" s="56"/>
    </row>
    <row r="190" ht="14.25" customHeight="1">
      <c r="A190" s="56"/>
      <c r="B190" s="56"/>
      <c r="C190" s="56"/>
    </row>
    <row r="191" ht="14.25" customHeight="1">
      <c r="A191" s="56"/>
      <c r="B191" s="56"/>
      <c r="C191" s="56"/>
    </row>
    <row r="192" ht="14.25" customHeight="1">
      <c r="A192" s="56"/>
      <c r="B192" s="56"/>
      <c r="C192" s="56"/>
    </row>
    <row r="193" ht="14.25" customHeight="1">
      <c r="A193" s="56"/>
      <c r="B193" s="56"/>
      <c r="C193" s="56"/>
    </row>
    <row r="194" ht="14.25" customHeight="1">
      <c r="A194" s="56"/>
      <c r="B194" s="56"/>
      <c r="C194" s="56"/>
    </row>
    <row r="195" ht="14.25" customHeight="1">
      <c r="A195" s="56"/>
      <c r="B195" s="56"/>
      <c r="C195" s="56"/>
    </row>
    <row r="196" ht="14.25" customHeight="1">
      <c r="A196" s="56"/>
      <c r="B196" s="56"/>
      <c r="C196" s="56"/>
    </row>
    <row r="197" ht="14.25" customHeight="1">
      <c r="A197" s="56"/>
      <c r="B197" s="56"/>
      <c r="C197" s="56"/>
    </row>
    <row r="198" ht="14.25" customHeight="1">
      <c r="A198" s="56"/>
      <c r="B198" s="56"/>
      <c r="C198" s="56"/>
    </row>
    <row r="199" ht="14.25" customHeight="1">
      <c r="A199" s="56"/>
      <c r="B199" s="56"/>
      <c r="C199" s="56"/>
    </row>
    <row r="200" ht="14.25" customHeight="1">
      <c r="A200" s="56"/>
      <c r="B200" s="56"/>
      <c r="C200" s="56"/>
    </row>
    <row r="201" ht="14.25" customHeight="1">
      <c r="A201" s="56"/>
      <c r="B201" s="56"/>
      <c r="C201" s="56"/>
    </row>
    <row r="202" ht="14.25" customHeight="1">
      <c r="A202" s="56"/>
      <c r="B202" s="56"/>
      <c r="C202" s="56"/>
    </row>
    <row r="203" ht="14.25" customHeight="1">
      <c r="A203" s="56"/>
      <c r="B203" s="56"/>
      <c r="C203" s="56"/>
    </row>
    <row r="204" ht="14.25" customHeight="1">
      <c r="A204" s="56"/>
      <c r="B204" s="56"/>
      <c r="C204" s="56"/>
    </row>
    <row r="205" ht="14.25" customHeight="1">
      <c r="A205" s="56"/>
      <c r="B205" s="56"/>
      <c r="C205" s="56"/>
    </row>
    <row r="206" ht="14.25" customHeight="1">
      <c r="A206" s="56"/>
      <c r="B206" s="56"/>
      <c r="C206" s="56"/>
    </row>
    <row r="207" ht="14.25" customHeight="1">
      <c r="A207" s="56"/>
      <c r="B207" s="56"/>
      <c r="C207" s="56"/>
    </row>
    <row r="208" ht="14.25" customHeight="1">
      <c r="A208" s="56"/>
      <c r="B208" s="56"/>
      <c r="C208" s="56"/>
    </row>
    <row r="209" ht="14.25" customHeight="1">
      <c r="A209" s="56"/>
      <c r="B209" s="56"/>
      <c r="C209" s="56"/>
    </row>
    <row r="210" ht="14.25" customHeight="1">
      <c r="A210" s="56"/>
      <c r="B210" s="56"/>
      <c r="C210" s="56"/>
    </row>
    <row r="211" ht="14.25" customHeight="1">
      <c r="A211" s="56"/>
      <c r="B211" s="56"/>
      <c r="C211" s="56"/>
    </row>
    <row r="212" ht="14.25" customHeight="1">
      <c r="A212" s="56"/>
      <c r="B212" s="56"/>
      <c r="C212" s="56"/>
    </row>
    <row r="213" ht="14.25" customHeight="1">
      <c r="A213" s="56"/>
      <c r="B213" s="56"/>
      <c r="C213" s="56"/>
    </row>
    <row r="214" ht="14.25" customHeight="1">
      <c r="A214" s="56"/>
      <c r="B214" s="56"/>
      <c r="C214" s="56"/>
    </row>
    <row r="215" ht="14.25" customHeight="1">
      <c r="A215" s="56"/>
      <c r="B215" s="56"/>
      <c r="C215" s="56"/>
    </row>
    <row r="216" ht="14.25" customHeight="1">
      <c r="A216" s="56"/>
      <c r="B216" s="56"/>
      <c r="C216" s="56"/>
    </row>
    <row r="217" ht="14.25" customHeight="1">
      <c r="A217" s="56"/>
      <c r="B217" s="56"/>
      <c r="C217" s="56"/>
    </row>
    <row r="218" ht="14.25" customHeight="1">
      <c r="A218" s="56"/>
      <c r="B218" s="56"/>
      <c r="C218" s="56"/>
    </row>
    <row r="219" ht="14.25" customHeight="1">
      <c r="A219" s="56"/>
      <c r="B219" s="56"/>
      <c r="C219" s="56"/>
    </row>
    <row r="220" ht="14.25" customHeight="1">
      <c r="A220" s="56"/>
      <c r="B220" s="56"/>
      <c r="C220" s="56"/>
    </row>
    <row r="221" ht="14.25" customHeight="1">
      <c r="A221" s="56"/>
      <c r="B221" s="56"/>
      <c r="C221" s="56"/>
    </row>
    <row r="222" ht="14.25" customHeight="1">
      <c r="A222" s="56"/>
      <c r="B222" s="56"/>
      <c r="C222" s="56"/>
    </row>
    <row r="223" ht="14.25" customHeight="1">
      <c r="A223" s="56"/>
      <c r="B223" s="56"/>
      <c r="C223" s="56"/>
    </row>
    <row r="224" ht="14.25" customHeight="1">
      <c r="A224" s="56"/>
      <c r="B224" s="56"/>
      <c r="C224" s="56"/>
    </row>
    <row r="225" ht="14.25" customHeight="1">
      <c r="A225" s="56"/>
      <c r="B225" s="56"/>
      <c r="C225" s="56"/>
    </row>
    <row r="226" ht="14.25" customHeight="1">
      <c r="A226" s="56"/>
      <c r="B226" s="56"/>
      <c r="C226" s="56"/>
    </row>
    <row r="227" ht="14.25" customHeight="1">
      <c r="A227" s="56"/>
      <c r="B227" s="56"/>
      <c r="C227" s="56"/>
    </row>
    <row r="228" ht="14.25" customHeight="1">
      <c r="A228" s="56"/>
      <c r="B228" s="56"/>
      <c r="C228" s="56"/>
    </row>
    <row r="229" ht="14.25" customHeight="1">
      <c r="A229" s="56"/>
      <c r="B229" s="56"/>
      <c r="C229" s="56"/>
    </row>
    <row r="230" ht="14.25" customHeight="1">
      <c r="A230" s="56"/>
      <c r="B230" s="56"/>
      <c r="C230" s="56"/>
    </row>
    <row r="231" ht="14.25" customHeight="1">
      <c r="A231" s="56"/>
      <c r="B231" s="56"/>
      <c r="C231" s="56"/>
    </row>
    <row r="232" ht="14.25" customHeight="1">
      <c r="A232" s="56"/>
      <c r="B232" s="56"/>
      <c r="C232" s="56"/>
    </row>
    <row r="233" ht="14.25" customHeight="1">
      <c r="A233" s="56"/>
      <c r="B233" s="56"/>
      <c r="C233" s="56"/>
    </row>
    <row r="234" ht="14.25" customHeight="1">
      <c r="A234" s="56"/>
      <c r="B234" s="56"/>
      <c r="C234" s="56"/>
    </row>
    <row r="235" ht="14.25" customHeight="1">
      <c r="A235" s="56"/>
      <c r="B235" s="56"/>
      <c r="C235" s="56"/>
    </row>
    <row r="236" ht="14.25" customHeight="1">
      <c r="A236" s="56"/>
      <c r="B236" s="56"/>
      <c r="C236" s="56"/>
    </row>
    <row r="237" ht="14.25" customHeight="1">
      <c r="A237" s="56"/>
      <c r="B237" s="56"/>
      <c r="C237" s="56"/>
    </row>
    <row r="238" ht="14.25" customHeight="1">
      <c r="A238" s="56"/>
      <c r="B238" s="56"/>
      <c r="C238" s="56"/>
    </row>
    <row r="239" ht="14.25" customHeight="1">
      <c r="A239" s="56"/>
      <c r="B239" s="56"/>
      <c r="C239" s="56"/>
    </row>
    <row r="240" ht="14.25" customHeight="1">
      <c r="A240" s="56"/>
      <c r="B240" s="56"/>
      <c r="C240" s="56"/>
    </row>
    <row r="241" ht="14.25" customHeight="1">
      <c r="A241" s="56"/>
      <c r="B241" s="56"/>
      <c r="C241" s="56"/>
    </row>
    <row r="242" ht="14.25" customHeight="1">
      <c r="A242" s="56"/>
      <c r="B242" s="56"/>
      <c r="C242" s="56"/>
    </row>
    <row r="243" ht="14.25" customHeight="1">
      <c r="A243" s="56"/>
      <c r="B243" s="56"/>
      <c r="C243" s="56"/>
    </row>
    <row r="244" ht="14.25" customHeight="1">
      <c r="A244" s="56"/>
      <c r="B244" s="56"/>
      <c r="C244" s="56"/>
    </row>
    <row r="245" ht="14.25" customHeight="1">
      <c r="A245" s="56"/>
      <c r="B245" s="56"/>
      <c r="C245" s="56"/>
    </row>
    <row r="246" ht="14.25" customHeight="1">
      <c r="A246" s="56"/>
      <c r="B246" s="56"/>
      <c r="C246" s="56"/>
    </row>
    <row r="247" ht="14.25" customHeight="1">
      <c r="A247" s="56"/>
      <c r="B247" s="56"/>
      <c r="C247" s="56"/>
    </row>
    <row r="248" ht="14.25" customHeight="1">
      <c r="A248" s="56"/>
      <c r="B248" s="56"/>
      <c r="C248" s="56"/>
    </row>
    <row r="249" ht="14.25" customHeight="1">
      <c r="A249" s="56"/>
      <c r="B249" s="56"/>
      <c r="C249" s="56"/>
    </row>
    <row r="250" ht="14.25" customHeight="1">
      <c r="A250" s="56"/>
      <c r="B250" s="56"/>
      <c r="C250" s="56"/>
    </row>
    <row r="251" ht="14.25" customHeight="1">
      <c r="A251" s="56"/>
      <c r="B251" s="56"/>
      <c r="C251" s="56"/>
    </row>
    <row r="252" ht="14.25" customHeight="1">
      <c r="A252" s="56"/>
      <c r="B252" s="56"/>
      <c r="C252" s="56"/>
    </row>
    <row r="253" ht="14.25" customHeight="1">
      <c r="A253" s="56"/>
      <c r="B253" s="56"/>
      <c r="C253" s="56"/>
    </row>
    <row r="254" ht="14.25" customHeight="1">
      <c r="A254" s="56"/>
      <c r="B254" s="56"/>
      <c r="C254" s="56"/>
    </row>
    <row r="255" ht="14.25" customHeight="1">
      <c r="A255" s="56"/>
      <c r="B255" s="56"/>
      <c r="C255" s="56"/>
    </row>
    <row r="256" ht="14.25" customHeight="1">
      <c r="A256" s="56"/>
      <c r="B256" s="56"/>
      <c r="C256" s="56"/>
    </row>
    <row r="257" ht="14.25" customHeight="1">
      <c r="A257" s="56"/>
      <c r="B257" s="56"/>
      <c r="C257" s="56"/>
    </row>
    <row r="258" ht="14.25" customHeight="1">
      <c r="A258" s="56"/>
      <c r="B258" s="56"/>
      <c r="C258" s="56"/>
    </row>
    <row r="259" ht="14.25" customHeight="1">
      <c r="A259" s="56"/>
      <c r="B259" s="56"/>
      <c r="C259" s="56"/>
    </row>
    <row r="260" ht="14.25" customHeight="1">
      <c r="A260" s="56"/>
      <c r="B260" s="56"/>
      <c r="C260" s="56"/>
    </row>
    <row r="261" ht="14.25" customHeight="1">
      <c r="A261" s="56"/>
      <c r="B261" s="56"/>
      <c r="C261" s="56"/>
    </row>
    <row r="262" ht="14.25" customHeight="1">
      <c r="A262" s="56"/>
      <c r="B262" s="56"/>
      <c r="C262" s="56"/>
    </row>
    <row r="263" ht="14.25" customHeight="1">
      <c r="A263" s="56"/>
      <c r="B263" s="56"/>
      <c r="C263" s="56"/>
    </row>
    <row r="264" ht="14.25" customHeight="1">
      <c r="A264" s="56"/>
      <c r="B264" s="56"/>
      <c r="C264" s="56"/>
    </row>
    <row r="265" ht="14.25" customHeight="1">
      <c r="A265" s="56"/>
      <c r="B265" s="56"/>
      <c r="C265" s="56"/>
    </row>
    <row r="266" ht="14.25" customHeight="1">
      <c r="A266" s="56"/>
      <c r="B266" s="56"/>
      <c r="C266" s="56"/>
    </row>
    <row r="267" ht="14.25" customHeight="1">
      <c r="A267" s="56"/>
      <c r="B267" s="56"/>
      <c r="C267" s="56"/>
    </row>
    <row r="268" ht="14.25" customHeight="1">
      <c r="A268" s="56"/>
      <c r="B268" s="56"/>
      <c r="C268" s="56"/>
    </row>
    <row r="269" ht="14.25" customHeight="1">
      <c r="A269" s="56"/>
      <c r="B269" s="56"/>
      <c r="C269" s="56"/>
    </row>
    <row r="270" ht="14.25" customHeight="1">
      <c r="A270" s="56"/>
      <c r="B270" s="56"/>
      <c r="C270" s="56"/>
    </row>
    <row r="271" ht="14.25" customHeight="1">
      <c r="A271" s="56"/>
      <c r="B271" s="56"/>
      <c r="C271" s="56"/>
    </row>
    <row r="272" ht="14.25" customHeight="1">
      <c r="A272" s="56"/>
      <c r="B272" s="56"/>
      <c r="C272" s="56"/>
    </row>
    <row r="273" ht="14.25" customHeight="1">
      <c r="A273" s="56"/>
      <c r="B273" s="56"/>
      <c r="C273" s="56"/>
    </row>
    <row r="274" ht="14.25" customHeight="1">
      <c r="A274" s="56"/>
      <c r="B274" s="56"/>
      <c r="C274" s="56"/>
    </row>
    <row r="275" ht="14.25" customHeight="1">
      <c r="A275" s="56"/>
      <c r="B275" s="56"/>
      <c r="C275" s="56"/>
    </row>
    <row r="276" ht="14.25" customHeight="1">
      <c r="A276" s="56"/>
      <c r="B276" s="56"/>
      <c r="C276" s="56"/>
    </row>
    <row r="277" ht="14.25" customHeight="1">
      <c r="A277" s="56"/>
      <c r="B277" s="56"/>
      <c r="C277" s="56"/>
    </row>
    <row r="278" ht="14.25" customHeight="1">
      <c r="A278" s="56"/>
      <c r="B278" s="56"/>
      <c r="C278" s="56"/>
    </row>
    <row r="279" ht="14.25" customHeight="1">
      <c r="A279" s="56"/>
      <c r="B279" s="56"/>
      <c r="C279" s="56"/>
    </row>
    <row r="280" ht="14.25" customHeight="1">
      <c r="A280" s="56"/>
      <c r="B280" s="56"/>
      <c r="C280" s="56"/>
    </row>
    <row r="281" ht="14.25" customHeight="1">
      <c r="A281" s="56"/>
      <c r="B281" s="56"/>
      <c r="C281" s="56"/>
    </row>
    <row r="282" ht="14.25" customHeight="1">
      <c r="A282" s="56"/>
      <c r="B282" s="56"/>
      <c r="C282" s="56"/>
    </row>
    <row r="283" ht="14.25" customHeight="1">
      <c r="A283" s="56"/>
      <c r="B283" s="56"/>
      <c r="C283" s="56"/>
    </row>
    <row r="284" ht="14.25" customHeight="1">
      <c r="A284" s="56"/>
      <c r="B284" s="56"/>
      <c r="C284" s="56"/>
    </row>
    <row r="285" ht="14.25" customHeight="1">
      <c r="A285" s="56"/>
      <c r="B285" s="56"/>
      <c r="C285" s="56"/>
    </row>
    <row r="286" ht="14.25" customHeight="1">
      <c r="A286" s="56"/>
      <c r="B286" s="56"/>
      <c r="C286" s="56"/>
    </row>
    <row r="287" ht="14.25" customHeight="1">
      <c r="A287" s="56"/>
      <c r="B287" s="56"/>
      <c r="C287" s="56"/>
    </row>
    <row r="288" ht="14.25" customHeight="1">
      <c r="A288" s="56"/>
      <c r="B288" s="56"/>
      <c r="C288" s="56"/>
    </row>
    <row r="289" ht="14.25" customHeight="1">
      <c r="A289" s="56"/>
      <c r="B289" s="56"/>
      <c r="C289" s="56"/>
    </row>
    <row r="290" ht="14.25" customHeight="1">
      <c r="A290" s="56"/>
      <c r="B290" s="56"/>
      <c r="C290" s="56"/>
    </row>
    <row r="291" ht="14.25" customHeight="1">
      <c r="A291" s="56"/>
      <c r="B291" s="56"/>
      <c r="C291" s="56"/>
    </row>
    <row r="292" ht="14.25" customHeight="1">
      <c r="A292" s="56"/>
      <c r="B292" s="56"/>
      <c r="C292" s="56"/>
    </row>
    <row r="293" ht="14.25" customHeight="1">
      <c r="A293" s="56"/>
      <c r="B293" s="56"/>
      <c r="C293" s="56"/>
    </row>
    <row r="294" ht="14.25" customHeight="1">
      <c r="A294" s="56"/>
      <c r="B294" s="56"/>
      <c r="C294" s="56"/>
    </row>
    <row r="295" ht="14.25" customHeight="1">
      <c r="A295" s="56"/>
      <c r="B295" s="56"/>
      <c r="C295" s="56"/>
    </row>
    <row r="296" ht="14.25" customHeight="1">
      <c r="A296" s="56"/>
      <c r="B296" s="56"/>
      <c r="C296" s="56"/>
    </row>
    <row r="297" ht="14.25" customHeight="1">
      <c r="A297" s="56"/>
      <c r="B297" s="56"/>
      <c r="C297" s="56"/>
    </row>
    <row r="298" ht="14.25" customHeight="1">
      <c r="A298" s="56"/>
      <c r="B298" s="56"/>
      <c r="C298" s="56"/>
    </row>
    <row r="299" ht="14.25" customHeight="1">
      <c r="A299" s="56"/>
      <c r="B299" s="56"/>
      <c r="C299" s="56"/>
    </row>
    <row r="300" ht="14.25" customHeight="1">
      <c r="A300" s="56"/>
      <c r="B300" s="56"/>
      <c r="C300" s="56"/>
    </row>
    <row r="301" ht="14.25" customHeight="1">
      <c r="A301" s="56"/>
      <c r="B301" s="56"/>
      <c r="C301" s="56"/>
    </row>
    <row r="302" ht="14.25" customHeight="1">
      <c r="A302" s="56"/>
      <c r="B302" s="56"/>
      <c r="C302" s="56"/>
    </row>
    <row r="303" ht="14.25" customHeight="1">
      <c r="A303" s="56"/>
      <c r="B303" s="56"/>
      <c r="C303" s="56"/>
    </row>
    <row r="304" ht="14.25" customHeight="1">
      <c r="A304" s="56"/>
      <c r="B304" s="56"/>
      <c r="C304" s="56"/>
    </row>
    <row r="305" ht="14.25" customHeight="1">
      <c r="A305" s="56"/>
      <c r="B305" s="56"/>
      <c r="C305" s="56"/>
    </row>
    <row r="306" ht="14.25" customHeight="1">
      <c r="A306" s="56"/>
      <c r="B306" s="56"/>
      <c r="C306" s="56"/>
    </row>
    <row r="307" ht="14.25" customHeight="1">
      <c r="A307" s="56"/>
      <c r="B307" s="56"/>
      <c r="C307" s="56"/>
    </row>
    <row r="308" ht="14.25" customHeight="1">
      <c r="A308" s="56"/>
      <c r="B308" s="56"/>
      <c r="C308" s="56"/>
    </row>
    <row r="309" ht="14.25" customHeight="1">
      <c r="A309" s="56"/>
      <c r="B309" s="56"/>
      <c r="C309" s="56"/>
    </row>
    <row r="310" ht="14.25" customHeight="1">
      <c r="A310" s="56"/>
      <c r="B310" s="56"/>
      <c r="C310" s="56"/>
    </row>
    <row r="311" ht="14.25" customHeight="1">
      <c r="A311" s="56"/>
      <c r="B311" s="56"/>
      <c r="C311" s="56"/>
    </row>
    <row r="312" ht="14.25" customHeight="1">
      <c r="A312" s="56"/>
      <c r="B312" s="56"/>
      <c r="C312" s="56"/>
    </row>
    <row r="313" ht="14.25" customHeight="1">
      <c r="A313" s="56"/>
      <c r="B313" s="56"/>
      <c r="C313" s="56"/>
    </row>
    <row r="314" ht="14.25" customHeight="1">
      <c r="A314" s="56"/>
      <c r="B314" s="56"/>
      <c r="C314" s="56"/>
    </row>
    <row r="315" ht="14.25" customHeight="1">
      <c r="A315" s="56"/>
      <c r="B315" s="56"/>
      <c r="C315" s="56"/>
    </row>
    <row r="316" ht="14.25" customHeight="1">
      <c r="A316" s="56"/>
      <c r="B316" s="56"/>
      <c r="C316" s="56"/>
    </row>
    <row r="317" ht="14.25" customHeight="1">
      <c r="A317" s="56"/>
      <c r="B317" s="56"/>
      <c r="C317" s="56"/>
    </row>
    <row r="318" ht="14.25" customHeight="1">
      <c r="A318" s="56"/>
      <c r="B318" s="56"/>
      <c r="C318" s="56"/>
    </row>
    <row r="319" ht="14.25" customHeight="1">
      <c r="A319" s="56"/>
      <c r="B319" s="56"/>
      <c r="C319" s="56"/>
    </row>
    <row r="320" ht="14.25" customHeight="1">
      <c r="A320" s="56"/>
      <c r="B320" s="56"/>
      <c r="C320" s="56"/>
    </row>
    <row r="321" ht="14.25" customHeight="1">
      <c r="A321" s="56"/>
      <c r="B321" s="56"/>
      <c r="C321" s="56"/>
    </row>
    <row r="322" ht="14.25" customHeight="1">
      <c r="A322" s="56"/>
      <c r="B322" s="56"/>
      <c r="C322" s="56"/>
    </row>
    <row r="323" ht="14.25" customHeight="1">
      <c r="A323" s="56"/>
      <c r="B323" s="56"/>
      <c r="C323" s="56"/>
    </row>
    <row r="324" ht="14.25" customHeight="1">
      <c r="A324" s="56"/>
      <c r="B324" s="56"/>
      <c r="C324" s="56"/>
    </row>
    <row r="325" ht="14.25" customHeight="1">
      <c r="A325" s="56"/>
      <c r="B325" s="56"/>
      <c r="C325" s="56"/>
    </row>
    <row r="326" ht="14.25" customHeight="1">
      <c r="A326" s="56"/>
      <c r="B326" s="56"/>
      <c r="C326" s="56"/>
    </row>
    <row r="327" ht="14.25" customHeight="1">
      <c r="A327" s="56"/>
      <c r="B327" s="56"/>
      <c r="C327" s="56"/>
    </row>
    <row r="328" ht="14.25" customHeight="1">
      <c r="A328" s="56"/>
      <c r="B328" s="56"/>
      <c r="C328" s="56"/>
    </row>
    <row r="329" ht="14.25" customHeight="1">
      <c r="A329" s="56"/>
      <c r="B329" s="56"/>
      <c r="C329" s="56"/>
    </row>
    <row r="330" ht="14.25" customHeight="1">
      <c r="A330" s="56"/>
      <c r="B330" s="56"/>
      <c r="C330" s="56"/>
    </row>
    <row r="331" ht="14.25" customHeight="1">
      <c r="A331" s="56"/>
      <c r="B331" s="56"/>
      <c r="C331" s="56"/>
    </row>
    <row r="332" ht="14.25" customHeight="1">
      <c r="A332" s="56"/>
      <c r="B332" s="56"/>
      <c r="C332" s="56"/>
    </row>
    <row r="333" ht="14.25" customHeight="1">
      <c r="A333" s="56"/>
      <c r="B333" s="56"/>
      <c r="C333" s="56"/>
    </row>
    <row r="334" ht="14.25" customHeight="1">
      <c r="A334" s="56"/>
      <c r="B334" s="56"/>
      <c r="C334" s="56"/>
    </row>
    <row r="335" ht="14.25" customHeight="1">
      <c r="A335" s="56"/>
      <c r="B335" s="56"/>
      <c r="C335" s="56"/>
    </row>
    <row r="336" ht="14.25" customHeight="1">
      <c r="A336" s="56"/>
      <c r="B336" s="56"/>
      <c r="C336" s="56"/>
    </row>
    <row r="337" ht="14.25" customHeight="1">
      <c r="A337" s="56"/>
      <c r="B337" s="56"/>
      <c r="C337" s="56"/>
    </row>
    <row r="338" ht="14.25" customHeight="1">
      <c r="A338" s="56"/>
      <c r="B338" s="56"/>
      <c r="C338" s="56"/>
    </row>
    <row r="339" ht="14.25" customHeight="1">
      <c r="A339" s="56"/>
      <c r="B339" s="56"/>
      <c r="C339" s="56"/>
    </row>
    <row r="340" ht="14.25" customHeight="1">
      <c r="A340" s="56"/>
      <c r="B340" s="56"/>
      <c r="C340" s="56"/>
    </row>
    <row r="341" ht="14.25" customHeight="1">
      <c r="A341" s="56"/>
      <c r="B341" s="56"/>
      <c r="C341" s="56"/>
    </row>
    <row r="342" ht="14.25" customHeight="1">
      <c r="A342" s="56"/>
      <c r="B342" s="56"/>
      <c r="C342" s="56"/>
    </row>
    <row r="343" ht="14.25" customHeight="1">
      <c r="A343" s="56"/>
      <c r="B343" s="56"/>
      <c r="C343" s="56"/>
    </row>
    <row r="344" ht="14.25" customHeight="1">
      <c r="A344" s="56"/>
      <c r="B344" s="56"/>
      <c r="C344" s="56"/>
    </row>
    <row r="345" ht="14.25" customHeight="1">
      <c r="A345" s="56"/>
      <c r="B345" s="56"/>
      <c r="C345" s="56"/>
    </row>
    <row r="346" ht="14.25" customHeight="1">
      <c r="A346" s="56"/>
      <c r="B346" s="56"/>
      <c r="C346" s="56"/>
    </row>
    <row r="347" ht="14.25" customHeight="1">
      <c r="A347" s="56"/>
      <c r="B347" s="56"/>
      <c r="C347" s="56"/>
    </row>
    <row r="348" ht="14.25" customHeight="1">
      <c r="A348" s="56"/>
      <c r="B348" s="56"/>
      <c r="C348" s="56"/>
    </row>
    <row r="349" ht="14.25" customHeight="1">
      <c r="A349" s="56"/>
      <c r="B349" s="56"/>
      <c r="C349" s="56"/>
    </row>
    <row r="350" ht="14.25" customHeight="1">
      <c r="A350" s="56"/>
      <c r="B350" s="56"/>
      <c r="C350" s="56"/>
    </row>
    <row r="351" ht="14.25" customHeight="1">
      <c r="A351" s="56"/>
      <c r="B351" s="56"/>
      <c r="C351" s="56"/>
    </row>
    <row r="352" ht="14.25" customHeight="1">
      <c r="A352" s="56"/>
      <c r="B352" s="56"/>
      <c r="C352" s="56"/>
    </row>
    <row r="353" ht="14.25" customHeight="1">
      <c r="A353" s="56"/>
      <c r="B353" s="56"/>
      <c r="C353" s="56"/>
    </row>
    <row r="354" ht="14.25" customHeight="1">
      <c r="A354" s="56"/>
      <c r="B354" s="56"/>
      <c r="C354" s="56"/>
    </row>
    <row r="355" ht="14.25" customHeight="1">
      <c r="A355" s="56"/>
      <c r="B355" s="56"/>
      <c r="C355" s="56"/>
    </row>
    <row r="356" ht="14.25" customHeight="1">
      <c r="A356" s="56"/>
      <c r="B356" s="56"/>
      <c r="C356" s="56"/>
    </row>
    <row r="357" ht="14.25" customHeight="1">
      <c r="A357" s="56"/>
      <c r="B357" s="56"/>
      <c r="C357" s="56"/>
    </row>
    <row r="358" ht="14.25" customHeight="1">
      <c r="A358" s="56"/>
      <c r="B358" s="56"/>
      <c r="C358" s="56"/>
    </row>
    <row r="359" ht="14.25" customHeight="1">
      <c r="A359" s="56"/>
      <c r="B359" s="56"/>
      <c r="C359" s="56"/>
    </row>
    <row r="360" ht="14.25" customHeight="1">
      <c r="A360" s="56"/>
      <c r="B360" s="56"/>
      <c r="C360" s="56"/>
    </row>
    <row r="361" ht="14.25" customHeight="1">
      <c r="A361" s="56"/>
      <c r="B361" s="56"/>
      <c r="C361" s="56"/>
    </row>
    <row r="362" ht="14.25" customHeight="1">
      <c r="A362" s="56"/>
      <c r="B362" s="56"/>
      <c r="C362" s="56"/>
    </row>
    <row r="363" ht="14.25" customHeight="1">
      <c r="A363" s="56"/>
      <c r="B363" s="56"/>
      <c r="C363" s="56"/>
    </row>
    <row r="364" ht="14.25" customHeight="1">
      <c r="A364" s="56"/>
      <c r="B364" s="56"/>
      <c r="C364" s="56"/>
    </row>
    <row r="365" ht="14.25" customHeight="1">
      <c r="A365" s="56"/>
      <c r="B365" s="56"/>
      <c r="C365" s="56"/>
    </row>
    <row r="366" ht="14.25" customHeight="1">
      <c r="A366" s="56"/>
      <c r="B366" s="56"/>
      <c r="C366" s="56"/>
    </row>
    <row r="367" ht="14.25" customHeight="1">
      <c r="A367" s="56"/>
      <c r="B367" s="56"/>
      <c r="C367" s="56"/>
    </row>
    <row r="368" ht="14.25" customHeight="1">
      <c r="A368" s="56"/>
      <c r="B368" s="56"/>
      <c r="C368" s="56"/>
    </row>
    <row r="369" ht="14.25" customHeight="1">
      <c r="A369" s="56"/>
      <c r="B369" s="56"/>
      <c r="C369" s="56"/>
    </row>
    <row r="370" ht="14.25" customHeight="1">
      <c r="A370" s="56"/>
      <c r="B370" s="56"/>
      <c r="C370" s="56"/>
    </row>
    <row r="371" ht="14.25" customHeight="1">
      <c r="A371" s="56"/>
      <c r="B371" s="56"/>
      <c r="C371" s="56"/>
    </row>
    <row r="372" ht="14.25" customHeight="1">
      <c r="A372" s="56"/>
      <c r="B372" s="56"/>
      <c r="C372" s="56"/>
    </row>
    <row r="373" ht="14.25" customHeight="1">
      <c r="A373" s="56"/>
      <c r="B373" s="56"/>
      <c r="C373" s="56"/>
    </row>
    <row r="374" ht="14.25" customHeight="1">
      <c r="A374" s="56"/>
      <c r="B374" s="56"/>
      <c r="C374" s="56"/>
    </row>
    <row r="375" ht="14.25" customHeight="1">
      <c r="A375" s="56"/>
      <c r="B375" s="56"/>
      <c r="C375" s="56"/>
    </row>
    <row r="376" ht="14.25" customHeight="1">
      <c r="A376" s="56"/>
      <c r="B376" s="56"/>
      <c r="C376" s="56"/>
    </row>
    <row r="377" ht="14.25" customHeight="1">
      <c r="A377" s="56"/>
      <c r="B377" s="56"/>
      <c r="C377" s="56"/>
    </row>
    <row r="378" ht="14.25" customHeight="1">
      <c r="A378" s="56"/>
      <c r="B378" s="56"/>
      <c r="C378" s="56"/>
    </row>
    <row r="379" ht="14.25" customHeight="1">
      <c r="A379" s="56"/>
      <c r="B379" s="56"/>
      <c r="C379" s="56"/>
    </row>
    <row r="380" ht="14.25" customHeight="1">
      <c r="A380" s="56"/>
      <c r="B380" s="56"/>
      <c r="C380" s="56"/>
    </row>
    <row r="381" ht="14.25" customHeight="1">
      <c r="A381" s="56"/>
      <c r="B381" s="56"/>
      <c r="C381" s="56"/>
    </row>
    <row r="382" ht="14.25" customHeight="1">
      <c r="A382" s="56"/>
      <c r="B382" s="56"/>
      <c r="C382" s="56"/>
    </row>
    <row r="383" ht="14.25" customHeight="1">
      <c r="A383" s="56"/>
      <c r="B383" s="56"/>
      <c r="C383" s="56"/>
    </row>
    <row r="384" ht="14.25" customHeight="1">
      <c r="A384" s="56"/>
      <c r="B384" s="56"/>
      <c r="C384" s="56"/>
    </row>
    <row r="385" ht="14.25" customHeight="1">
      <c r="A385" s="56"/>
      <c r="B385" s="56"/>
      <c r="C385" s="56"/>
    </row>
    <row r="386" ht="14.25" customHeight="1">
      <c r="A386" s="56"/>
      <c r="B386" s="56"/>
      <c r="C386" s="56"/>
    </row>
    <row r="387" ht="14.25" customHeight="1">
      <c r="A387" s="56"/>
      <c r="B387" s="56"/>
      <c r="C387" s="56"/>
    </row>
    <row r="388" ht="14.25" customHeight="1">
      <c r="A388" s="56"/>
      <c r="B388" s="56"/>
      <c r="C388" s="56"/>
    </row>
    <row r="389" ht="14.25" customHeight="1">
      <c r="A389" s="56"/>
      <c r="B389" s="56"/>
      <c r="C389" s="56"/>
    </row>
    <row r="390" ht="14.25" customHeight="1">
      <c r="A390" s="56"/>
      <c r="B390" s="56"/>
      <c r="C390" s="56"/>
    </row>
    <row r="391" ht="14.25" customHeight="1">
      <c r="A391" s="56"/>
      <c r="B391" s="56"/>
      <c r="C391" s="56"/>
    </row>
    <row r="392" ht="14.25" customHeight="1">
      <c r="A392" s="56"/>
      <c r="B392" s="56"/>
      <c r="C392" s="56"/>
    </row>
    <row r="393" ht="14.25" customHeight="1">
      <c r="A393" s="56"/>
      <c r="B393" s="56"/>
      <c r="C393" s="56"/>
    </row>
    <row r="394" ht="14.25" customHeight="1">
      <c r="A394" s="56"/>
      <c r="B394" s="56"/>
      <c r="C394" s="56"/>
    </row>
    <row r="395" ht="14.25" customHeight="1">
      <c r="A395" s="56"/>
      <c r="B395" s="56"/>
      <c r="C395" s="56"/>
    </row>
    <row r="396" ht="14.25" customHeight="1">
      <c r="A396" s="56"/>
      <c r="B396" s="56"/>
      <c r="C396" s="56"/>
    </row>
    <row r="397" ht="14.25" customHeight="1">
      <c r="A397" s="56"/>
      <c r="B397" s="56"/>
      <c r="C397" s="56"/>
    </row>
    <row r="398" ht="14.25" customHeight="1">
      <c r="A398" s="56"/>
      <c r="B398" s="56"/>
      <c r="C398" s="56"/>
    </row>
    <row r="399" ht="14.25" customHeight="1">
      <c r="A399" s="56"/>
      <c r="B399" s="56"/>
      <c r="C399" s="56"/>
    </row>
    <row r="400" ht="14.25" customHeight="1">
      <c r="A400" s="56"/>
      <c r="B400" s="56"/>
      <c r="C400" s="56"/>
    </row>
    <row r="401" ht="14.25" customHeight="1">
      <c r="A401" s="56"/>
      <c r="B401" s="56"/>
      <c r="C401" s="56"/>
    </row>
    <row r="402" ht="14.25" customHeight="1">
      <c r="A402" s="56"/>
      <c r="B402" s="56"/>
      <c r="C402" s="56"/>
    </row>
    <row r="403" ht="14.25" customHeight="1">
      <c r="A403" s="56"/>
      <c r="B403" s="56"/>
      <c r="C403" s="56"/>
    </row>
    <row r="404" ht="14.25" customHeight="1">
      <c r="A404" s="56"/>
      <c r="B404" s="56"/>
      <c r="C404" s="56"/>
    </row>
    <row r="405" ht="14.25" customHeight="1">
      <c r="A405" s="56"/>
      <c r="B405" s="56"/>
      <c r="C405" s="56"/>
    </row>
    <row r="406" ht="14.25" customHeight="1">
      <c r="A406" s="56"/>
      <c r="B406" s="56"/>
      <c r="C406" s="56"/>
    </row>
    <row r="407" ht="14.25" customHeight="1">
      <c r="A407" s="56"/>
      <c r="B407" s="56"/>
      <c r="C407" s="56"/>
    </row>
    <row r="408" ht="14.25" customHeight="1">
      <c r="A408" s="56"/>
      <c r="B408" s="56"/>
      <c r="C408" s="56"/>
    </row>
    <row r="409" ht="14.25" customHeight="1">
      <c r="A409" s="56"/>
      <c r="B409" s="56"/>
      <c r="C409" s="56"/>
    </row>
    <row r="410" ht="14.25" customHeight="1">
      <c r="A410" s="56"/>
      <c r="B410" s="56"/>
      <c r="C410" s="56"/>
    </row>
    <row r="411" ht="14.25" customHeight="1">
      <c r="A411" s="56"/>
      <c r="B411" s="56"/>
      <c r="C411" s="56"/>
    </row>
    <row r="412" ht="14.25" customHeight="1">
      <c r="A412" s="56"/>
      <c r="B412" s="56"/>
      <c r="C412" s="56"/>
    </row>
    <row r="413" ht="14.25" customHeight="1">
      <c r="A413" s="56"/>
      <c r="B413" s="56"/>
      <c r="C413" s="56"/>
    </row>
    <row r="414" ht="14.25" customHeight="1">
      <c r="A414" s="56"/>
      <c r="B414" s="56"/>
      <c r="C414" s="56"/>
    </row>
    <row r="415" ht="14.25" customHeight="1">
      <c r="A415" s="56"/>
      <c r="B415" s="56"/>
      <c r="C415" s="56"/>
    </row>
    <row r="416" ht="14.25" customHeight="1">
      <c r="A416" s="56"/>
      <c r="B416" s="56"/>
      <c r="C416" s="56"/>
    </row>
    <row r="417" ht="14.25" customHeight="1">
      <c r="A417" s="56"/>
      <c r="B417" s="56"/>
      <c r="C417" s="56"/>
    </row>
    <row r="418" ht="14.25" customHeight="1">
      <c r="A418" s="56"/>
      <c r="B418" s="56"/>
      <c r="C418" s="56"/>
    </row>
    <row r="419" ht="14.25" customHeight="1">
      <c r="A419" s="56"/>
      <c r="B419" s="56"/>
      <c r="C419" s="56"/>
    </row>
    <row r="420" ht="14.25" customHeight="1">
      <c r="A420" s="56"/>
      <c r="B420" s="56"/>
      <c r="C420" s="56"/>
    </row>
    <row r="421" ht="14.25" customHeight="1">
      <c r="A421" s="56"/>
      <c r="B421" s="56"/>
      <c r="C421" s="56"/>
    </row>
    <row r="422" ht="14.25" customHeight="1">
      <c r="A422" s="56"/>
      <c r="B422" s="56"/>
      <c r="C422" s="56"/>
    </row>
    <row r="423" ht="14.25" customHeight="1">
      <c r="A423" s="56"/>
      <c r="B423" s="56"/>
      <c r="C423" s="56"/>
    </row>
    <row r="424" ht="14.25" customHeight="1">
      <c r="A424" s="56"/>
      <c r="B424" s="56"/>
      <c r="C424" s="56"/>
    </row>
    <row r="425" ht="14.25" customHeight="1">
      <c r="A425" s="56"/>
      <c r="B425" s="56"/>
      <c r="C425" s="56"/>
    </row>
    <row r="426" ht="14.25" customHeight="1">
      <c r="A426" s="56"/>
      <c r="B426" s="56"/>
      <c r="C426" s="56"/>
    </row>
    <row r="427" ht="14.25" customHeight="1">
      <c r="A427" s="56"/>
      <c r="B427" s="56"/>
      <c r="C427" s="56"/>
    </row>
    <row r="428" ht="14.25" customHeight="1">
      <c r="A428" s="56"/>
      <c r="B428" s="56"/>
      <c r="C428" s="56"/>
    </row>
    <row r="429" ht="14.25" customHeight="1">
      <c r="A429" s="56"/>
      <c r="B429" s="56"/>
      <c r="C429" s="56"/>
    </row>
    <row r="430" ht="14.25" customHeight="1">
      <c r="A430" s="56"/>
      <c r="B430" s="56"/>
      <c r="C430" s="56"/>
    </row>
    <row r="431" ht="14.25" customHeight="1">
      <c r="A431" s="56"/>
      <c r="B431" s="56"/>
      <c r="C431" s="56"/>
    </row>
    <row r="432" ht="14.25" customHeight="1">
      <c r="A432" s="56"/>
      <c r="B432" s="56"/>
      <c r="C432" s="56"/>
    </row>
    <row r="433" ht="14.25" customHeight="1">
      <c r="A433" s="56"/>
      <c r="B433" s="56"/>
      <c r="C433" s="56"/>
    </row>
    <row r="434" ht="14.25" customHeight="1">
      <c r="A434" s="56"/>
      <c r="B434" s="56"/>
      <c r="C434" s="56"/>
    </row>
    <row r="435" ht="14.25" customHeight="1">
      <c r="A435" s="56"/>
      <c r="B435" s="56"/>
      <c r="C435" s="56"/>
    </row>
    <row r="436" ht="14.25" customHeight="1">
      <c r="A436" s="56"/>
      <c r="B436" s="56"/>
      <c r="C436" s="56"/>
    </row>
    <row r="437" ht="14.25" customHeight="1">
      <c r="A437" s="56"/>
      <c r="B437" s="56"/>
      <c r="C437" s="56"/>
    </row>
    <row r="438" ht="14.25" customHeight="1">
      <c r="A438" s="56"/>
      <c r="B438" s="56"/>
      <c r="C438" s="56"/>
    </row>
    <row r="439" ht="14.25" customHeight="1">
      <c r="A439" s="56"/>
      <c r="B439" s="56"/>
      <c r="C439" s="56"/>
    </row>
    <row r="440" ht="14.25" customHeight="1">
      <c r="A440" s="56"/>
      <c r="B440" s="56"/>
      <c r="C440" s="56"/>
    </row>
    <row r="441" ht="14.25" customHeight="1">
      <c r="A441" s="56"/>
      <c r="B441" s="56"/>
      <c r="C441" s="56"/>
    </row>
    <row r="442" ht="14.25" customHeight="1">
      <c r="A442" s="56"/>
      <c r="B442" s="56"/>
      <c r="C442" s="56"/>
    </row>
    <row r="443" ht="14.25" customHeight="1">
      <c r="A443" s="56"/>
      <c r="B443" s="56"/>
      <c r="C443" s="56"/>
    </row>
    <row r="444" ht="14.25" customHeight="1">
      <c r="A444" s="56"/>
      <c r="B444" s="56"/>
      <c r="C444" s="56"/>
    </row>
    <row r="445" ht="14.25" customHeight="1">
      <c r="A445" s="56"/>
      <c r="B445" s="56"/>
      <c r="C445" s="56"/>
    </row>
    <row r="446" ht="14.25" customHeight="1">
      <c r="A446" s="56"/>
      <c r="B446" s="56"/>
      <c r="C446" s="56"/>
    </row>
    <row r="447" ht="14.25" customHeight="1">
      <c r="A447" s="56"/>
      <c r="B447" s="56"/>
      <c r="C447" s="56"/>
    </row>
    <row r="448" ht="14.25" customHeight="1">
      <c r="A448" s="56"/>
      <c r="B448" s="56"/>
      <c r="C448" s="56"/>
    </row>
    <row r="449" ht="14.25" customHeight="1">
      <c r="A449" s="56"/>
      <c r="B449" s="56"/>
      <c r="C449" s="56"/>
    </row>
    <row r="450" ht="14.25" customHeight="1">
      <c r="A450" s="56"/>
      <c r="B450" s="56"/>
      <c r="C450" s="56"/>
    </row>
    <row r="451" ht="14.25" customHeight="1">
      <c r="A451" s="56"/>
      <c r="B451" s="56"/>
      <c r="C451" s="56"/>
    </row>
    <row r="452" ht="14.25" customHeight="1">
      <c r="A452" s="56"/>
      <c r="B452" s="56"/>
      <c r="C452" s="56"/>
    </row>
    <row r="453" ht="14.25" customHeight="1">
      <c r="A453" s="56"/>
      <c r="B453" s="56"/>
      <c r="C453" s="56"/>
    </row>
    <row r="454" ht="14.25" customHeight="1">
      <c r="A454" s="56"/>
      <c r="B454" s="56"/>
      <c r="C454" s="56"/>
    </row>
    <row r="455" ht="14.25" customHeight="1">
      <c r="A455" s="56"/>
      <c r="B455" s="56"/>
      <c r="C455" s="56"/>
    </row>
    <row r="456" ht="14.25" customHeight="1">
      <c r="A456" s="56"/>
      <c r="B456" s="56"/>
      <c r="C456" s="56"/>
    </row>
    <row r="457" ht="14.25" customHeight="1">
      <c r="A457" s="56"/>
      <c r="B457" s="56"/>
      <c r="C457" s="56"/>
    </row>
    <row r="458" ht="14.25" customHeight="1">
      <c r="A458" s="56"/>
      <c r="B458" s="56"/>
      <c r="C458" s="56"/>
    </row>
    <row r="459" ht="14.25" customHeight="1">
      <c r="A459" s="56"/>
      <c r="B459" s="56"/>
      <c r="C459" s="56"/>
    </row>
    <row r="460" ht="14.25" customHeight="1">
      <c r="A460" s="56"/>
      <c r="B460" s="56"/>
      <c r="C460" s="56"/>
    </row>
    <row r="461" ht="14.25" customHeight="1">
      <c r="A461" s="56"/>
      <c r="B461" s="56"/>
      <c r="C461" s="56"/>
    </row>
    <row r="462" ht="14.25" customHeight="1">
      <c r="A462" s="56"/>
      <c r="B462" s="56"/>
      <c r="C462" s="56"/>
    </row>
    <row r="463" ht="14.25" customHeight="1">
      <c r="A463" s="56"/>
      <c r="B463" s="56"/>
      <c r="C463" s="56"/>
    </row>
    <row r="464" ht="14.25" customHeight="1">
      <c r="A464" s="56"/>
      <c r="B464" s="56"/>
      <c r="C464" s="56"/>
    </row>
    <row r="465" ht="14.25" customHeight="1">
      <c r="A465" s="56"/>
      <c r="B465" s="56"/>
      <c r="C465" s="56"/>
    </row>
    <row r="466" ht="14.25" customHeight="1">
      <c r="A466" s="56"/>
      <c r="B466" s="56"/>
      <c r="C466" s="56"/>
    </row>
    <row r="467" ht="14.25" customHeight="1">
      <c r="A467" s="56"/>
      <c r="B467" s="56"/>
      <c r="C467" s="56"/>
    </row>
    <row r="468" ht="14.25" customHeight="1">
      <c r="A468" s="56"/>
      <c r="B468" s="56"/>
      <c r="C468" s="56"/>
    </row>
    <row r="469" ht="14.25" customHeight="1">
      <c r="A469" s="56"/>
      <c r="B469" s="56"/>
      <c r="C469" s="56"/>
    </row>
    <row r="470" ht="14.25" customHeight="1">
      <c r="A470" s="56"/>
      <c r="B470" s="56"/>
      <c r="C470" s="56"/>
    </row>
    <row r="471" ht="14.25" customHeight="1">
      <c r="A471" s="56"/>
      <c r="B471" s="56"/>
      <c r="C471" s="56"/>
    </row>
    <row r="472" ht="14.25" customHeight="1">
      <c r="A472" s="56"/>
      <c r="B472" s="56"/>
      <c r="C472" s="56"/>
    </row>
    <row r="473" ht="14.25" customHeight="1">
      <c r="A473" s="56"/>
      <c r="B473" s="56"/>
      <c r="C473" s="56"/>
    </row>
    <row r="474" ht="14.25" customHeight="1">
      <c r="A474" s="56"/>
      <c r="B474" s="56"/>
      <c r="C474" s="56"/>
    </row>
    <row r="475" ht="14.25" customHeight="1">
      <c r="A475" s="56"/>
      <c r="B475" s="56"/>
      <c r="C475" s="56"/>
    </row>
    <row r="476" ht="14.25" customHeight="1">
      <c r="A476" s="56"/>
      <c r="B476" s="56"/>
      <c r="C476" s="56"/>
    </row>
    <row r="477" ht="14.25" customHeight="1">
      <c r="A477" s="56"/>
      <c r="B477" s="56"/>
      <c r="C477" s="56"/>
    </row>
    <row r="478" ht="14.25" customHeight="1">
      <c r="A478" s="56"/>
      <c r="B478" s="56"/>
      <c r="C478" s="56"/>
    </row>
    <row r="479" ht="14.25" customHeight="1">
      <c r="A479" s="56"/>
      <c r="B479" s="56"/>
      <c r="C479" s="56"/>
    </row>
    <row r="480" ht="14.25" customHeight="1">
      <c r="A480" s="56"/>
      <c r="B480" s="56"/>
      <c r="C480" s="56"/>
    </row>
    <row r="481" ht="14.25" customHeight="1">
      <c r="A481" s="56"/>
      <c r="B481" s="56"/>
      <c r="C481" s="56"/>
    </row>
    <row r="482" ht="14.25" customHeight="1">
      <c r="A482" s="56"/>
      <c r="B482" s="56"/>
      <c r="C482" s="56"/>
    </row>
    <row r="483" ht="14.25" customHeight="1">
      <c r="A483" s="56"/>
      <c r="B483" s="56"/>
      <c r="C483" s="56"/>
    </row>
    <row r="484" ht="14.25" customHeight="1">
      <c r="A484" s="56"/>
      <c r="B484" s="56"/>
      <c r="C484" s="56"/>
    </row>
    <row r="485" ht="14.25" customHeight="1">
      <c r="A485" s="56"/>
      <c r="B485" s="56"/>
      <c r="C485" s="56"/>
    </row>
    <row r="486" ht="14.25" customHeight="1">
      <c r="A486" s="56"/>
      <c r="B486" s="56"/>
      <c r="C486" s="56"/>
    </row>
    <row r="487" ht="14.25" customHeight="1">
      <c r="A487" s="56"/>
      <c r="B487" s="56"/>
      <c r="C487" s="56"/>
    </row>
    <row r="488" ht="14.25" customHeight="1">
      <c r="A488" s="56"/>
      <c r="B488" s="56"/>
      <c r="C488" s="56"/>
    </row>
    <row r="489" ht="14.25" customHeight="1">
      <c r="A489" s="56"/>
      <c r="B489" s="56"/>
      <c r="C489" s="56"/>
    </row>
    <row r="490" ht="14.25" customHeight="1">
      <c r="A490" s="56"/>
      <c r="B490" s="56"/>
      <c r="C490" s="56"/>
    </row>
    <row r="491" ht="14.25" customHeight="1">
      <c r="A491" s="56"/>
      <c r="B491" s="56"/>
      <c r="C491" s="56"/>
    </row>
    <row r="492" ht="14.25" customHeight="1">
      <c r="A492" s="56"/>
      <c r="B492" s="56"/>
      <c r="C492" s="56"/>
    </row>
    <row r="493" ht="14.25" customHeight="1">
      <c r="A493" s="56"/>
      <c r="B493" s="56"/>
      <c r="C493" s="56"/>
    </row>
    <row r="494" ht="14.25" customHeight="1">
      <c r="A494" s="56"/>
      <c r="B494" s="56"/>
      <c r="C494" s="56"/>
    </row>
    <row r="495" ht="14.25" customHeight="1">
      <c r="A495" s="56"/>
      <c r="B495" s="56"/>
      <c r="C495" s="56"/>
    </row>
    <row r="496" ht="14.25" customHeight="1">
      <c r="A496" s="56"/>
      <c r="B496" s="56"/>
      <c r="C496" s="56"/>
    </row>
    <row r="497" ht="14.25" customHeight="1">
      <c r="A497" s="56"/>
      <c r="B497" s="56"/>
      <c r="C497" s="56"/>
    </row>
    <row r="498" ht="14.25" customHeight="1">
      <c r="A498" s="56"/>
      <c r="B498" s="56"/>
      <c r="C498" s="56"/>
    </row>
    <row r="499" ht="14.25" customHeight="1">
      <c r="A499" s="56"/>
      <c r="B499" s="56"/>
      <c r="C499" s="56"/>
    </row>
    <row r="500" ht="14.25" customHeight="1">
      <c r="A500" s="56"/>
      <c r="B500" s="56"/>
      <c r="C500" s="56"/>
    </row>
    <row r="501" ht="14.25" customHeight="1">
      <c r="A501" s="56"/>
      <c r="B501" s="56"/>
      <c r="C501" s="56"/>
    </row>
    <row r="502" ht="14.25" customHeight="1">
      <c r="A502" s="56"/>
      <c r="B502" s="56"/>
      <c r="C502" s="56"/>
    </row>
    <row r="503" ht="14.25" customHeight="1">
      <c r="A503" s="56"/>
      <c r="B503" s="56"/>
      <c r="C503" s="56"/>
    </row>
    <row r="504" ht="14.25" customHeight="1">
      <c r="A504" s="56"/>
      <c r="B504" s="56"/>
      <c r="C504" s="56"/>
    </row>
    <row r="505" ht="14.25" customHeight="1">
      <c r="A505" s="56"/>
      <c r="B505" s="56"/>
      <c r="C505" s="56"/>
    </row>
    <row r="506" ht="14.25" customHeight="1">
      <c r="A506" s="56"/>
      <c r="B506" s="56"/>
      <c r="C506" s="56"/>
    </row>
    <row r="507" ht="14.25" customHeight="1">
      <c r="A507" s="56"/>
      <c r="B507" s="56"/>
      <c r="C507" s="56"/>
    </row>
    <row r="508" ht="14.25" customHeight="1">
      <c r="A508" s="56"/>
      <c r="B508" s="56"/>
      <c r="C508" s="56"/>
    </row>
    <row r="509" ht="14.25" customHeight="1">
      <c r="A509" s="56"/>
      <c r="B509" s="56"/>
      <c r="C509" s="56"/>
    </row>
    <row r="510" ht="14.25" customHeight="1">
      <c r="A510" s="56"/>
      <c r="B510" s="56"/>
      <c r="C510" s="56"/>
    </row>
    <row r="511" ht="14.25" customHeight="1">
      <c r="A511" s="56"/>
      <c r="B511" s="56"/>
      <c r="C511" s="56"/>
    </row>
    <row r="512" ht="14.25" customHeight="1">
      <c r="A512" s="56"/>
      <c r="B512" s="56"/>
      <c r="C512" s="56"/>
    </row>
    <row r="513" ht="14.25" customHeight="1">
      <c r="A513" s="56"/>
      <c r="B513" s="56"/>
      <c r="C513" s="56"/>
    </row>
    <row r="514" ht="14.25" customHeight="1">
      <c r="A514" s="56"/>
      <c r="B514" s="56"/>
      <c r="C514" s="56"/>
    </row>
    <row r="515" ht="14.25" customHeight="1">
      <c r="A515" s="56"/>
      <c r="B515" s="56"/>
      <c r="C515" s="56"/>
    </row>
    <row r="516" ht="14.25" customHeight="1">
      <c r="A516" s="56"/>
      <c r="B516" s="56"/>
      <c r="C516" s="56"/>
    </row>
    <row r="517" ht="14.25" customHeight="1">
      <c r="A517" s="56"/>
      <c r="B517" s="56"/>
      <c r="C517" s="56"/>
    </row>
    <row r="518" ht="14.25" customHeight="1">
      <c r="A518" s="56"/>
      <c r="B518" s="56"/>
      <c r="C518" s="56"/>
    </row>
    <row r="519" ht="14.25" customHeight="1">
      <c r="A519" s="56"/>
      <c r="B519" s="56"/>
      <c r="C519" s="56"/>
    </row>
    <row r="520" ht="14.25" customHeight="1">
      <c r="A520" s="56"/>
      <c r="B520" s="56"/>
      <c r="C520" s="56"/>
    </row>
    <row r="521" ht="14.25" customHeight="1">
      <c r="A521" s="56"/>
      <c r="B521" s="56"/>
      <c r="C521" s="56"/>
    </row>
    <row r="522" ht="14.25" customHeight="1">
      <c r="A522" s="56"/>
      <c r="B522" s="56"/>
      <c r="C522" s="56"/>
    </row>
    <row r="523" ht="14.25" customHeight="1">
      <c r="A523" s="56"/>
      <c r="B523" s="56"/>
      <c r="C523" s="56"/>
    </row>
    <row r="524" ht="14.25" customHeight="1">
      <c r="A524" s="56"/>
      <c r="B524" s="56"/>
      <c r="C524" s="56"/>
    </row>
    <row r="525" ht="14.25" customHeight="1">
      <c r="A525" s="56"/>
      <c r="B525" s="56"/>
      <c r="C525" s="56"/>
    </row>
    <row r="526" ht="14.25" customHeight="1">
      <c r="A526" s="56"/>
      <c r="B526" s="56"/>
      <c r="C526" s="56"/>
    </row>
    <row r="527" ht="14.25" customHeight="1">
      <c r="A527" s="56"/>
      <c r="B527" s="56"/>
      <c r="C527" s="56"/>
    </row>
    <row r="528" ht="14.25" customHeight="1">
      <c r="A528" s="56"/>
      <c r="B528" s="56"/>
      <c r="C528" s="56"/>
    </row>
    <row r="529" ht="14.25" customHeight="1">
      <c r="A529" s="56"/>
      <c r="B529" s="56"/>
      <c r="C529" s="56"/>
    </row>
    <row r="530" ht="14.25" customHeight="1">
      <c r="A530" s="56"/>
      <c r="B530" s="56"/>
      <c r="C530" s="56"/>
    </row>
    <row r="531" ht="14.25" customHeight="1">
      <c r="A531" s="56"/>
      <c r="B531" s="56"/>
      <c r="C531" s="56"/>
    </row>
    <row r="532" ht="14.25" customHeight="1">
      <c r="A532" s="56"/>
      <c r="B532" s="56"/>
      <c r="C532" s="56"/>
    </row>
    <row r="533" ht="14.25" customHeight="1">
      <c r="A533" s="56"/>
      <c r="B533" s="56"/>
      <c r="C533" s="56"/>
    </row>
    <row r="534" ht="14.25" customHeight="1">
      <c r="A534" s="56"/>
      <c r="B534" s="56"/>
      <c r="C534" s="56"/>
    </row>
    <row r="535" ht="14.25" customHeight="1">
      <c r="A535" s="56"/>
      <c r="B535" s="56"/>
      <c r="C535" s="56"/>
    </row>
    <row r="536" ht="14.25" customHeight="1">
      <c r="A536" s="56"/>
      <c r="B536" s="56"/>
      <c r="C536" s="56"/>
    </row>
    <row r="537" ht="14.25" customHeight="1">
      <c r="A537" s="56"/>
      <c r="B537" s="56"/>
      <c r="C537" s="56"/>
    </row>
    <row r="538" ht="14.25" customHeight="1">
      <c r="A538" s="56"/>
      <c r="B538" s="56"/>
      <c r="C538" s="56"/>
    </row>
    <row r="539" ht="14.25" customHeight="1">
      <c r="A539" s="56"/>
      <c r="B539" s="56"/>
      <c r="C539" s="56"/>
    </row>
    <row r="540" ht="14.25" customHeight="1">
      <c r="A540" s="56"/>
      <c r="B540" s="56"/>
      <c r="C540" s="56"/>
    </row>
    <row r="541" ht="14.25" customHeight="1">
      <c r="A541" s="56"/>
      <c r="B541" s="56"/>
      <c r="C541" s="56"/>
    </row>
    <row r="542" ht="14.25" customHeight="1">
      <c r="A542" s="56"/>
      <c r="B542" s="56"/>
      <c r="C542" s="56"/>
    </row>
    <row r="543" ht="14.25" customHeight="1">
      <c r="A543" s="56"/>
      <c r="B543" s="56"/>
      <c r="C543" s="56"/>
    </row>
    <row r="544" ht="14.25" customHeight="1">
      <c r="A544" s="56"/>
      <c r="B544" s="56"/>
      <c r="C544" s="56"/>
    </row>
    <row r="545" ht="14.25" customHeight="1">
      <c r="A545" s="56"/>
      <c r="B545" s="56"/>
      <c r="C545" s="56"/>
    </row>
    <row r="546" ht="14.25" customHeight="1">
      <c r="A546" s="56"/>
      <c r="B546" s="56"/>
      <c r="C546" s="56"/>
    </row>
    <row r="547" ht="14.25" customHeight="1">
      <c r="A547" s="56"/>
      <c r="B547" s="56"/>
      <c r="C547" s="56"/>
    </row>
    <row r="548" ht="14.25" customHeight="1">
      <c r="A548" s="56"/>
      <c r="B548" s="56"/>
      <c r="C548" s="56"/>
    </row>
    <row r="549" ht="14.25" customHeight="1">
      <c r="A549" s="56"/>
      <c r="B549" s="56"/>
      <c r="C549" s="56"/>
    </row>
    <row r="550" ht="14.25" customHeight="1">
      <c r="A550" s="56"/>
      <c r="B550" s="56"/>
      <c r="C550" s="56"/>
    </row>
    <row r="551" ht="14.25" customHeight="1">
      <c r="A551" s="56"/>
      <c r="B551" s="56"/>
      <c r="C551" s="56"/>
    </row>
    <row r="552" ht="14.25" customHeight="1">
      <c r="A552" s="56"/>
      <c r="B552" s="56"/>
      <c r="C552" s="56"/>
    </row>
    <row r="553" ht="14.25" customHeight="1">
      <c r="A553" s="56"/>
      <c r="B553" s="56"/>
      <c r="C553" s="56"/>
    </row>
    <row r="554" ht="14.25" customHeight="1">
      <c r="A554" s="56"/>
      <c r="B554" s="56"/>
      <c r="C554" s="56"/>
    </row>
    <row r="555" ht="14.25" customHeight="1">
      <c r="A555" s="56"/>
      <c r="B555" s="56"/>
      <c r="C555" s="56"/>
    </row>
    <row r="556" ht="14.25" customHeight="1">
      <c r="A556" s="56"/>
      <c r="B556" s="56"/>
      <c r="C556" s="56"/>
    </row>
    <row r="557" ht="14.25" customHeight="1">
      <c r="A557" s="56"/>
      <c r="B557" s="56"/>
      <c r="C557" s="56"/>
    </row>
    <row r="558" ht="14.25" customHeight="1">
      <c r="A558" s="56"/>
      <c r="B558" s="56"/>
      <c r="C558" s="56"/>
    </row>
    <row r="559" ht="14.25" customHeight="1">
      <c r="A559" s="56"/>
      <c r="B559" s="56"/>
      <c r="C559" s="56"/>
    </row>
    <row r="560" ht="14.25" customHeight="1">
      <c r="A560" s="56"/>
      <c r="B560" s="56"/>
      <c r="C560" s="56"/>
    </row>
    <row r="561" ht="14.25" customHeight="1">
      <c r="A561" s="56"/>
      <c r="B561" s="56"/>
      <c r="C561" s="56"/>
    </row>
    <row r="562" ht="14.25" customHeight="1">
      <c r="A562" s="56"/>
      <c r="B562" s="56"/>
      <c r="C562" s="56"/>
    </row>
    <row r="563" ht="14.25" customHeight="1">
      <c r="A563" s="56"/>
      <c r="B563" s="56"/>
      <c r="C563" s="56"/>
    </row>
    <row r="564" ht="14.25" customHeight="1">
      <c r="A564" s="56"/>
      <c r="B564" s="56"/>
      <c r="C564" s="56"/>
    </row>
    <row r="565" ht="14.25" customHeight="1">
      <c r="A565" s="56"/>
      <c r="B565" s="56"/>
      <c r="C565" s="56"/>
    </row>
    <row r="566" ht="14.25" customHeight="1">
      <c r="A566" s="56"/>
      <c r="B566" s="56"/>
      <c r="C566" s="56"/>
    </row>
    <row r="567" ht="14.25" customHeight="1">
      <c r="A567" s="56"/>
      <c r="B567" s="56"/>
      <c r="C567" s="56"/>
    </row>
    <row r="568" ht="14.25" customHeight="1">
      <c r="A568" s="56"/>
      <c r="B568" s="56"/>
      <c r="C568" s="56"/>
    </row>
    <row r="569" ht="14.25" customHeight="1">
      <c r="A569" s="56"/>
      <c r="B569" s="56"/>
      <c r="C569" s="56"/>
    </row>
    <row r="570" ht="14.25" customHeight="1">
      <c r="A570" s="56"/>
      <c r="B570" s="56"/>
      <c r="C570" s="56"/>
    </row>
    <row r="571" ht="14.25" customHeight="1">
      <c r="A571" s="56"/>
      <c r="B571" s="56"/>
      <c r="C571" s="56"/>
    </row>
    <row r="572" ht="14.25" customHeight="1">
      <c r="A572" s="56"/>
      <c r="B572" s="56"/>
      <c r="C572" s="56"/>
    </row>
    <row r="573" ht="14.25" customHeight="1">
      <c r="A573" s="56"/>
      <c r="B573" s="56"/>
      <c r="C573" s="56"/>
    </row>
    <row r="574" ht="14.25" customHeight="1">
      <c r="A574" s="56"/>
      <c r="B574" s="56"/>
      <c r="C574" s="56"/>
    </row>
    <row r="575" ht="14.25" customHeight="1">
      <c r="A575" s="56"/>
      <c r="B575" s="56"/>
      <c r="C575" s="56"/>
    </row>
    <row r="576" ht="14.25" customHeight="1">
      <c r="A576" s="56"/>
      <c r="B576" s="56"/>
      <c r="C576" s="56"/>
    </row>
    <row r="577" ht="14.25" customHeight="1">
      <c r="A577" s="56"/>
      <c r="B577" s="56"/>
      <c r="C577" s="56"/>
    </row>
    <row r="578" ht="14.25" customHeight="1">
      <c r="A578" s="56"/>
      <c r="B578" s="56"/>
      <c r="C578" s="56"/>
    </row>
    <row r="579" ht="14.25" customHeight="1">
      <c r="A579" s="56"/>
      <c r="B579" s="56"/>
      <c r="C579" s="56"/>
    </row>
    <row r="580" ht="14.25" customHeight="1">
      <c r="A580" s="56"/>
      <c r="B580" s="56"/>
      <c r="C580" s="56"/>
    </row>
    <row r="581" ht="14.25" customHeight="1">
      <c r="A581" s="56"/>
      <c r="B581" s="56"/>
      <c r="C581" s="56"/>
    </row>
    <row r="582" ht="14.25" customHeight="1">
      <c r="A582" s="56"/>
      <c r="B582" s="56"/>
      <c r="C582" s="56"/>
    </row>
    <row r="583" ht="14.25" customHeight="1">
      <c r="A583" s="56"/>
      <c r="B583" s="56"/>
      <c r="C583" s="56"/>
    </row>
    <row r="584" ht="14.25" customHeight="1">
      <c r="A584" s="56"/>
      <c r="B584" s="56"/>
      <c r="C584" s="56"/>
    </row>
    <row r="585" ht="14.25" customHeight="1">
      <c r="A585" s="56"/>
      <c r="B585" s="56"/>
      <c r="C585" s="56"/>
    </row>
    <row r="586" ht="14.25" customHeight="1">
      <c r="A586" s="56"/>
      <c r="B586" s="56"/>
      <c r="C586" s="56"/>
    </row>
    <row r="587" ht="14.25" customHeight="1">
      <c r="A587" s="56"/>
      <c r="B587" s="56"/>
      <c r="C587" s="56"/>
    </row>
    <row r="588" ht="14.25" customHeight="1">
      <c r="A588" s="56"/>
      <c r="B588" s="56"/>
      <c r="C588" s="56"/>
    </row>
    <row r="589" ht="14.25" customHeight="1">
      <c r="A589" s="56"/>
      <c r="B589" s="56"/>
      <c r="C589" s="56"/>
    </row>
    <row r="590" ht="14.25" customHeight="1">
      <c r="A590" s="56"/>
      <c r="B590" s="56"/>
      <c r="C590" s="56"/>
    </row>
    <row r="591" ht="14.25" customHeight="1">
      <c r="A591" s="56"/>
      <c r="B591" s="56"/>
      <c r="C591" s="56"/>
    </row>
    <row r="592" ht="14.25" customHeight="1">
      <c r="A592" s="56"/>
      <c r="B592" s="56"/>
      <c r="C592" s="56"/>
    </row>
    <row r="593" ht="14.25" customHeight="1">
      <c r="A593" s="56"/>
      <c r="B593" s="56"/>
      <c r="C593" s="56"/>
    </row>
    <row r="594" ht="14.25" customHeight="1">
      <c r="A594" s="56"/>
      <c r="B594" s="56"/>
      <c r="C594" s="56"/>
    </row>
    <row r="595" ht="14.25" customHeight="1">
      <c r="A595" s="56"/>
      <c r="B595" s="56"/>
      <c r="C595" s="56"/>
    </row>
    <row r="596" ht="14.25" customHeight="1">
      <c r="A596" s="56"/>
      <c r="B596" s="56"/>
      <c r="C596" s="56"/>
    </row>
    <row r="597" ht="14.25" customHeight="1">
      <c r="A597" s="56"/>
      <c r="B597" s="56"/>
      <c r="C597" s="56"/>
    </row>
    <row r="598" ht="14.25" customHeight="1">
      <c r="A598" s="56"/>
      <c r="B598" s="56"/>
      <c r="C598" s="56"/>
    </row>
    <row r="599" ht="14.25" customHeight="1">
      <c r="A599" s="56"/>
      <c r="B599" s="56"/>
      <c r="C599" s="56"/>
    </row>
    <row r="600" ht="14.25" customHeight="1">
      <c r="A600" s="56"/>
      <c r="B600" s="56"/>
      <c r="C600" s="56"/>
    </row>
    <row r="601" ht="14.25" customHeight="1">
      <c r="A601" s="56"/>
      <c r="B601" s="56"/>
      <c r="C601" s="56"/>
    </row>
    <row r="602" ht="14.25" customHeight="1">
      <c r="A602" s="56"/>
      <c r="B602" s="56"/>
      <c r="C602" s="56"/>
    </row>
    <row r="603" ht="14.25" customHeight="1">
      <c r="A603" s="56"/>
      <c r="B603" s="56"/>
      <c r="C603" s="56"/>
    </row>
    <row r="604" ht="14.25" customHeight="1">
      <c r="A604" s="56"/>
      <c r="B604" s="56"/>
      <c r="C604" s="56"/>
    </row>
    <row r="605" ht="14.25" customHeight="1">
      <c r="A605" s="56"/>
      <c r="B605" s="56"/>
      <c r="C605" s="56"/>
    </row>
    <row r="606" ht="14.25" customHeight="1">
      <c r="A606" s="56"/>
      <c r="B606" s="56"/>
      <c r="C606" s="56"/>
    </row>
    <row r="607" ht="14.25" customHeight="1">
      <c r="A607" s="56"/>
      <c r="B607" s="56"/>
      <c r="C607" s="56"/>
    </row>
    <row r="608" ht="14.25" customHeight="1">
      <c r="A608" s="56"/>
      <c r="B608" s="56"/>
      <c r="C608" s="56"/>
    </row>
    <row r="609" ht="14.25" customHeight="1">
      <c r="A609" s="56"/>
      <c r="B609" s="56"/>
      <c r="C609" s="56"/>
    </row>
    <row r="610" ht="14.25" customHeight="1">
      <c r="A610" s="56"/>
      <c r="B610" s="56"/>
      <c r="C610" s="56"/>
    </row>
    <row r="611" ht="14.25" customHeight="1">
      <c r="A611" s="56"/>
      <c r="B611" s="56"/>
      <c r="C611" s="56"/>
    </row>
    <row r="612" ht="14.25" customHeight="1">
      <c r="A612" s="56"/>
      <c r="B612" s="56"/>
      <c r="C612" s="56"/>
    </row>
    <row r="613" ht="14.25" customHeight="1">
      <c r="A613" s="56"/>
      <c r="B613" s="56"/>
      <c r="C613" s="56"/>
    </row>
    <row r="614" ht="14.25" customHeight="1">
      <c r="A614" s="56"/>
      <c r="B614" s="56"/>
      <c r="C614" s="56"/>
    </row>
    <row r="615" ht="14.25" customHeight="1">
      <c r="A615" s="56"/>
      <c r="B615" s="56"/>
      <c r="C615" s="56"/>
    </row>
    <row r="616" ht="14.25" customHeight="1">
      <c r="A616" s="56"/>
      <c r="B616" s="56"/>
      <c r="C616" s="56"/>
    </row>
    <row r="617" ht="14.25" customHeight="1">
      <c r="A617" s="56"/>
      <c r="B617" s="56"/>
      <c r="C617" s="56"/>
    </row>
    <row r="618" ht="14.25" customHeight="1">
      <c r="A618" s="56"/>
      <c r="B618" s="56"/>
      <c r="C618" s="56"/>
    </row>
    <row r="619" ht="14.25" customHeight="1">
      <c r="A619" s="56"/>
      <c r="B619" s="56"/>
      <c r="C619" s="56"/>
    </row>
    <row r="620" ht="14.25" customHeight="1">
      <c r="A620" s="56"/>
      <c r="B620" s="56"/>
      <c r="C620" s="56"/>
    </row>
    <row r="621" ht="14.25" customHeight="1">
      <c r="A621" s="56"/>
      <c r="B621" s="56"/>
      <c r="C621" s="56"/>
    </row>
    <row r="622" ht="14.25" customHeight="1">
      <c r="A622" s="56"/>
      <c r="B622" s="56"/>
      <c r="C622" s="56"/>
    </row>
    <row r="623" ht="14.25" customHeight="1">
      <c r="A623" s="56"/>
      <c r="B623" s="56"/>
      <c r="C623" s="56"/>
    </row>
    <row r="624" ht="14.25" customHeight="1">
      <c r="A624" s="56"/>
      <c r="B624" s="56"/>
      <c r="C624" s="56"/>
    </row>
    <row r="625" ht="14.25" customHeight="1">
      <c r="A625" s="56"/>
      <c r="B625" s="56"/>
      <c r="C625" s="56"/>
    </row>
    <row r="626" ht="14.25" customHeight="1">
      <c r="A626" s="56"/>
      <c r="B626" s="56"/>
      <c r="C626" s="56"/>
    </row>
    <row r="627" ht="14.25" customHeight="1">
      <c r="A627" s="56"/>
      <c r="B627" s="56"/>
      <c r="C627" s="56"/>
    </row>
    <row r="628" ht="14.25" customHeight="1">
      <c r="A628" s="56"/>
      <c r="B628" s="56"/>
      <c r="C628" s="56"/>
    </row>
    <row r="629" ht="14.25" customHeight="1">
      <c r="A629" s="56"/>
      <c r="B629" s="56"/>
      <c r="C629" s="56"/>
    </row>
    <row r="630" ht="14.25" customHeight="1">
      <c r="A630" s="56"/>
      <c r="B630" s="56"/>
      <c r="C630" s="56"/>
    </row>
    <row r="631" ht="14.25" customHeight="1">
      <c r="A631" s="56"/>
      <c r="B631" s="56"/>
      <c r="C631" s="56"/>
    </row>
    <row r="632" ht="14.25" customHeight="1">
      <c r="A632" s="56"/>
      <c r="B632" s="56"/>
      <c r="C632" s="56"/>
    </row>
    <row r="633" ht="14.25" customHeight="1">
      <c r="A633" s="56"/>
      <c r="B633" s="56"/>
      <c r="C633" s="56"/>
    </row>
    <row r="634" ht="14.25" customHeight="1">
      <c r="A634" s="56"/>
      <c r="B634" s="56"/>
      <c r="C634" s="56"/>
    </row>
    <row r="635" ht="14.25" customHeight="1">
      <c r="A635" s="56"/>
      <c r="B635" s="56"/>
      <c r="C635" s="56"/>
    </row>
    <row r="636" ht="14.25" customHeight="1">
      <c r="A636" s="56"/>
      <c r="B636" s="56"/>
      <c r="C636" s="56"/>
    </row>
    <row r="637" ht="14.25" customHeight="1">
      <c r="A637" s="56"/>
      <c r="B637" s="56"/>
      <c r="C637" s="56"/>
    </row>
    <row r="638" ht="14.25" customHeight="1">
      <c r="A638" s="56"/>
      <c r="B638" s="56"/>
      <c r="C638" s="56"/>
    </row>
    <row r="639" ht="14.25" customHeight="1">
      <c r="A639" s="56"/>
      <c r="B639" s="56"/>
      <c r="C639" s="56"/>
    </row>
    <row r="640" ht="14.25" customHeight="1">
      <c r="A640" s="56"/>
      <c r="B640" s="56"/>
      <c r="C640" s="56"/>
    </row>
    <row r="641" ht="14.25" customHeight="1">
      <c r="A641" s="56"/>
      <c r="B641" s="56"/>
      <c r="C641" s="56"/>
    </row>
    <row r="642" ht="14.25" customHeight="1">
      <c r="A642" s="56"/>
      <c r="B642" s="56"/>
      <c r="C642" s="56"/>
    </row>
    <row r="643" ht="14.25" customHeight="1">
      <c r="A643" s="56"/>
      <c r="B643" s="56"/>
      <c r="C643" s="56"/>
    </row>
    <row r="644" ht="14.25" customHeight="1">
      <c r="A644" s="56"/>
      <c r="B644" s="56"/>
      <c r="C644" s="56"/>
    </row>
    <row r="645" ht="14.25" customHeight="1">
      <c r="A645" s="56"/>
      <c r="B645" s="56"/>
      <c r="C645" s="56"/>
    </row>
    <row r="646" ht="14.25" customHeight="1">
      <c r="A646" s="56"/>
      <c r="B646" s="56"/>
      <c r="C646" s="56"/>
    </row>
    <row r="647" ht="14.25" customHeight="1">
      <c r="A647" s="56"/>
      <c r="B647" s="56"/>
      <c r="C647" s="56"/>
    </row>
    <row r="648" ht="14.25" customHeight="1">
      <c r="A648" s="56"/>
      <c r="B648" s="56"/>
      <c r="C648" s="56"/>
    </row>
    <row r="649" ht="14.25" customHeight="1">
      <c r="A649" s="56"/>
      <c r="B649" s="56"/>
      <c r="C649" s="56"/>
    </row>
    <row r="650" ht="14.25" customHeight="1">
      <c r="A650" s="56"/>
      <c r="B650" s="56"/>
      <c r="C650" s="56"/>
    </row>
    <row r="651" ht="14.25" customHeight="1">
      <c r="A651" s="56"/>
      <c r="B651" s="56"/>
      <c r="C651" s="56"/>
    </row>
    <row r="652" ht="14.25" customHeight="1">
      <c r="A652" s="56"/>
      <c r="B652" s="56"/>
      <c r="C652" s="56"/>
    </row>
    <row r="653" ht="14.25" customHeight="1">
      <c r="A653" s="56"/>
      <c r="B653" s="56"/>
      <c r="C653" s="56"/>
    </row>
    <row r="654" ht="14.25" customHeight="1">
      <c r="A654" s="56"/>
      <c r="B654" s="56"/>
      <c r="C654" s="56"/>
    </row>
    <row r="655" ht="14.25" customHeight="1">
      <c r="A655" s="56"/>
      <c r="B655" s="56"/>
      <c r="C655" s="56"/>
    </row>
    <row r="656" ht="14.25" customHeight="1">
      <c r="A656" s="56"/>
      <c r="B656" s="56"/>
      <c r="C656" s="56"/>
    </row>
    <row r="657" ht="14.25" customHeight="1">
      <c r="A657" s="56"/>
      <c r="B657" s="56"/>
      <c r="C657" s="56"/>
    </row>
    <row r="658" ht="14.25" customHeight="1">
      <c r="A658" s="56"/>
      <c r="B658" s="56"/>
      <c r="C658" s="56"/>
    </row>
    <row r="659" ht="14.25" customHeight="1">
      <c r="A659" s="56"/>
      <c r="B659" s="56"/>
      <c r="C659" s="56"/>
    </row>
    <row r="660" ht="14.25" customHeight="1">
      <c r="A660" s="56"/>
      <c r="B660" s="56"/>
      <c r="C660" s="56"/>
    </row>
    <row r="661" ht="14.25" customHeight="1">
      <c r="A661" s="56"/>
      <c r="B661" s="56"/>
      <c r="C661" s="56"/>
    </row>
    <row r="662" ht="14.25" customHeight="1">
      <c r="A662" s="56"/>
      <c r="B662" s="56"/>
      <c r="C662" s="56"/>
    </row>
    <row r="663" ht="14.25" customHeight="1">
      <c r="A663" s="56"/>
      <c r="B663" s="56"/>
      <c r="C663" s="56"/>
    </row>
    <row r="664" ht="14.25" customHeight="1">
      <c r="A664" s="56"/>
      <c r="B664" s="56"/>
      <c r="C664" s="56"/>
    </row>
    <row r="665" ht="14.25" customHeight="1">
      <c r="A665" s="56"/>
      <c r="B665" s="56"/>
      <c r="C665" s="56"/>
    </row>
    <row r="666" ht="14.25" customHeight="1">
      <c r="A666" s="56"/>
      <c r="B666" s="56"/>
      <c r="C666" s="56"/>
    </row>
    <row r="667" ht="14.25" customHeight="1">
      <c r="A667" s="56"/>
      <c r="B667" s="56"/>
      <c r="C667" s="56"/>
    </row>
    <row r="668" ht="14.25" customHeight="1">
      <c r="A668" s="56"/>
      <c r="B668" s="56"/>
      <c r="C668" s="56"/>
    </row>
    <row r="669" ht="14.25" customHeight="1">
      <c r="A669" s="56"/>
      <c r="B669" s="56"/>
      <c r="C669" s="56"/>
    </row>
    <row r="670" ht="14.25" customHeight="1">
      <c r="A670" s="56"/>
      <c r="B670" s="56"/>
      <c r="C670" s="56"/>
    </row>
    <row r="671" ht="14.25" customHeight="1">
      <c r="A671" s="56"/>
      <c r="B671" s="56"/>
      <c r="C671" s="56"/>
    </row>
    <row r="672" ht="14.25" customHeight="1">
      <c r="A672" s="56"/>
      <c r="B672" s="56"/>
      <c r="C672" s="56"/>
    </row>
    <row r="673" ht="14.25" customHeight="1">
      <c r="A673" s="56"/>
      <c r="B673" s="56"/>
      <c r="C673" s="56"/>
    </row>
    <row r="674" ht="14.25" customHeight="1">
      <c r="A674" s="56"/>
      <c r="B674" s="56"/>
      <c r="C674" s="56"/>
    </row>
    <row r="675" ht="14.25" customHeight="1">
      <c r="A675" s="56"/>
      <c r="B675" s="56"/>
      <c r="C675" s="56"/>
    </row>
    <row r="676" ht="14.25" customHeight="1">
      <c r="A676" s="56"/>
      <c r="B676" s="56"/>
      <c r="C676" s="56"/>
    </row>
    <row r="677" ht="14.25" customHeight="1">
      <c r="A677" s="56"/>
      <c r="B677" s="56"/>
      <c r="C677" s="56"/>
    </row>
    <row r="678" ht="14.25" customHeight="1">
      <c r="A678" s="56"/>
      <c r="B678" s="56"/>
      <c r="C678" s="56"/>
    </row>
    <row r="679" ht="14.25" customHeight="1">
      <c r="A679" s="56"/>
      <c r="B679" s="56"/>
      <c r="C679" s="56"/>
    </row>
    <row r="680" ht="14.25" customHeight="1">
      <c r="A680" s="56"/>
      <c r="B680" s="56"/>
      <c r="C680" s="56"/>
    </row>
    <row r="681" ht="14.25" customHeight="1">
      <c r="A681" s="56"/>
      <c r="B681" s="56"/>
      <c r="C681" s="56"/>
    </row>
    <row r="682" ht="14.25" customHeight="1">
      <c r="A682" s="56"/>
      <c r="B682" s="56"/>
      <c r="C682" s="56"/>
    </row>
    <row r="683" ht="14.25" customHeight="1">
      <c r="A683" s="56"/>
      <c r="B683" s="56"/>
      <c r="C683" s="56"/>
    </row>
    <row r="684" ht="14.25" customHeight="1">
      <c r="A684" s="56"/>
      <c r="B684" s="56"/>
      <c r="C684" s="56"/>
    </row>
    <row r="685" ht="14.25" customHeight="1">
      <c r="A685" s="56"/>
      <c r="B685" s="56"/>
      <c r="C685" s="56"/>
    </row>
    <row r="686" ht="14.25" customHeight="1">
      <c r="A686" s="56"/>
      <c r="B686" s="56"/>
      <c r="C686" s="56"/>
    </row>
    <row r="687" ht="14.25" customHeight="1">
      <c r="A687" s="56"/>
      <c r="B687" s="56"/>
      <c r="C687" s="56"/>
    </row>
    <row r="688" ht="14.25" customHeight="1">
      <c r="A688" s="56"/>
      <c r="B688" s="56"/>
      <c r="C688" s="56"/>
    </row>
    <row r="689" ht="14.25" customHeight="1">
      <c r="A689" s="56"/>
      <c r="B689" s="56"/>
      <c r="C689" s="56"/>
    </row>
    <row r="690" ht="14.25" customHeight="1">
      <c r="A690" s="56"/>
      <c r="B690" s="56"/>
      <c r="C690" s="56"/>
    </row>
    <row r="691" ht="14.25" customHeight="1">
      <c r="A691" s="56"/>
      <c r="B691" s="56"/>
      <c r="C691" s="56"/>
    </row>
    <row r="692" ht="14.25" customHeight="1">
      <c r="A692" s="56"/>
      <c r="B692" s="56"/>
      <c r="C692" s="56"/>
    </row>
    <row r="693" ht="14.25" customHeight="1">
      <c r="A693" s="56"/>
      <c r="B693" s="56"/>
      <c r="C693" s="56"/>
    </row>
    <row r="694" ht="14.25" customHeight="1">
      <c r="A694" s="56"/>
      <c r="B694" s="56"/>
      <c r="C694" s="56"/>
    </row>
    <row r="695" ht="14.25" customHeight="1">
      <c r="A695" s="56"/>
      <c r="B695" s="56"/>
      <c r="C695" s="56"/>
    </row>
    <row r="696" ht="14.25" customHeight="1">
      <c r="A696" s="56"/>
      <c r="B696" s="56"/>
      <c r="C696" s="56"/>
    </row>
    <row r="697" ht="14.25" customHeight="1">
      <c r="A697" s="56"/>
      <c r="B697" s="56"/>
      <c r="C697" s="56"/>
    </row>
    <row r="698" ht="14.25" customHeight="1">
      <c r="A698" s="56"/>
      <c r="B698" s="56"/>
      <c r="C698" s="56"/>
    </row>
    <row r="699" ht="14.25" customHeight="1">
      <c r="A699" s="56"/>
      <c r="B699" s="56"/>
      <c r="C699" s="56"/>
    </row>
    <row r="700" ht="14.25" customHeight="1">
      <c r="A700" s="56"/>
      <c r="B700" s="56"/>
      <c r="C700" s="56"/>
    </row>
    <row r="701" ht="14.25" customHeight="1">
      <c r="A701" s="56"/>
      <c r="B701" s="56"/>
      <c r="C701" s="56"/>
    </row>
    <row r="702" ht="14.25" customHeight="1">
      <c r="A702" s="56"/>
      <c r="B702" s="56"/>
      <c r="C702" s="56"/>
    </row>
    <row r="703" ht="14.25" customHeight="1">
      <c r="A703" s="56"/>
      <c r="B703" s="56"/>
      <c r="C703" s="56"/>
    </row>
    <row r="704" ht="14.25" customHeight="1">
      <c r="A704" s="56"/>
      <c r="B704" s="56"/>
      <c r="C704" s="56"/>
    </row>
    <row r="705" ht="14.25" customHeight="1">
      <c r="A705" s="56"/>
      <c r="B705" s="56"/>
      <c r="C705" s="56"/>
    </row>
    <row r="706" ht="14.25" customHeight="1">
      <c r="A706" s="56"/>
      <c r="B706" s="56"/>
      <c r="C706" s="56"/>
    </row>
    <row r="707" ht="14.25" customHeight="1">
      <c r="A707" s="56"/>
      <c r="B707" s="56"/>
      <c r="C707" s="56"/>
    </row>
    <row r="708" ht="14.25" customHeight="1">
      <c r="A708" s="56"/>
      <c r="B708" s="56"/>
      <c r="C708" s="56"/>
    </row>
    <row r="709" ht="14.25" customHeight="1">
      <c r="A709" s="56"/>
      <c r="B709" s="56"/>
      <c r="C709" s="56"/>
    </row>
    <row r="710" ht="14.25" customHeight="1">
      <c r="A710" s="56"/>
      <c r="B710" s="56"/>
      <c r="C710" s="56"/>
    </row>
    <row r="711" ht="14.25" customHeight="1">
      <c r="A711" s="56"/>
      <c r="B711" s="56"/>
      <c r="C711" s="56"/>
    </row>
    <row r="712" ht="14.25" customHeight="1">
      <c r="A712" s="56"/>
      <c r="B712" s="56"/>
      <c r="C712" s="56"/>
    </row>
    <row r="713" ht="14.25" customHeight="1">
      <c r="A713" s="56"/>
      <c r="B713" s="56"/>
      <c r="C713" s="56"/>
    </row>
    <row r="714" ht="14.25" customHeight="1">
      <c r="A714" s="56"/>
      <c r="B714" s="56"/>
      <c r="C714" s="56"/>
    </row>
    <row r="715" ht="14.25" customHeight="1">
      <c r="A715" s="56"/>
      <c r="B715" s="56"/>
      <c r="C715" s="56"/>
    </row>
    <row r="716" ht="14.25" customHeight="1">
      <c r="A716" s="56"/>
      <c r="B716" s="56"/>
      <c r="C716" s="56"/>
    </row>
    <row r="717" ht="14.25" customHeight="1">
      <c r="A717" s="56"/>
      <c r="B717" s="56"/>
      <c r="C717" s="56"/>
    </row>
    <row r="718" ht="14.25" customHeight="1">
      <c r="A718" s="56"/>
      <c r="B718" s="56"/>
      <c r="C718" s="56"/>
    </row>
    <row r="719" ht="14.25" customHeight="1">
      <c r="A719" s="56"/>
      <c r="B719" s="56"/>
      <c r="C719" s="56"/>
    </row>
    <row r="720" ht="14.25" customHeight="1">
      <c r="A720" s="56"/>
      <c r="B720" s="56"/>
      <c r="C720" s="56"/>
    </row>
    <row r="721" ht="14.25" customHeight="1">
      <c r="A721" s="56"/>
      <c r="B721" s="56"/>
      <c r="C721" s="56"/>
    </row>
    <row r="722" ht="14.25" customHeight="1">
      <c r="A722" s="56"/>
      <c r="B722" s="56"/>
      <c r="C722" s="56"/>
    </row>
    <row r="723" ht="14.25" customHeight="1">
      <c r="A723" s="56"/>
      <c r="B723" s="56"/>
      <c r="C723" s="56"/>
    </row>
    <row r="724" ht="14.25" customHeight="1">
      <c r="A724" s="56"/>
      <c r="B724" s="56"/>
      <c r="C724" s="56"/>
    </row>
    <row r="725" ht="14.25" customHeight="1">
      <c r="A725" s="56"/>
      <c r="B725" s="56"/>
      <c r="C725" s="56"/>
    </row>
    <row r="726" ht="14.25" customHeight="1">
      <c r="A726" s="56"/>
      <c r="B726" s="56"/>
      <c r="C726" s="56"/>
    </row>
    <row r="727" ht="14.25" customHeight="1">
      <c r="A727" s="56"/>
      <c r="B727" s="56"/>
      <c r="C727" s="56"/>
    </row>
    <row r="728" ht="14.25" customHeight="1">
      <c r="A728" s="56"/>
      <c r="B728" s="56"/>
      <c r="C728" s="56"/>
    </row>
    <row r="729" ht="14.25" customHeight="1">
      <c r="A729" s="56"/>
      <c r="B729" s="56"/>
      <c r="C729" s="56"/>
    </row>
    <row r="730" ht="14.25" customHeight="1">
      <c r="A730" s="56"/>
      <c r="B730" s="56"/>
      <c r="C730" s="56"/>
    </row>
    <row r="731" ht="14.25" customHeight="1">
      <c r="A731" s="56"/>
      <c r="B731" s="56"/>
      <c r="C731" s="56"/>
    </row>
    <row r="732" ht="14.25" customHeight="1">
      <c r="A732" s="56"/>
      <c r="B732" s="56"/>
      <c r="C732" s="56"/>
    </row>
    <row r="733" ht="14.25" customHeight="1">
      <c r="A733" s="56"/>
      <c r="B733" s="56"/>
      <c r="C733" s="56"/>
    </row>
    <row r="734" ht="14.25" customHeight="1">
      <c r="A734" s="56"/>
      <c r="B734" s="56"/>
      <c r="C734" s="56"/>
    </row>
    <row r="735" ht="14.25" customHeight="1">
      <c r="A735" s="56"/>
      <c r="B735" s="56"/>
      <c r="C735" s="56"/>
    </row>
    <row r="736" ht="14.25" customHeight="1">
      <c r="A736" s="56"/>
      <c r="B736" s="56"/>
      <c r="C736" s="56"/>
    </row>
    <row r="737" ht="14.25" customHeight="1">
      <c r="A737" s="56"/>
      <c r="B737" s="56"/>
      <c r="C737" s="56"/>
    </row>
    <row r="738" ht="14.25" customHeight="1">
      <c r="A738" s="56"/>
      <c r="B738" s="56"/>
      <c r="C738" s="56"/>
    </row>
    <row r="739" ht="14.25" customHeight="1">
      <c r="A739" s="56"/>
      <c r="B739" s="56"/>
      <c r="C739" s="56"/>
    </row>
    <row r="740" ht="14.25" customHeight="1">
      <c r="A740" s="56"/>
      <c r="B740" s="56"/>
      <c r="C740" s="56"/>
    </row>
    <row r="741" ht="14.25" customHeight="1">
      <c r="A741" s="56"/>
      <c r="B741" s="56"/>
      <c r="C741" s="56"/>
    </row>
    <row r="742" ht="14.25" customHeight="1">
      <c r="A742" s="56"/>
      <c r="B742" s="56"/>
      <c r="C742" s="56"/>
    </row>
    <row r="743" ht="14.25" customHeight="1">
      <c r="A743" s="56"/>
      <c r="B743" s="56"/>
      <c r="C743" s="56"/>
    </row>
    <row r="744" ht="14.25" customHeight="1">
      <c r="A744" s="56"/>
      <c r="B744" s="56"/>
      <c r="C744" s="56"/>
    </row>
    <row r="745" ht="14.25" customHeight="1">
      <c r="A745" s="56"/>
      <c r="B745" s="56"/>
      <c r="C745" s="56"/>
    </row>
    <row r="746" ht="14.25" customHeight="1">
      <c r="A746" s="56"/>
      <c r="B746" s="56"/>
      <c r="C746" s="56"/>
    </row>
    <row r="747" ht="14.25" customHeight="1">
      <c r="A747" s="56"/>
      <c r="B747" s="56"/>
      <c r="C747" s="56"/>
    </row>
    <row r="748" ht="14.25" customHeight="1">
      <c r="A748" s="56"/>
      <c r="B748" s="56"/>
      <c r="C748" s="56"/>
    </row>
    <row r="749" ht="14.25" customHeight="1">
      <c r="A749" s="56"/>
      <c r="B749" s="56"/>
      <c r="C749" s="56"/>
    </row>
    <row r="750" ht="14.25" customHeight="1">
      <c r="A750" s="56"/>
      <c r="B750" s="56"/>
      <c r="C750" s="56"/>
    </row>
    <row r="751" ht="14.25" customHeight="1">
      <c r="A751" s="56"/>
      <c r="B751" s="56"/>
      <c r="C751" s="56"/>
    </row>
    <row r="752" ht="14.25" customHeight="1">
      <c r="A752" s="56"/>
      <c r="B752" s="56"/>
      <c r="C752" s="56"/>
    </row>
    <row r="753" ht="14.25" customHeight="1">
      <c r="A753" s="56"/>
      <c r="B753" s="56"/>
      <c r="C753" s="56"/>
    </row>
    <row r="754" ht="14.25" customHeight="1">
      <c r="A754" s="56"/>
      <c r="B754" s="56"/>
      <c r="C754" s="56"/>
    </row>
    <row r="755" ht="14.25" customHeight="1">
      <c r="A755" s="56"/>
      <c r="B755" s="56"/>
      <c r="C755" s="56"/>
    </row>
    <row r="756" ht="14.25" customHeight="1">
      <c r="A756" s="56"/>
      <c r="B756" s="56"/>
      <c r="C756" s="56"/>
    </row>
    <row r="757" ht="14.25" customHeight="1">
      <c r="A757" s="56"/>
      <c r="B757" s="56"/>
      <c r="C757" s="56"/>
    </row>
    <row r="758" ht="14.25" customHeight="1">
      <c r="A758" s="56"/>
      <c r="B758" s="56"/>
      <c r="C758" s="56"/>
    </row>
    <row r="759" ht="14.25" customHeight="1">
      <c r="A759" s="56"/>
      <c r="B759" s="56"/>
      <c r="C759" s="56"/>
    </row>
    <row r="760" ht="14.25" customHeight="1">
      <c r="A760" s="56"/>
      <c r="B760" s="56"/>
      <c r="C760" s="56"/>
    </row>
    <row r="761" ht="14.25" customHeight="1">
      <c r="A761" s="56"/>
      <c r="B761" s="56"/>
      <c r="C761" s="56"/>
    </row>
    <row r="762" ht="14.25" customHeight="1">
      <c r="A762" s="56"/>
      <c r="B762" s="56"/>
      <c r="C762" s="56"/>
    </row>
    <row r="763" ht="14.25" customHeight="1">
      <c r="A763" s="56"/>
      <c r="B763" s="56"/>
      <c r="C763" s="56"/>
    </row>
    <row r="764" ht="14.25" customHeight="1">
      <c r="A764" s="56"/>
      <c r="B764" s="56"/>
      <c r="C764" s="56"/>
    </row>
    <row r="765" ht="14.25" customHeight="1">
      <c r="A765" s="56"/>
      <c r="B765" s="56"/>
      <c r="C765" s="56"/>
    </row>
    <row r="766" ht="14.25" customHeight="1">
      <c r="A766" s="56"/>
      <c r="B766" s="56"/>
      <c r="C766" s="56"/>
    </row>
    <row r="767" ht="14.25" customHeight="1">
      <c r="A767" s="56"/>
      <c r="B767" s="56"/>
      <c r="C767" s="56"/>
    </row>
    <row r="768" ht="14.25" customHeight="1">
      <c r="A768" s="56"/>
      <c r="B768" s="56"/>
      <c r="C768" s="56"/>
    </row>
    <row r="769" ht="14.25" customHeight="1">
      <c r="A769" s="56"/>
      <c r="B769" s="56"/>
      <c r="C769" s="56"/>
    </row>
    <row r="770" ht="14.25" customHeight="1">
      <c r="A770" s="56"/>
      <c r="B770" s="56"/>
      <c r="C770" s="56"/>
    </row>
    <row r="771" ht="14.25" customHeight="1">
      <c r="A771" s="56"/>
      <c r="B771" s="56"/>
      <c r="C771" s="56"/>
    </row>
    <row r="772" ht="14.25" customHeight="1">
      <c r="A772" s="56"/>
      <c r="B772" s="56"/>
      <c r="C772" s="56"/>
    </row>
    <row r="773" ht="14.25" customHeight="1">
      <c r="A773" s="56"/>
      <c r="B773" s="56"/>
      <c r="C773" s="56"/>
    </row>
    <row r="774" ht="14.25" customHeight="1">
      <c r="A774" s="56"/>
      <c r="B774" s="56"/>
      <c r="C774" s="56"/>
    </row>
    <row r="775" ht="14.25" customHeight="1">
      <c r="A775" s="56"/>
      <c r="B775" s="56"/>
      <c r="C775" s="56"/>
    </row>
    <row r="776" ht="14.25" customHeight="1">
      <c r="A776" s="56"/>
      <c r="B776" s="56"/>
      <c r="C776" s="56"/>
    </row>
    <row r="777" ht="14.25" customHeight="1">
      <c r="A777" s="56"/>
      <c r="B777" s="56"/>
      <c r="C777" s="56"/>
    </row>
    <row r="778" ht="14.25" customHeight="1">
      <c r="A778" s="56"/>
      <c r="B778" s="56"/>
      <c r="C778" s="56"/>
    </row>
    <row r="779" ht="14.25" customHeight="1">
      <c r="A779" s="56"/>
      <c r="B779" s="56"/>
      <c r="C779" s="56"/>
    </row>
    <row r="780" ht="14.25" customHeight="1">
      <c r="A780" s="56"/>
      <c r="B780" s="56"/>
      <c r="C780" s="56"/>
    </row>
    <row r="781" ht="14.25" customHeight="1">
      <c r="A781" s="56"/>
      <c r="B781" s="56"/>
      <c r="C781" s="56"/>
    </row>
    <row r="782" ht="14.25" customHeight="1">
      <c r="A782" s="56"/>
      <c r="B782" s="56"/>
      <c r="C782" s="56"/>
    </row>
    <row r="783" ht="14.25" customHeight="1">
      <c r="A783" s="56"/>
      <c r="B783" s="56"/>
      <c r="C783" s="56"/>
    </row>
    <row r="784" ht="14.25" customHeight="1">
      <c r="A784" s="56"/>
      <c r="B784" s="56"/>
      <c r="C784" s="56"/>
    </row>
    <row r="785" ht="14.25" customHeight="1">
      <c r="A785" s="56"/>
      <c r="B785" s="56"/>
      <c r="C785" s="56"/>
    </row>
    <row r="786" ht="14.25" customHeight="1">
      <c r="A786" s="56"/>
      <c r="B786" s="56"/>
      <c r="C786" s="56"/>
    </row>
    <row r="787" ht="14.25" customHeight="1">
      <c r="A787" s="56"/>
      <c r="B787" s="56"/>
      <c r="C787" s="56"/>
    </row>
    <row r="788" ht="14.25" customHeight="1">
      <c r="A788" s="56"/>
      <c r="B788" s="56"/>
      <c r="C788" s="56"/>
    </row>
    <row r="789" ht="14.25" customHeight="1">
      <c r="A789" s="56"/>
      <c r="B789" s="56"/>
      <c r="C789" s="56"/>
    </row>
    <row r="790" ht="14.25" customHeight="1">
      <c r="A790" s="56"/>
      <c r="B790" s="56"/>
      <c r="C790" s="56"/>
    </row>
    <row r="791" ht="14.25" customHeight="1">
      <c r="A791" s="56"/>
      <c r="B791" s="56"/>
      <c r="C791" s="56"/>
    </row>
    <row r="792" ht="14.25" customHeight="1">
      <c r="A792" s="56"/>
      <c r="B792" s="56"/>
      <c r="C792" s="56"/>
    </row>
    <row r="793" ht="14.25" customHeight="1">
      <c r="A793" s="56"/>
      <c r="B793" s="56"/>
      <c r="C793" s="56"/>
    </row>
    <row r="794" ht="14.25" customHeight="1">
      <c r="A794" s="56"/>
      <c r="B794" s="56"/>
      <c r="C794" s="56"/>
    </row>
    <row r="795" ht="14.25" customHeight="1">
      <c r="A795" s="56"/>
      <c r="B795" s="56"/>
      <c r="C795" s="56"/>
    </row>
    <row r="796" ht="14.25" customHeight="1">
      <c r="A796" s="56"/>
      <c r="B796" s="56"/>
      <c r="C796" s="56"/>
    </row>
    <row r="797" ht="14.25" customHeight="1">
      <c r="A797" s="56"/>
      <c r="B797" s="56"/>
      <c r="C797" s="56"/>
    </row>
    <row r="798" ht="14.25" customHeight="1">
      <c r="A798" s="56"/>
      <c r="B798" s="56"/>
      <c r="C798" s="56"/>
    </row>
    <row r="799" ht="14.25" customHeight="1">
      <c r="A799" s="56"/>
      <c r="B799" s="56"/>
      <c r="C799" s="56"/>
    </row>
    <row r="800" ht="14.25" customHeight="1">
      <c r="A800" s="56"/>
      <c r="B800" s="56"/>
      <c r="C800" s="56"/>
    </row>
    <row r="801" ht="14.25" customHeight="1">
      <c r="A801" s="56"/>
      <c r="B801" s="56"/>
      <c r="C801" s="56"/>
    </row>
    <row r="802" ht="14.25" customHeight="1">
      <c r="A802" s="56"/>
      <c r="B802" s="56"/>
      <c r="C802" s="56"/>
    </row>
    <row r="803" ht="14.25" customHeight="1">
      <c r="A803" s="56"/>
      <c r="B803" s="56"/>
      <c r="C803" s="56"/>
    </row>
    <row r="804" ht="14.25" customHeight="1">
      <c r="A804" s="56"/>
      <c r="B804" s="56"/>
      <c r="C804" s="56"/>
    </row>
    <row r="805" ht="14.25" customHeight="1">
      <c r="A805" s="56"/>
      <c r="B805" s="56"/>
      <c r="C805" s="56"/>
    </row>
    <row r="806" ht="14.25" customHeight="1">
      <c r="A806" s="56"/>
      <c r="B806" s="56"/>
      <c r="C806" s="56"/>
    </row>
    <row r="807" ht="14.25" customHeight="1">
      <c r="A807" s="56"/>
      <c r="B807" s="56"/>
      <c r="C807" s="56"/>
    </row>
    <row r="808" ht="14.25" customHeight="1">
      <c r="A808" s="56"/>
      <c r="B808" s="56"/>
      <c r="C808" s="56"/>
    </row>
    <row r="809" ht="14.25" customHeight="1">
      <c r="A809" s="56"/>
      <c r="B809" s="56"/>
      <c r="C809" s="56"/>
    </row>
    <row r="810" ht="14.25" customHeight="1">
      <c r="A810" s="56"/>
      <c r="B810" s="56"/>
      <c r="C810" s="56"/>
    </row>
    <row r="811" ht="14.25" customHeight="1">
      <c r="A811" s="56"/>
      <c r="B811" s="56"/>
      <c r="C811" s="56"/>
    </row>
    <row r="812" ht="14.25" customHeight="1">
      <c r="A812" s="56"/>
      <c r="B812" s="56"/>
      <c r="C812" s="56"/>
    </row>
    <row r="813" ht="14.25" customHeight="1">
      <c r="A813" s="56"/>
      <c r="B813" s="56"/>
      <c r="C813" s="56"/>
    </row>
    <row r="814" ht="14.25" customHeight="1">
      <c r="A814" s="56"/>
      <c r="B814" s="56"/>
      <c r="C814" s="56"/>
    </row>
    <row r="815" ht="14.25" customHeight="1">
      <c r="A815" s="56"/>
      <c r="B815" s="56"/>
      <c r="C815" s="56"/>
    </row>
    <row r="816" ht="14.25" customHeight="1">
      <c r="A816" s="56"/>
      <c r="B816" s="56"/>
      <c r="C816" s="56"/>
    </row>
    <row r="817" ht="14.25" customHeight="1">
      <c r="A817" s="56"/>
      <c r="B817" s="56"/>
      <c r="C817" s="56"/>
    </row>
    <row r="818" ht="14.25" customHeight="1">
      <c r="A818" s="56"/>
      <c r="B818" s="56"/>
      <c r="C818" s="56"/>
    </row>
    <row r="819" ht="14.25" customHeight="1">
      <c r="A819" s="56"/>
      <c r="B819" s="56"/>
      <c r="C819" s="56"/>
    </row>
    <row r="820" ht="14.25" customHeight="1">
      <c r="A820" s="56"/>
      <c r="B820" s="56"/>
      <c r="C820" s="56"/>
    </row>
    <row r="821" ht="14.25" customHeight="1">
      <c r="A821" s="56"/>
      <c r="B821" s="56"/>
      <c r="C821" s="56"/>
    </row>
    <row r="822" ht="14.25" customHeight="1">
      <c r="A822" s="56"/>
      <c r="B822" s="56"/>
      <c r="C822" s="56"/>
    </row>
    <row r="823" ht="14.25" customHeight="1">
      <c r="A823" s="56"/>
      <c r="B823" s="56"/>
      <c r="C823" s="56"/>
    </row>
    <row r="824" ht="14.25" customHeight="1">
      <c r="A824" s="56"/>
      <c r="B824" s="56"/>
      <c r="C824" s="56"/>
    </row>
    <row r="825" ht="14.25" customHeight="1">
      <c r="A825" s="56"/>
      <c r="B825" s="56"/>
      <c r="C825" s="56"/>
    </row>
    <row r="826" ht="14.25" customHeight="1">
      <c r="A826" s="56"/>
      <c r="B826" s="56"/>
      <c r="C826" s="56"/>
    </row>
    <row r="827" ht="14.25" customHeight="1">
      <c r="A827" s="56"/>
      <c r="B827" s="56"/>
      <c r="C827" s="56"/>
    </row>
    <row r="828" ht="14.25" customHeight="1">
      <c r="A828" s="56"/>
      <c r="B828" s="56"/>
      <c r="C828" s="56"/>
    </row>
    <row r="829" ht="14.25" customHeight="1">
      <c r="A829" s="56"/>
      <c r="B829" s="56"/>
      <c r="C829" s="56"/>
    </row>
    <row r="830" ht="14.25" customHeight="1">
      <c r="A830" s="56"/>
      <c r="B830" s="56"/>
      <c r="C830" s="56"/>
    </row>
    <row r="831" ht="14.25" customHeight="1">
      <c r="A831" s="56"/>
      <c r="B831" s="56"/>
      <c r="C831" s="56"/>
    </row>
    <row r="832" ht="14.25" customHeight="1">
      <c r="A832" s="56"/>
      <c r="B832" s="56"/>
      <c r="C832" s="56"/>
    </row>
    <row r="833" ht="14.25" customHeight="1">
      <c r="A833" s="56"/>
      <c r="B833" s="56"/>
      <c r="C833" s="56"/>
    </row>
    <row r="834" ht="14.25" customHeight="1">
      <c r="A834" s="56"/>
      <c r="B834" s="56"/>
      <c r="C834" s="56"/>
    </row>
    <row r="835" ht="14.25" customHeight="1">
      <c r="A835" s="56"/>
      <c r="B835" s="56"/>
      <c r="C835" s="56"/>
    </row>
    <row r="836" ht="14.25" customHeight="1">
      <c r="A836" s="56"/>
      <c r="B836" s="56"/>
      <c r="C836" s="56"/>
    </row>
    <row r="837" ht="14.25" customHeight="1">
      <c r="A837" s="56"/>
      <c r="B837" s="56"/>
      <c r="C837" s="56"/>
    </row>
    <row r="838" ht="14.25" customHeight="1">
      <c r="A838" s="56"/>
      <c r="B838" s="56"/>
      <c r="C838" s="56"/>
    </row>
    <row r="839" ht="14.25" customHeight="1">
      <c r="A839" s="56"/>
      <c r="B839" s="56"/>
      <c r="C839" s="56"/>
    </row>
    <row r="840" ht="14.25" customHeight="1">
      <c r="A840" s="56"/>
      <c r="B840" s="56"/>
      <c r="C840" s="56"/>
    </row>
    <row r="841" ht="14.25" customHeight="1">
      <c r="A841" s="56"/>
      <c r="B841" s="56"/>
      <c r="C841" s="56"/>
    </row>
    <row r="842" ht="14.25" customHeight="1">
      <c r="A842" s="56"/>
      <c r="B842" s="56"/>
      <c r="C842" s="56"/>
    </row>
    <row r="843" ht="14.25" customHeight="1">
      <c r="A843" s="56"/>
      <c r="B843" s="56"/>
      <c r="C843" s="56"/>
    </row>
    <row r="844" ht="14.25" customHeight="1">
      <c r="A844" s="56"/>
      <c r="B844" s="56"/>
      <c r="C844" s="56"/>
    </row>
    <row r="845" ht="14.25" customHeight="1">
      <c r="A845" s="56"/>
      <c r="B845" s="56"/>
      <c r="C845" s="56"/>
    </row>
    <row r="846" ht="14.25" customHeight="1">
      <c r="A846" s="56"/>
      <c r="B846" s="56"/>
      <c r="C846" s="56"/>
    </row>
    <row r="847" ht="14.25" customHeight="1">
      <c r="A847" s="56"/>
      <c r="B847" s="56"/>
      <c r="C847" s="56"/>
    </row>
    <row r="848" ht="14.25" customHeight="1">
      <c r="A848" s="56"/>
      <c r="B848" s="56"/>
      <c r="C848" s="56"/>
    </row>
    <row r="849" ht="14.25" customHeight="1">
      <c r="A849" s="56"/>
      <c r="B849" s="56"/>
      <c r="C849" s="56"/>
    </row>
    <row r="850" ht="14.25" customHeight="1">
      <c r="A850" s="56"/>
      <c r="B850" s="56"/>
      <c r="C850" s="56"/>
    </row>
    <row r="851" ht="14.25" customHeight="1">
      <c r="A851" s="56"/>
      <c r="B851" s="56"/>
      <c r="C851" s="56"/>
    </row>
    <row r="852" ht="14.25" customHeight="1">
      <c r="A852" s="56"/>
      <c r="B852" s="56"/>
      <c r="C852" s="56"/>
    </row>
    <row r="853" ht="14.25" customHeight="1">
      <c r="A853" s="56"/>
      <c r="B853" s="56"/>
      <c r="C853" s="56"/>
    </row>
    <row r="854" ht="14.25" customHeight="1">
      <c r="A854" s="56"/>
      <c r="B854" s="56"/>
      <c r="C854" s="56"/>
    </row>
    <row r="855" ht="14.25" customHeight="1">
      <c r="A855" s="56"/>
      <c r="B855" s="56"/>
      <c r="C855" s="56"/>
    </row>
    <row r="856" ht="14.25" customHeight="1">
      <c r="A856" s="56"/>
      <c r="B856" s="56"/>
      <c r="C856" s="56"/>
    </row>
    <row r="857" ht="14.25" customHeight="1">
      <c r="A857" s="56"/>
      <c r="B857" s="56"/>
      <c r="C857" s="56"/>
    </row>
    <row r="858" ht="14.25" customHeight="1">
      <c r="A858" s="56"/>
      <c r="B858" s="56"/>
      <c r="C858" s="56"/>
    </row>
    <row r="859" ht="14.25" customHeight="1">
      <c r="A859" s="56"/>
      <c r="B859" s="56"/>
      <c r="C859" s="56"/>
    </row>
    <row r="860" ht="14.25" customHeight="1">
      <c r="A860" s="56"/>
      <c r="B860" s="56"/>
      <c r="C860" s="56"/>
    </row>
    <row r="861" ht="14.25" customHeight="1">
      <c r="A861" s="56"/>
      <c r="B861" s="56"/>
      <c r="C861" s="56"/>
    </row>
    <row r="862" ht="14.25" customHeight="1">
      <c r="A862" s="56"/>
      <c r="B862" s="56"/>
      <c r="C862" s="56"/>
    </row>
    <row r="863" ht="14.25" customHeight="1">
      <c r="A863" s="56"/>
      <c r="B863" s="56"/>
      <c r="C863" s="56"/>
    </row>
    <row r="864" ht="14.25" customHeight="1">
      <c r="A864" s="56"/>
      <c r="B864" s="56"/>
      <c r="C864" s="56"/>
    </row>
    <row r="865" ht="14.25" customHeight="1">
      <c r="A865" s="56"/>
      <c r="B865" s="56"/>
      <c r="C865" s="56"/>
    </row>
    <row r="866" ht="14.25" customHeight="1">
      <c r="A866" s="56"/>
      <c r="B866" s="56"/>
      <c r="C866" s="56"/>
    </row>
    <row r="867" ht="14.25" customHeight="1">
      <c r="A867" s="56"/>
      <c r="B867" s="56"/>
      <c r="C867" s="56"/>
    </row>
    <row r="868" ht="14.25" customHeight="1">
      <c r="A868" s="56"/>
      <c r="B868" s="56"/>
      <c r="C868" s="56"/>
    </row>
    <row r="869" ht="14.25" customHeight="1">
      <c r="A869" s="56"/>
      <c r="B869" s="56"/>
      <c r="C869" s="56"/>
    </row>
    <row r="870" ht="14.25" customHeight="1">
      <c r="A870" s="56"/>
      <c r="B870" s="56"/>
      <c r="C870" s="56"/>
    </row>
    <row r="871" ht="14.25" customHeight="1">
      <c r="A871" s="56"/>
      <c r="B871" s="56"/>
      <c r="C871" s="56"/>
    </row>
    <row r="872" ht="14.25" customHeight="1">
      <c r="A872" s="56"/>
      <c r="B872" s="56"/>
      <c r="C872" s="56"/>
    </row>
    <row r="873" ht="14.25" customHeight="1">
      <c r="A873" s="56"/>
      <c r="B873" s="56"/>
      <c r="C873" s="56"/>
    </row>
    <row r="874" ht="14.25" customHeight="1">
      <c r="A874" s="56"/>
      <c r="B874" s="56"/>
      <c r="C874" s="56"/>
    </row>
    <row r="875" ht="14.25" customHeight="1">
      <c r="A875" s="56"/>
      <c r="B875" s="56"/>
      <c r="C875" s="56"/>
    </row>
    <row r="876" ht="14.25" customHeight="1">
      <c r="A876" s="56"/>
      <c r="B876" s="56"/>
      <c r="C876" s="56"/>
    </row>
    <row r="877" ht="14.25" customHeight="1">
      <c r="A877" s="56"/>
      <c r="B877" s="56"/>
      <c r="C877" s="56"/>
    </row>
    <row r="878" ht="14.25" customHeight="1">
      <c r="A878" s="56"/>
      <c r="B878" s="56"/>
      <c r="C878" s="56"/>
    </row>
    <row r="879" ht="14.25" customHeight="1">
      <c r="A879" s="56"/>
      <c r="B879" s="56"/>
      <c r="C879" s="56"/>
    </row>
    <row r="880" ht="14.25" customHeight="1">
      <c r="A880" s="56"/>
      <c r="B880" s="56"/>
      <c r="C880" s="56"/>
    </row>
    <row r="881" ht="14.25" customHeight="1">
      <c r="A881" s="56"/>
      <c r="B881" s="56"/>
      <c r="C881" s="56"/>
    </row>
    <row r="882" ht="14.25" customHeight="1">
      <c r="A882" s="56"/>
      <c r="B882" s="56"/>
      <c r="C882" s="56"/>
    </row>
    <row r="883" ht="14.25" customHeight="1">
      <c r="A883" s="56"/>
      <c r="B883" s="56"/>
      <c r="C883" s="56"/>
    </row>
    <row r="884" ht="14.25" customHeight="1">
      <c r="A884" s="56"/>
      <c r="B884" s="56"/>
      <c r="C884" s="56"/>
    </row>
    <row r="885" ht="14.25" customHeight="1">
      <c r="A885" s="56"/>
      <c r="B885" s="56"/>
      <c r="C885" s="56"/>
    </row>
    <row r="886" ht="14.25" customHeight="1">
      <c r="A886" s="56"/>
      <c r="B886" s="56"/>
      <c r="C886" s="56"/>
    </row>
    <row r="887" ht="14.25" customHeight="1">
      <c r="A887" s="56"/>
      <c r="B887" s="56"/>
      <c r="C887" s="56"/>
    </row>
    <row r="888" ht="14.25" customHeight="1">
      <c r="A888" s="56"/>
      <c r="B888" s="56"/>
      <c r="C888" s="56"/>
    </row>
    <row r="889" ht="14.25" customHeight="1">
      <c r="A889" s="56"/>
      <c r="B889" s="56"/>
      <c r="C889" s="56"/>
    </row>
    <row r="890" ht="14.25" customHeight="1">
      <c r="A890" s="56"/>
      <c r="B890" s="56"/>
      <c r="C890" s="56"/>
    </row>
    <row r="891" ht="14.25" customHeight="1">
      <c r="A891" s="56"/>
      <c r="B891" s="56"/>
      <c r="C891" s="56"/>
    </row>
    <row r="892" ht="14.25" customHeight="1">
      <c r="A892" s="56"/>
      <c r="B892" s="56"/>
      <c r="C892" s="56"/>
    </row>
    <row r="893" ht="14.25" customHeight="1">
      <c r="A893" s="56"/>
      <c r="B893" s="56"/>
      <c r="C893" s="56"/>
    </row>
    <row r="894" ht="14.25" customHeight="1">
      <c r="A894" s="56"/>
      <c r="B894" s="56"/>
      <c r="C894" s="56"/>
    </row>
    <row r="895" ht="14.25" customHeight="1">
      <c r="A895" s="56"/>
      <c r="B895" s="56"/>
      <c r="C895" s="56"/>
    </row>
    <row r="896" ht="14.25" customHeight="1">
      <c r="A896" s="56"/>
      <c r="B896" s="56"/>
      <c r="C896" s="56"/>
    </row>
    <row r="897" ht="14.25" customHeight="1">
      <c r="A897" s="56"/>
      <c r="B897" s="56"/>
      <c r="C897" s="56"/>
    </row>
    <row r="898" ht="14.25" customHeight="1">
      <c r="A898" s="56"/>
      <c r="B898" s="56"/>
      <c r="C898" s="56"/>
    </row>
    <row r="899" ht="14.25" customHeight="1">
      <c r="A899" s="56"/>
      <c r="B899" s="56"/>
      <c r="C899" s="56"/>
    </row>
    <row r="900" ht="14.25" customHeight="1">
      <c r="A900" s="56"/>
      <c r="B900" s="56"/>
      <c r="C900" s="56"/>
    </row>
    <row r="901" ht="14.25" customHeight="1">
      <c r="A901" s="56"/>
      <c r="B901" s="56"/>
      <c r="C901" s="56"/>
    </row>
    <row r="902" ht="14.25" customHeight="1">
      <c r="A902" s="56"/>
      <c r="B902" s="56"/>
      <c r="C902" s="56"/>
    </row>
    <row r="903" ht="14.25" customHeight="1">
      <c r="A903" s="56"/>
      <c r="B903" s="56"/>
      <c r="C903" s="56"/>
    </row>
    <row r="904" ht="14.25" customHeight="1">
      <c r="A904" s="56"/>
      <c r="B904" s="56"/>
      <c r="C904" s="56"/>
    </row>
    <row r="905" ht="14.25" customHeight="1">
      <c r="A905" s="56"/>
      <c r="B905" s="56"/>
      <c r="C905" s="56"/>
    </row>
    <row r="906" ht="14.25" customHeight="1">
      <c r="A906" s="56"/>
      <c r="B906" s="56"/>
      <c r="C906" s="56"/>
    </row>
    <row r="907" ht="14.25" customHeight="1">
      <c r="A907" s="56"/>
      <c r="B907" s="56"/>
      <c r="C907" s="56"/>
    </row>
    <row r="908" ht="14.25" customHeight="1">
      <c r="A908" s="56"/>
      <c r="B908" s="56"/>
      <c r="C908" s="56"/>
    </row>
    <row r="909" ht="14.25" customHeight="1">
      <c r="A909" s="56"/>
      <c r="B909" s="56"/>
      <c r="C909" s="56"/>
    </row>
    <row r="910" ht="14.25" customHeight="1">
      <c r="A910" s="56"/>
      <c r="B910" s="56"/>
      <c r="C910" s="56"/>
    </row>
    <row r="911" ht="14.25" customHeight="1">
      <c r="A911" s="56"/>
      <c r="B911" s="56"/>
      <c r="C911" s="56"/>
    </row>
    <row r="912" ht="14.25" customHeight="1">
      <c r="A912" s="56"/>
      <c r="B912" s="56"/>
      <c r="C912" s="56"/>
    </row>
    <row r="913" ht="14.25" customHeight="1">
      <c r="A913" s="56"/>
      <c r="B913" s="56"/>
      <c r="C913" s="56"/>
    </row>
    <row r="914" ht="14.25" customHeight="1">
      <c r="A914" s="56"/>
      <c r="B914" s="56"/>
      <c r="C914" s="56"/>
    </row>
    <row r="915" ht="14.25" customHeight="1">
      <c r="A915" s="56"/>
      <c r="B915" s="56"/>
      <c r="C915" s="56"/>
    </row>
    <row r="916" ht="14.25" customHeight="1">
      <c r="A916" s="56"/>
      <c r="B916" s="56"/>
      <c r="C916" s="56"/>
    </row>
    <row r="917" ht="14.25" customHeight="1">
      <c r="A917" s="56"/>
      <c r="B917" s="56"/>
      <c r="C917" s="56"/>
    </row>
    <row r="918" ht="14.25" customHeight="1">
      <c r="A918" s="56"/>
      <c r="B918" s="56"/>
      <c r="C918" s="56"/>
    </row>
    <row r="919" ht="14.25" customHeight="1">
      <c r="A919" s="56"/>
      <c r="B919" s="56"/>
      <c r="C919" s="56"/>
    </row>
    <row r="920" ht="14.25" customHeight="1">
      <c r="A920" s="56"/>
      <c r="B920" s="56"/>
      <c r="C920" s="56"/>
    </row>
    <row r="921" ht="14.25" customHeight="1">
      <c r="A921" s="56"/>
      <c r="B921" s="56"/>
      <c r="C921" s="56"/>
    </row>
    <row r="922" ht="14.25" customHeight="1">
      <c r="A922" s="56"/>
      <c r="B922" s="56"/>
      <c r="C922" s="56"/>
    </row>
    <row r="923" ht="14.25" customHeight="1">
      <c r="A923" s="56"/>
      <c r="B923" s="56"/>
      <c r="C923" s="56"/>
    </row>
    <row r="924" ht="14.25" customHeight="1">
      <c r="A924" s="56"/>
      <c r="B924" s="56"/>
      <c r="C924" s="56"/>
    </row>
    <row r="925" ht="14.25" customHeight="1">
      <c r="A925" s="56"/>
      <c r="B925" s="56"/>
      <c r="C925" s="56"/>
    </row>
    <row r="926" ht="14.25" customHeight="1">
      <c r="A926" s="56"/>
      <c r="B926" s="56"/>
      <c r="C926" s="56"/>
    </row>
    <row r="927" ht="14.25" customHeight="1">
      <c r="A927" s="56"/>
      <c r="B927" s="56"/>
      <c r="C927" s="56"/>
    </row>
    <row r="928" ht="14.25" customHeight="1">
      <c r="A928" s="56"/>
      <c r="B928" s="56"/>
      <c r="C928" s="56"/>
    </row>
    <row r="929" ht="14.25" customHeight="1">
      <c r="A929" s="56"/>
      <c r="B929" s="56"/>
      <c r="C929" s="56"/>
    </row>
    <row r="930" ht="14.25" customHeight="1">
      <c r="A930" s="56"/>
      <c r="B930" s="56"/>
      <c r="C930" s="56"/>
    </row>
    <row r="931" ht="14.25" customHeight="1">
      <c r="A931" s="56"/>
      <c r="B931" s="56"/>
      <c r="C931" s="56"/>
    </row>
    <row r="932" ht="14.25" customHeight="1">
      <c r="A932" s="56"/>
      <c r="B932" s="56"/>
      <c r="C932" s="56"/>
    </row>
    <row r="933" ht="14.25" customHeight="1">
      <c r="A933" s="56"/>
      <c r="B933" s="56"/>
      <c r="C933" s="56"/>
    </row>
    <row r="934" ht="14.25" customHeight="1">
      <c r="A934" s="56"/>
      <c r="B934" s="56"/>
      <c r="C934" s="56"/>
    </row>
    <row r="935" ht="14.25" customHeight="1">
      <c r="A935" s="56"/>
      <c r="B935" s="56"/>
      <c r="C935" s="56"/>
    </row>
    <row r="936" ht="14.25" customHeight="1">
      <c r="A936" s="56"/>
      <c r="B936" s="56"/>
      <c r="C936" s="56"/>
    </row>
    <row r="937" ht="14.25" customHeight="1">
      <c r="A937" s="56"/>
      <c r="B937" s="56"/>
      <c r="C937" s="56"/>
    </row>
    <row r="938" ht="14.25" customHeight="1">
      <c r="A938" s="56"/>
      <c r="B938" s="56"/>
      <c r="C938" s="56"/>
    </row>
    <row r="939" ht="14.25" customHeight="1">
      <c r="A939" s="56"/>
      <c r="B939" s="56"/>
      <c r="C939" s="56"/>
    </row>
    <row r="940" ht="14.25" customHeight="1">
      <c r="A940" s="56"/>
      <c r="B940" s="56"/>
      <c r="C940" s="56"/>
    </row>
    <row r="941" ht="14.25" customHeight="1">
      <c r="A941" s="56"/>
      <c r="B941" s="56"/>
      <c r="C941" s="56"/>
    </row>
    <row r="942" ht="14.25" customHeight="1">
      <c r="A942" s="56"/>
      <c r="B942" s="56"/>
      <c r="C942" s="56"/>
    </row>
    <row r="943" ht="14.25" customHeight="1">
      <c r="A943" s="56"/>
      <c r="B943" s="56"/>
      <c r="C943" s="56"/>
    </row>
    <row r="944" ht="14.25" customHeight="1">
      <c r="A944" s="56"/>
      <c r="B944" s="56"/>
      <c r="C944" s="56"/>
    </row>
    <row r="945" ht="14.25" customHeight="1">
      <c r="A945" s="56"/>
      <c r="B945" s="56"/>
      <c r="C945" s="56"/>
    </row>
    <row r="946" ht="14.25" customHeight="1">
      <c r="A946" s="56"/>
      <c r="B946" s="56"/>
      <c r="C946" s="56"/>
    </row>
    <row r="947" ht="14.25" customHeight="1">
      <c r="A947" s="56"/>
      <c r="B947" s="56"/>
      <c r="C947" s="56"/>
    </row>
    <row r="948" ht="14.25" customHeight="1">
      <c r="A948" s="56"/>
      <c r="B948" s="56"/>
      <c r="C948" s="56"/>
    </row>
    <row r="949" ht="14.25" customHeight="1">
      <c r="A949" s="56"/>
      <c r="B949" s="56"/>
      <c r="C949" s="56"/>
    </row>
    <row r="950" ht="14.25" customHeight="1">
      <c r="A950" s="56"/>
      <c r="B950" s="56"/>
      <c r="C950" s="56"/>
    </row>
    <row r="951" ht="14.25" customHeight="1">
      <c r="A951" s="56"/>
      <c r="B951" s="56"/>
      <c r="C951" s="56"/>
    </row>
    <row r="952" ht="14.25" customHeight="1">
      <c r="A952" s="56"/>
      <c r="B952" s="56"/>
      <c r="C952" s="56"/>
    </row>
    <row r="953" ht="14.25" customHeight="1">
      <c r="A953" s="56"/>
      <c r="B953" s="56"/>
      <c r="C953" s="56"/>
    </row>
    <row r="954" ht="14.25" customHeight="1">
      <c r="A954" s="56"/>
      <c r="B954" s="56"/>
      <c r="C954" s="56"/>
    </row>
    <row r="955" ht="14.25" customHeight="1">
      <c r="A955" s="56"/>
      <c r="B955" s="56"/>
      <c r="C955" s="56"/>
    </row>
    <row r="956" ht="14.25" customHeight="1">
      <c r="A956" s="56"/>
      <c r="B956" s="56"/>
      <c r="C956" s="56"/>
    </row>
    <row r="957" ht="14.25" customHeight="1">
      <c r="A957" s="56"/>
      <c r="B957" s="56"/>
      <c r="C957" s="56"/>
    </row>
    <row r="958" ht="14.25" customHeight="1">
      <c r="A958" s="56"/>
      <c r="B958" s="56"/>
      <c r="C958" s="56"/>
    </row>
    <row r="959" ht="14.25" customHeight="1">
      <c r="A959" s="56"/>
      <c r="B959" s="56"/>
      <c r="C959" s="56"/>
    </row>
    <row r="960" ht="14.25" customHeight="1">
      <c r="A960" s="56"/>
      <c r="B960" s="56"/>
      <c r="C960" s="56"/>
    </row>
    <row r="961" ht="14.25" customHeight="1">
      <c r="A961" s="56"/>
      <c r="B961" s="56"/>
      <c r="C961" s="56"/>
    </row>
    <row r="962" ht="14.25" customHeight="1">
      <c r="A962" s="56"/>
      <c r="B962" s="56"/>
      <c r="C962" s="56"/>
    </row>
    <row r="963" ht="14.25" customHeight="1">
      <c r="A963" s="56"/>
      <c r="B963" s="56"/>
      <c r="C963" s="56"/>
    </row>
    <row r="964" ht="14.25" customHeight="1">
      <c r="A964" s="56"/>
      <c r="B964" s="56"/>
      <c r="C964" s="56"/>
    </row>
    <row r="965" ht="14.25" customHeight="1">
      <c r="A965" s="56"/>
      <c r="B965" s="56"/>
      <c r="C965" s="56"/>
    </row>
    <row r="966" ht="14.25" customHeight="1">
      <c r="A966" s="56"/>
      <c r="B966" s="56"/>
      <c r="C966" s="56"/>
    </row>
    <row r="967" ht="14.25" customHeight="1">
      <c r="A967" s="56"/>
      <c r="B967" s="56"/>
      <c r="C967" s="56"/>
    </row>
    <row r="968" ht="14.25" customHeight="1">
      <c r="A968" s="56"/>
      <c r="B968" s="56"/>
      <c r="C968" s="56"/>
    </row>
    <row r="969" ht="14.25" customHeight="1">
      <c r="A969" s="56"/>
      <c r="B969" s="56"/>
      <c r="C969" s="56"/>
    </row>
    <row r="970" ht="14.25" customHeight="1">
      <c r="A970" s="56"/>
      <c r="B970" s="56"/>
      <c r="C970" s="56"/>
    </row>
    <row r="971" ht="14.25" customHeight="1">
      <c r="A971" s="56"/>
      <c r="B971" s="56"/>
      <c r="C971" s="56"/>
    </row>
    <row r="972" ht="14.25" customHeight="1">
      <c r="A972" s="56"/>
      <c r="B972" s="56"/>
      <c r="C972" s="56"/>
    </row>
    <row r="973" ht="14.25" customHeight="1">
      <c r="A973" s="56"/>
      <c r="B973" s="56"/>
      <c r="C973" s="56"/>
    </row>
    <row r="974" ht="14.25" customHeight="1">
      <c r="A974" s="56"/>
      <c r="B974" s="56"/>
      <c r="C974" s="56"/>
    </row>
    <row r="975" ht="14.25" customHeight="1">
      <c r="A975" s="56"/>
      <c r="B975" s="56"/>
      <c r="C975" s="56"/>
    </row>
    <row r="976" ht="14.25" customHeight="1">
      <c r="A976" s="56"/>
      <c r="B976" s="56"/>
      <c r="C976" s="56"/>
    </row>
    <row r="977" ht="14.25" customHeight="1">
      <c r="A977" s="56"/>
      <c r="B977" s="56"/>
      <c r="C977" s="56"/>
    </row>
    <row r="978" ht="14.25" customHeight="1">
      <c r="A978" s="56"/>
      <c r="B978" s="56"/>
      <c r="C978" s="56"/>
    </row>
    <row r="979" ht="14.25" customHeight="1">
      <c r="A979" s="56"/>
      <c r="B979" s="56"/>
      <c r="C979" s="56"/>
    </row>
    <row r="980" ht="14.25" customHeight="1">
      <c r="A980" s="56"/>
      <c r="B980" s="56"/>
      <c r="C980" s="56"/>
    </row>
    <row r="981" ht="14.25" customHeight="1">
      <c r="A981" s="56"/>
      <c r="B981" s="56"/>
      <c r="C981" s="56"/>
    </row>
    <row r="982" ht="14.25" customHeight="1">
      <c r="A982" s="56"/>
      <c r="B982" s="56"/>
      <c r="C982" s="56"/>
    </row>
    <row r="983" ht="14.25" customHeight="1">
      <c r="A983" s="56"/>
      <c r="B983" s="56"/>
      <c r="C983" s="56"/>
    </row>
    <row r="984" ht="14.25" customHeight="1">
      <c r="A984" s="56"/>
      <c r="B984" s="56"/>
      <c r="C984" s="56"/>
    </row>
    <row r="985" ht="14.25" customHeight="1">
      <c r="A985" s="56"/>
      <c r="B985" s="56"/>
      <c r="C985" s="56"/>
    </row>
    <row r="986" ht="14.25" customHeight="1">
      <c r="A986" s="56"/>
      <c r="B986" s="56"/>
      <c r="C986" s="56"/>
    </row>
    <row r="987" ht="14.25" customHeight="1">
      <c r="A987" s="56"/>
      <c r="B987" s="56"/>
      <c r="C987" s="56"/>
    </row>
    <row r="988" ht="14.25" customHeight="1">
      <c r="A988" s="56"/>
      <c r="B988" s="56"/>
      <c r="C988" s="56"/>
    </row>
    <row r="989" ht="14.25" customHeight="1">
      <c r="A989" s="56"/>
      <c r="B989" s="56"/>
      <c r="C989" s="56"/>
    </row>
    <row r="990" ht="14.25" customHeight="1">
      <c r="A990" s="56"/>
      <c r="B990" s="56"/>
      <c r="C990" s="56"/>
    </row>
    <row r="991" ht="14.25" customHeight="1">
      <c r="A991" s="56"/>
      <c r="B991" s="56"/>
      <c r="C991" s="56"/>
    </row>
    <row r="992" ht="14.25" customHeight="1">
      <c r="A992" s="56"/>
      <c r="B992" s="56"/>
      <c r="C992" s="56"/>
    </row>
    <row r="993" ht="14.25" customHeight="1">
      <c r="A993" s="56"/>
      <c r="B993" s="56"/>
      <c r="C993" s="56"/>
    </row>
    <row r="994" ht="14.25" customHeight="1">
      <c r="A994" s="56"/>
      <c r="B994" s="56"/>
      <c r="C994" s="56"/>
    </row>
    <row r="995" ht="14.25" customHeight="1">
      <c r="A995" s="56"/>
      <c r="B995" s="56"/>
      <c r="C995" s="56"/>
    </row>
    <row r="996" ht="14.25" customHeight="1">
      <c r="A996" s="56"/>
      <c r="B996" s="56"/>
      <c r="C996" s="56"/>
    </row>
    <row r="997" ht="14.25" customHeight="1">
      <c r="A997" s="56"/>
      <c r="B997" s="56"/>
      <c r="C997" s="56"/>
    </row>
    <row r="998" ht="14.25" customHeight="1">
      <c r="A998" s="56"/>
      <c r="B998" s="56"/>
      <c r="C998" s="56"/>
    </row>
    <row r="999" ht="14.25" customHeight="1">
      <c r="A999" s="56"/>
      <c r="B999" s="56"/>
      <c r="C999" s="56"/>
    </row>
    <row r="1000" ht="14.25" customHeight="1">
      <c r="A1000" s="56"/>
      <c r="B1000" s="56"/>
      <c r="C1000" s="56"/>
    </row>
  </sheetData>
  <conditionalFormatting sqref="E1:E1000">
    <cfRule type="cellIs" dxfId="0" priority="1" operator="equal">
      <formula>"Not eligible"</formula>
    </cfRule>
  </conditionalFormatting>
  <conditionalFormatting sqref="E1:E1000">
    <cfRule type="cellIs" dxfId="1" priority="2" operator="equal">
      <formula>"Eligible"</formula>
    </cfRule>
  </conditionalFormatting>
  <conditionalFormatting sqref="E1:E1000">
    <cfRule type="colorScale" priority="3">
      <colorScale>
        <cfvo type="min"/>
        <cfvo type="percentile" val="50"/>
        <cfvo type="max"/>
        <color rgb="FFF8696B"/>
        <color rgb="FFFFEB84"/>
        <color rgb="FF63BE7B"/>
      </colorScale>
    </cfRule>
  </conditionalFormatting>
  <printOptions/>
  <pageMargins bottom="0.75" footer="0.0" header="0.0" left="0.7" right="0.7" top="0.75"/>
  <pageSetup orientation="portrait"/>
  <drawing r:id="rId1"/>
</worksheet>
</file>