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120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6" i="1" l="1"/>
  <c r="I86" i="1"/>
  <c r="K86" i="1"/>
  <c r="H87" i="1"/>
  <c r="I87" i="1"/>
  <c r="K87" i="1"/>
  <c r="H88" i="1"/>
  <c r="I88" i="1"/>
  <c r="J88" i="1"/>
  <c r="K88" i="1"/>
  <c r="L88" i="1"/>
  <c r="I85" i="1"/>
  <c r="K85" i="1"/>
  <c r="H85" i="1"/>
  <c r="H74" i="1"/>
  <c r="I74" i="1"/>
  <c r="J74" i="1"/>
  <c r="K74" i="1"/>
  <c r="H75" i="1"/>
  <c r="I75" i="1"/>
  <c r="H76" i="1"/>
  <c r="I76" i="1"/>
  <c r="K76" i="1"/>
  <c r="L76" i="1"/>
  <c r="H77" i="1"/>
  <c r="I77" i="1"/>
  <c r="J77" i="1"/>
  <c r="K77" i="1"/>
  <c r="L77" i="1"/>
  <c r="H78" i="1"/>
  <c r="I78" i="1"/>
  <c r="K78" i="1"/>
  <c r="H79" i="1"/>
  <c r="I79" i="1"/>
  <c r="K79" i="1"/>
  <c r="H80" i="1"/>
  <c r="I80" i="1"/>
  <c r="K80" i="1"/>
  <c r="L80" i="1"/>
  <c r="H81" i="1"/>
  <c r="I81" i="1"/>
  <c r="K81" i="1"/>
  <c r="L81" i="1"/>
  <c r="H82" i="1"/>
  <c r="I82" i="1"/>
  <c r="J82" i="1"/>
  <c r="K82" i="1"/>
  <c r="L82" i="1"/>
  <c r="H83" i="1"/>
  <c r="I83" i="1"/>
  <c r="J83" i="1"/>
  <c r="K83" i="1"/>
  <c r="L83" i="1"/>
  <c r="I73" i="1"/>
  <c r="K73" i="1"/>
  <c r="H73" i="1"/>
  <c r="H62" i="1"/>
  <c r="I62" i="1"/>
  <c r="K62" i="1"/>
  <c r="H63" i="1"/>
  <c r="I63" i="1"/>
  <c r="K63" i="1"/>
  <c r="H64" i="1"/>
  <c r="I64" i="1"/>
  <c r="K64" i="1"/>
  <c r="H65" i="1"/>
  <c r="I65" i="1"/>
  <c r="J65" i="1"/>
  <c r="K65" i="1"/>
  <c r="L65" i="1"/>
  <c r="H66" i="1"/>
  <c r="I66" i="1"/>
  <c r="K66" i="1"/>
  <c r="H67" i="1"/>
  <c r="I67" i="1"/>
  <c r="J67" i="1"/>
  <c r="K67" i="1"/>
  <c r="H68" i="1"/>
  <c r="I68" i="1"/>
  <c r="K68" i="1"/>
  <c r="H69" i="1"/>
  <c r="I69" i="1"/>
  <c r="K69" i="1"/>
  <c r="H70" i="1"/>
  <c r="I70" i="1"/>
  <c r="J70" i="1"/>
  <c r="K70" i="1"/>
  <c r="L70" i="1"/>
  <c r="H71" i="1"/>
  <c r="I71" i="1"/>
  <c r="J71" i="1"/>
  <c r="K71" i="1"/>
  <c r="L71" i="1"/>
  <c r="I61" i="1"/>
  <c r="J61" i="1"/>
  <c r="K61" i="1"/>
  <c r="H61" i="1"/>
  <c r="H48" i="1"/>
  <c r="I48" i="1"/>
  <c r="J48" i="1"/>
  <c r="K48" i="1"/>
  <c r="H49" i="1"/>
  <c r="I49" i="1"/>
  <c r="J49" i="1"/>
  <c r="K49" i="1"/>
  <c r="L49" i="1"/>
  <c r="H50" i="1"/>
  <c r="I50" i="1"/>
  <c r="J50" i="1"/>
  <c r="J51" i="1"/>
  <c r="H53" i="1"/>
  <c r="K53" i="1"/>
  <c r="K54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I59" i="1"/>
  <c r="K59" i="1"/>
  <c r="I47" i="1"/>
  <c r="J47" i="1"/>
  <c r="K47" i="1"/>
  <c r="H47" i="1"/>
  <c r="H41" i="1"/>
  <c r="I41" i="1"/>
  <c r="J41" i="1"/>
  <c r="K41" i="1"/>
  <c r="I43" i="1"/>
  <c r="L44" i="1"/>
  <c r="H45" i="1"/>
  <c r="I45" i="1"/>
  <c r="J45" i="1"/>
  <c r="K45" i="1"/>
  <c r="L45" i="1"/>
  <c r="H25" i="1"/>
  <c r="I25" i="1"/>
  <c r="K25" i="1"/>
  <c r="H26" i="1"/>
  <c r="I26" i="1"/>
  <c r="K26" i="1"/>
  <c r="H27" i="1"/>
  <c r="I27" i="1"/>
  <c r="K27" i="1"/>
  <c r="H28" i="1"/>
  <c r="I28" i="1"/>
  <c r="K28" i="1"/>
  <c r="L28" i="1"/>
  <c r="H29" i="1"/>
  <c r="I29" i="1"/>
  <c r="K29" i="1"/>
  <c r="H30" i="1"/>
  <c r="I30" i="1"/>
  <c r="J30" i="1"/>
  <c r="K30" i="1"/>
  <c r="L30" i="1"/>
  <c r="H31" i="1"/>
  <c r="I31" i="1"/>
  <c r="K31" i="1"/>
  <c r="H32" i="1"/>
  <c r="I32" i="1"/>
  <c r="J32" i="1"/>
  <c r="K32" i="1"/>
  <c r="H33" i="1"/>
  <c r="I33" i="1"/>
  <c r="J33" i="1"/>
  <c r="K33" i="1"/>
  <c r="H34" i="1"/>
  <c r="I34" i="1"/>
  <c r="K34" i="1"/>
  <c r="H35" i="1"/>
  <c r="I35" i="1"/>
  <c r="K35" i="1"/>
  <c r="H36" i="1"/>
  <c r="I36" i="1"/>
  <c r="K36" i="1"/>
  <c r="L36" i="1"/>
  <c r="H37" i="1"/>
  <c r="I37" i="1"/>
  <c r="J37" i="1"/>
  <c r="K37" i="1"/>
  <c r="H38" i="1"/>
  <c r="I38" i="1"/>
  <c r="J38" i="1"/>
  <c r="K38" i="1"/>
  <c r="L38" i="1"/>
  <c r="I24" i="1"/>
  <c r="K24" i="1"/>
  <c r="H24" i="1"/>
  <c r="I9" i="1"/>
  <c r="J9" i="1"/>
  <c r="K9" i="1"/>
  <c r="I10" i="1"/>
  <c r="K10" i="1"/>
  <c r="L10" i="1"/>
  <c r="I11" i="1"/>
  <c r="K11" i="1"/>
  <c r="I12" i="1"/>
  <c r="K12" i="1"/>
  <c r="L12" i="1"/>
  <c r="I13" i="1"/>
  <c r="J13" i="1"/>
  <c r="K13" i="1"/>
  <c r="I14" i="1"/>
  <c r="J14" i="1"/>
  <c r="K14" i="1"/>
  <c r="L14" i="1"/>
  <c r="I15" i="1"/>
  <c r="K15" i="1"/>
  <c r="I16" i="1"/>
  <c r="K16" i="1"/>
  <c r="I17" i="1"/>
  <c r="K17" i="1"/>
  <c r="I18" i="1"/>
  <c r="K18" i="1"/>
  <c r="L18" i="1"/>
  <c r="I19" i="1"/>
  <c r="K19" i="1"/>
  <c r="I20" i="1"/>
  <c r="K20" i="1"/>
  <c r="I21" i="1"/>
  <c r="K21" i="1"/>
  <c r="I22" i="1"/>
  <c r="J22" i="1"/>
  <c r="K22" i="1"/>
  <c r="L22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9" i="1"/>
  <c r="G87" i="1"/>
  <c r="L87" i="1" s="1"/>
  <c r="E87" i="1"/>
  <c r="J87" i="1" s="1"/>
  <c r="G86" i="1"/>
  <c r="L86" i="1" s="1"/>
  <c r="E86" i="1"/>
  <c r="J86" i="1" s="1"/>
  <c r="G85" i="1"/>
  <c r="L85" i="1" s="1"/>
  <c r="E85" i="1"/>
  <c r="J85" i="1" s="1"/>
  <c r="G81" i="1"/>
  <c r="E81" i="1"/>
  <c r="J81" i="1" s="1"/>
  <c r="G80" i="1"/>
  <c r="E80" i="1"/>
  <c r="J80" i="1" s="1"/>
  <c r="G79" i="1"/>
  <c r="L79" i="1" s="1"/>
  <c r="E79" i="1"/>
  <c r="J79" i="1" s="1"/>
  <c r="G78" i="1"/>
  <c r="L78" i="1" s="1"/>
  <c r="E78" i="1"/>
  <c r="J78" i="1" s="1"/>
  <c r="E77" i="1"/>
  <c r="E76" i="1"/>
  <c r="J76" i="1" s="1"/>
  <c r="F75" i="1"/>
  <c r="G75" i="1" s="1"/>
  <c r="L75" i="1" s="1"/>
  <c r="E75" i="1"/>
  <c r="J75" i="1" s="1"/>
  <c r="G74" i="1"/>
  <c r="L74" i="1" s="1"/>
  <c r="E74" i="1"/>
  <c r="G73" i="1"/>
  <c r="L73" i="1" s="1"/>
  <c r="E73" i="1"/>
  <c r="J73" i="1" s="1"/>
  <c r="G69" i="1"/>
  <c r="L69" i="1" s="1"/>
  <c r="E69" i="1"/>
  <c r="J69" i="1" s="1"/>
  <c r="G68" i="1"/>
  <c r="L68" i="1" s="1"/>
  <c r="E68" i="1"/>
  <c r="J68" i="1" s="1"/>
  <c r="G67" i="1"/>
  <c r="L67" i="1" s="1"/>
  <c r="E67" i="1"/>
  <c r="G66" i="1"/>
  <c r="L66" i="1" s="1"/>
  <c r="E66" i="1"/>
  <c r="J66" i="1" s="1"/>
  <c r="G65" i="1"/>
  <c r="E65" i="1"/>
  <c r="G64" i="1"/>
  <c r="L64" i="1" s="1"/>
  <c r="E64" i="1"/>
  <c r="J64" i="1" s="1"/>
  <c r="G63" i="1"/>
  <c r="L63" i="1" s="1"/>
  <c r="E63" i="1"/>
  <c r="J63" i="1" s="1"/>
  <c r="G62" i="1"/>
  <c r="L62" i="1" s="1"/>
  <c r="E62" i="1"/>
  <c r="J62" i="1" s="1"/>
  <c r="G61" i="1"/>
  <c r="L61" i="1" s="1"/>
  <c r="E61" i="1"/>
  <c r="G59" i="1"/>
  <c r="L59" i="1" s="1"/>
  <c r="E59" i="1"/>
  <c r="J59" i="1" s="1"/>
  <c r="C59" i="1"/>
  <c r="H59" i="1" s="1"/>
  <c r="F55" i="1"/>
  <c r="G55" i="1" s="1"/>
  <c r="L55" i="1" s="1"/>
  <c r="D55" i="1"/>
  <c r="E55" i="1" s="1"/>
  <c r="J55" i="1" s="1"/>
  <c r="C55" i="1"/>
  <c r="H55" i="1" s="1"/>
  <c r="F54" i="1"/>
  <c r="G54" i="1" s="1"/>
  <c r="L54" i="1" s="1"/>
  <c r="D54" i="1"/>
  <c r="E54" i="1" s="1"/>
  <c r="J54" i="1" s="1"/>
  <c r="C54" i="1"/>
  <c r="H54" i="1" s="1"/>
  <c r="F53" i="1"/>
  <c r="G53" i="1" s="1"/>
  <c r="L53" i="1" s="1"/>
  <c r="D53" i="1"/>
  <c r="E53" i="1" s="1"/>
  <c r="J53" i="1" s="1"/>
  <c r="C53" i="1"/>
  <c r="F52" i="1"/>
  <c r="G52" i="1" s="1"/>
  <c r="L52" i="1" s="1"/>
  <c r="D52" i="1"/>
  <c r="E52" i="1" s="1"/>
  <c r="J52" i="1" s="1"/>
  <c r="C52" i="1"/>
  <c r="H52" i="1" s="1"/>
  <c r="F51" i="1"/>
  <c r="G51" i="1" s="1"/>
  <c r="L51" i="1" s="1"/>
  <c r="D51" i="1"/>
  <c r="E51" i="1" s="1"/>
  <c r="C51" i="1"/>
  <c r="H51" i="1" s="1"/>
  <c r="F50" i="1"/>
  <c r="G50" i="1" s="1"/>
  <c r="L50" i="1" s="1"/>
  <c r="D50" i="1"/>
  <c r="E50" i="1" s="1"/>
  <c r="C50" i="1"/>
  <c r="G49" i="1"/>
  <c r="G48" i="1"/>
  <c r="L48" i="1" s="1"/>
  <c r="G47" i="1"/>
  <c r="L47" i="1" s="1"/>
  <c r="F44" i="1"/>
  <c r="G44" i="1" s="1"/>
  <c r="D44" i="1"/>
  <c r="E44" i="1" s="1"/>
  <c r="J44" i="1" s="1"/>
  <c r="C44" i="1"/>
  <c r="H44" i="1" s="1"/>
  <c r="F43" i="1"/>
  <c r="G43" i="1" s="1"/>
  <c r="L43" i="1" s="1"/>
  <c r="D43" i="1"/>
  <c r="E43" i="1" s="1"/>
  <c r="J43" i="1" s="1"/>
  <c r="C43" i="1"/>
  <c r="H43" i="1" s="1"/>
  <c r="F42" i="1"/>
  <c r="G42" i="1" s="1"/>
  <c r="L42" i="1" s="1"/>
  <c r="E42" i="1"/>
  <c r="J42" i="1" s="1"/>
  <c r="D42" i="1"/>
  <c r="I42" i="1" s="1"/>
  <c r="C42" i="1"/>
  <c r="H42" i="1" s="1"/>
  <c r="F41" i="1"/>
  <c r="G41" i="1" s="1"/>
  <c r="L41" i="1" s="1"/>
  <c r="D41" i="1"/>
  <c r="E41" i="1" s="1"/>
  <c r="C41" i="1"/>
  <c r="F40" i="1"/>
  <c r="G40" i="1" s="1"/>
  <c r="L40" i="1" s="1"/>
  <c r="E40" i="1"/>
  <c r="J40" i="1" s="1"/>
  <c r="D40" i="1"/>
  <c r="I40" i="1" s="1"/>
  <c r="C40" i="1"/>
  <c r="H40" i="1" s="1"/>
  <c r="G37" i="1"/>
  <c r="L37" i="1" s="1"/>
  <c r="E37" i="1"/>
  <c r="G36" i="1"/>
  <c r="E36" i="1"/>
  <c r="J36" i="1" s="1"/>
  <c r="G35" i="1"/>
  <c r="L35" i="1" s="1"/>
  <c r="E35" i="1"/>
  <c r="J35" i="1" s="1"/>
  <c r="G34" i="1"/>
  <c r="L34" i="1" s="1"/>
  <c r="E34" i="1"/>
  <c r="J34" i="1" s="1"/>
  <c r="G33" i="1"/>
  <c r="L33" i="1" s="1"/>
  <c r="E33" i="1"/>
  <c r="G32" i="1"/>
  <c r="L32" i="1" s="1"/>
  <c r="E32" i="1"/>
  <c r="G31" i="1"/>
  <c r="L31" i="1" s="1"/>
  <c r="E31" i="1"/>
  <c r="J31" i="1" s="1"/>
  <c r="G29" i="1"/>
  <c r="L29" i="1" s="1"/>
  <c r="E29" i="1"/>
  <c r="J29" i="1" s="1"/>
  <c r="G28" i="1"/>
  <c r="E28" i="1"/>
  <c r="J28" i="1" s="1"/>
  <c r="G27" i="1"/>
  <c r="L27" i="1" s="1"/>
  <c r="E27" i="1"/>
  <c r="J27" i="1" s="1"/>
  <c r="G26" i="1"/>
  <c r="L26" i="1" s="1"/>
  <c r="E26" i="1"/>
  <c r="J26" i="1" s="1"/>
  <c r="G25" i="1"/>
  <c r="L25" i="1" s="1"/>
  <c r="E25" i="1"/>
  <c r="J25" i="1" s="1"/>
  <c r="G24" i="1"/>
  <c r="L24" i="1" s="1"/>
  <c r="E24" i="1"/>
  <c r="J24" i="1" s="1"/>
  <c r="G21" i="1"/>
  <c r="L21" i="1" s="1"/>
  <c r="E21" i="1"/>
  <c r="J21" i="1" s="1"/>
  <c r="G20" i="1"/>
  <c r="L20" i="1" s="1"/>
  <c r="E20" i="1"/>
  <c r="J20" i="1" s="1"/>
  <c r="G19" i="1"/>
  <c r="L19" i="1" s="1"/>
  <c r="E19" i="1"/>
  <c r="J19" i="1" s="1"/>
  <c r="G18" i="1"/>
  <c r="E18" i="1"/>
  <c r="J18" i="1" s="1"/>
  <c r="G17" i="1"/>
  <c r="L17" i="1" s="1"/>
  <c r="E17" i="1"/>
  <c r="J17" i="1" s="1"/>
  <c r="G16" i="1"/>
  <c r="L16" i="1" s="1"/>
  <c r="E16" i="1"/>
  <c r="J16" i="1" s="1"/>
  <c r="G15" i="1"/>
  <c r="L15" i="1" s="1"/>
  <c r="E15" i="1"/>
  <c r="J15" i="1" s="1"/>
  <c r="G13" i="1"/>
  <c r="L13" i="1" s="1"/>
  <c r="E13" i="1"/>
  <c r="G12" i="1"/>
  <c r="E12" i="1"/>
  <c r="J12" i="1" s="1"/>
  <c r="G11" i="1"/>
  <c r="L11" i="1" s="1"/>
  <c r="E11" i="1"/>
  <c r="J11" i="1" s="1"/>
  <c r="G10" i="1"/>
  <c r="E10" i="1"/>
  <c r="J10" i="1" s="1"/>
  <c r="G9" i="1"/>
  <c r="L9" i="1" s="1"/>
  <c r="E9" i="1"/>
  <c r="K42" i="1" l="1"/>
  <c r="I52" i="1"/>
  <c r="K50" i="1"/>
  <c r="I55" i="1"/>
  <c r="K44" i="1"/>
  <c r="K40" i="1"/>
  <c r="I53" i="1"/>
  <c r="K51" i="1"/>
  <c r="K75" i="1"/>
  <c r="I51" i="1"/>
  <c r="I54" i="1"/>
  <c r="K52" i="1"/>
  <c r="I44" i="1"/>
  <c r="K43" i="1"/>
  <c r="K55" i="1"/>
  <c r="P14" i="1" l="1"/>
  <c r="Q14" i="1"/>
  <c r="R14" i="1" s="1"/>
  <c r="V29" i="1"/>
  <c r="W29" i="1" s="1"/>
  <c r="T29" i="1"/>
  <c r="Q29" i="1"/>
  <c r="R29" i="1" s="1"/>
  <c r="P29" i="1"/>
  <c r="O88" i="1" l="1"/>
  <c r="P88" i="1" s="1"/>
  <c r="V10" i="1"/>
  <c r="W10" i="1" s="1"/>
  <c r="V9" i="1"/>
  <c r="W9" i="1" s="1"/>
  <c r="V17" i="1"/>
  <c r="W17" i="1" s="1"/>
  <c r="V16" i="1"/>
  <c r="W16" i="1" s="1"/>
  <c r="V15" i="1"/>
  <c r="W15" i="1" s="1"/>
  <c r="V13" i="1"/>
  <c r="W13" i="1" s="1"/>
  <c r="V33" i="1"/>
  <c r="W33" i="1" s="1"/>
  <c r="V32" i="1"/>
  <c r="W32" i="1" s="1"/>
  <c r="V31" i="1"/>
  <c r="W31" i="1" s="1"/>
  <c r="V25" i="1"/>
  <c r="W25" i="1" s="1"/>
  <c r="T33" i="1"/>
  <c r="T31" i="1"/>
  <c r="T32" i="1"/>
  <c r="T25" i="1"/>
  <c r="T17" i="1"/>
  <c r="T15" i="1"/>
  <c r="T16" i="1"/>
  <c r="T13" i="1"/>
  <c r="T10" i="1"/>
  <c r="T9" i="1"/>
  <c r="O87" i="1"/>
  <c r="P87" i="1" s="1"/>
  <c r="O86" i="1"/>
  <c r="P86" i="1" s="1"/>
  <c r="O85" i="1"/>
  <c r="P85" i="1" s="1"/>
  <c r="O81" i="1"/>
  <c r="O80" i="1"/>
  <c r="P80" i="1" s="1"/>
  <c r="O79" i="1"/>
  <c r="P79" i="1" s="1"/>
  <c r="O78" i="1"/>
  <c r="P78" i="1" s="1"/>
  <c r="O77" i="1"/>
  <c r="P77" i="1" s="1"/>
  <c r="O76" i="1"/>
  <c r="P76" i="1" s="1"/>
  <c r="O75" i="1"/>
  <c r="P75" i="1" s="1"/>
  <c r="O74" i="1"/>
  <c r="P74" i="1" s="1"/>
  <c r="O73" i="1"/>
  <c r="P73" i="1" s="1"/>
  <c r="U69" i="1"/>
  <c r="V69" i="1" s="1"/>
  <c r="W69" i="1" s="1"/>
  <c r="U64" i="1"/>
  <c r="V64" i="1" s="1"/>
  <c r="W64" i="1" s="1"/>
  <c r="U65" i="1"/>
  <c r="V65" i="1" s="1"/>
  <c r="W65" i="1" s="1"/>
  <c r="U66" i="1"/>
  <c r="V66" i="1" s="1"/>
  <c r="W66" i="1" s="1"/>
  <c r="U62" i="1"/>
  <c r="V62" i="1" s="1"/>
  <c r="W62" i="1" s="1"/>
  <c r="U63" i="1"/>
  <c r="V63" i="1" s="1"/>
  <c r="W63" i="1" s="1"/>
  <c r="U61" i="1"/>
  <c r="V61" i="1" s="1"/>
  <c r="W61" i="1" s="1"/>
  <c r="U67" i="1"/>
  <c r="V67" i="1" s="1"/>
  <c r="W67" i="1" s="1"/>
  <c r="Q69" i="1"/>
  <c r="R69" i="1" s="1"/>
  <c r="P69" i="1"/>
  <c r="P67" i="1"/>
  <c r="Q67" i="1"/>
  <c r="R67" i="1" s="1"/>
  <c r="Q44" i="1"/>
  <c r="R44" i="1" s="1"/>
  <c r="O43" i="1"/>
  <c r="Q43" i="1" s="1"/>
  <c r="R43" i="1" s="1"/>
  <c r="O42" i="1"/>
  <c r="P42" i="1" s="1"/>
  <c r="O41" i="1"/>
  <c r="Q41" i="1" s="1"/>
  <c r="R41" i="1" s="1"/>
  <c r="O40" i="1"/>
  <c r="P40" i="1" s="1"/>
  <c r="Q35" i="1"/>
  <c r="R35" i="1" s="1"/>
  <c r="Q33" i="1"/>
  <c r="R33" i="1" s="1"/>
  <c r="Q32" i="1"/>
  <c r="R32" i="1" s="1"/>
  <c r="Q31" i="1"/>
  <c r="R31" i="1" s="1"/>
  <c r="Q27" i="1"/>
  <c r="R27" i="1" s="1"/>
  <c r="Q26" i="1"/>
  <c r="R26" i="1" s="1"/>
  <c r="Q25" i="1"/>
  <c r="R25" i="1" s="1"/>
  <c r="Q24" i="1"/>
  <c r="R24" i="1" s="1"/>
  <c r="Q19" i="1"/>
  <c r="R19" i="1" s="1"/>
  <c r="Q10" i="1"/>
  <c r="R10" i="1" s="1"/>
  <c r="Q11" i="1"/>
  <c r="R11" i="1" s="1"/>
  <c r="Q12" i="1"/>
  <c r="R12" i="1" s="1"/>
  <c r="Q13" i="1"/>
  <c r="R13" i="1" s="1"/>
  <c r="Q15" i="1"/>
  <c r="R15" i="1" s="1"/>
  <c r="Q16" i="1"/>
  <c r="R16" i="1" s="1"/>
  <c r="Q17" i="1"/>
  <c r="R17" i="1" s="1"/>
  <c r="Q9" i="1"/>
  <c r="R9" i="1" s="1"/>
  <c r="Q62" i="1"/>
  <c r="R62" i="1" s="1"/>
  <c r="Q63" i="1"/>
  <c r="R63" i="1" s="1"/>
  <c r="Q64" i="1"/>
  <c r="R64" i="1" s="1"/>
  <c r="Q65" i="1"/>
  <c r="R65" i="1" s="1"/>
  <c r="Q66" i="1"/>
  <c r="R66" i="1" s="1"/>
  <c r="Q61" i="1"/>
  <c r="R61" i="1" s="1"/>
  <c r="P64" i="1"/>
  <c r="P65" i="1"/>
  <c r="P66" i="1"/>
  <c r="P63" i="1"/>
  <c r="P62" i="1"/>
  <c r="P61" i="1"/>
  <c r="N59" i="1"/>
  <c r="P52" i="1"/>
  <c r="P51" i="1"/>
  <c r="P50" i="1"/>
  <c r="N52" i="1"/>
  <c r="N51" i="1"/>
  <c r="N50" i="1"/>
  <c r="P44" i="1"/>
  <c r="N41" i="1"/>
  <c r="N43" i="1"/>
  <c r="N42" i="1"/>
  <c r="N40" i="1"/>
  <c r="P35" i="1"/>
  <c r="P25" i="1"/>
  <c r="P26" i="1"/>
  <c r="P27" i="1"/>
  <c r="P31" i="1"/>
  <c r="P32" i="1"/>
  <c r="P33" i="1"/>
  <c r="P24" i="1"/>
  <c r="P19" i="1"/>
  <c r="P10" i="1"/>
  <c r="P11" i="1"/>
  <c r="P12" i="1"/>
  <c r="P13" i="1"/>
  <c r="P15" i="1"/>
  <c r="P16" i="1"/>
  <c r="P17" i="1"/>
  <c r="P9" i="1"/>
  <c r="T24" i="1"/>
  <c r="V24" i="1"/>
  <c r="W24" i="1" s="1"/>
  <c r="P43" i="1" l="1"/>
  <c r="Q40" i="1"/>
  <c r="R40" i="1" s="1"/>
  <c r="Q42" i="1"/>
  <c r="R42" i="1" s="1"/>
  <c r="P41" i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sz val="11"/>
            <color theme="1"/>
            <rFont val="宋体"/>
            <family val="2"/>
            <scheme val="minor"/>
          </rPr>
          <t xml:space="preserve">730 Hours
</t>
        </r>
      </text>
    </comment>
    <comment ref="G7" authorId="0" shapeId="0">
      <text>
        <r>
          <rPr>
            <sz val="11"/>
            <color theme="1"/>
            <rFont val="宋体"/>
            <family val="2"/>
            <scheme val="minor"/>
          </rPr>
          <t>8760 Hours</t>
        </r>
      </text>
    </comment>
    <comment ref="J7" authorId="0" shapeId="0">
      <text>
        <r>
          <rPr>
            <sz val="11"/>
            <color theme="1"/>
            <rFont val="宋体"/>
            <family val="2"/>
            <scheme val="minor"/>
          </rPr>
          <t xml:space="preserve">730 Hours
</t>
        </r>
      </text>
    </comment>
    <comment ref="L7" authorId="0" shapeId="0">
      <text>
        <r>
          <rPr>
            <sz val="11"/>
            <color theme="1"/>
            <rFont val="宋体"/>
            <family val="2"/>
            <scheme val="minor"/>
          </rPr>
          <t>8760 Hours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Author:
45%Off</t>
        </r>
      </text>
    </comment>
    <comment ref="C59" authorId="0" shapeId="0">
      <text>
        <r>
          <rPr>
            <sz val="11"/>
            <color theme="1"/>
            <rFont val="宋体"/>
            <family val="2"/>
            <scheme val="minor"/>
          </rPr>
          <t>Retention Fee</t>
        </r>
      </text>
    </comment>
    <comment ref="H59" authorId="0" shapeId="0">
      <text>
        <r>
          <rPr>
            <sz val="11"/>
            <color theme="1"/>
            <rFont val="宋体"/>
            <family val="2"/>
            <scheme val="minor"/>
          </rPr>
          <t>Retention Fee</t>
        </r>
      </text>
    </comment>
    <comment ref="Q61" authorId="0" shapeId="0">
      <text>
        <r>
          <rPr>
            <sz val="11"/>
            <color theme="1"/>
            <rFont val="宋体"/>
            <family val="2"/>
            <scheme val="minor"/>
          </rPr>
          <t xml:space="preserve">15% off
</t>
        </r>
      </text>
    </comment>
    <comment ref="U61" authorId="0" shapeId="0">
      <text>
        <r>
          <rPr>
            <sz val="11"/>
            <color theme="1"/>
            <rFont val="宋体"/>
            <family val="2"/>
            <scheme val="minor"/>
          </rPr>
          <t xml:space="preserve">40% Off
</t>
        </r>
      </text>
    </comment>
    <comment ref="Q69" authorId="0" shapeId="0">
      <text>
        <r>
          <rPr>
            <sz val="11"/>
            <color theme="1"/>
            <rFont val="宋体"/>
            <family val="2"/>
            <scheme val="minor"/>
          </rPr>
          <t xml:space="preserve">50% Off
</t>
        </r>
      </text>
    </comment>
  </commentList>
</comments>
</file>

<file path=xl/sharedStrings.xml><?xml version="1.0" encoding="utf-8"?>
<sst xmlns="http://schemas.openxmlformats.org/spreadsheetml/2006/main" count="272" uniqueCount="149">
  <si>
    <t>Revision Date</t>
  </si>
  <si>
    <t>Total Hours Per Month</t>
  </si>
  <si>
    <t>Region</t>
  </si>
  <si>
    <t>Singapore</t>
  </si>
  <si>
    <t>Total Hours Per Year</t>
  </si>
  <si>
    <t>Total Hours Per Day</t>
  </si>
  <si>
    <t>Aliyun / AlibabaCloud</t>
  </si>
  <si>
    <t>Pay-Per-Use (USD)</t>
  </si>
  <si>
    <t>Monthly/Yearly (USD)</t>
  </si>
  <si>
    <t>Monthly (USD)</t>
  </si>
  <si>
    <t>RI-1yr RI all upfront (USD)</t>
  </si>
  <si>
    <t>RI-3yr RI all upfront (USD)</t>
  </si>
  <si>
    <t>Yearly (USD)</t>
  </si>
  <si>
    <t>Monthly</t>
  </si>
  <si>
    <t>Hourly</t>
  </si>
  <si>
    <t>  Hourly / Month </t>
  </si>
  <si>
    <t>Yearly</t>
  </si>
  <si>
    <t> Hourly / Year</t>
  </si>
  <si>
    <t>Hourly /Year</t>
  </si>
  <si>
    <t>3 Years</t>
  </si>
  <si>
    <t>Hour</t>
  </si>
  <si>
    <t>Hourly / Month</t>
  </si>
  <si>
    <t>Hourly / Year</t>
  </si>
  <si>
    <t>Hourly/ Year</t>
  </si>
  <si>
    <t>Compute (Windows)</t>
  </si>
  <si>
    <t>Spec</t>
  </si>
  <si>
    <t>Compute</t>
  </si>
  <si>
    <t>t6</t>
  </si>
  <si>
    <t>1vcpu, 1GB ram, with cpu credit</t>
  </si>
  <si>
    <t>t5-lc1m1.small</t>
  </si>
  <si>
    <t>t6 </t>
  </si>
  <si>
    <t>2vcpu, 4GB ram, with cpu credit</t>
  </si>
  <si>
    <t>t6-c1m2.large</t>
  </si>
  <si>
    <t>s6</t>
  </si>
  <si>
    <t>2vcpu, 8GB ram, shared vcpu</t>
  </si>
  <si>
    <t>mn4.large</t>
  </si>
  <si>
    <t>4vcpu, 16GB ram, shared vcpu</t>
  </si>
  <si>
    <t>mn4.xlarge</t>
  </si>
  <si>
    <t>c6</t>
  </si>
  <si>
    <t>4vcpu, 16GB ram, dedicated vcpu</t>
  </si>
  <si>
    <t>g5.xlarge</t>
  </si>
  <si>
    <t>16vcpu, 64GB ram, dedicated vcpu</t>
  </si>
  <si>
    <t> 1.608</t>
  </si>
  <si>
    <t>g5.4xlarge</t>
  </si>
  <si>
    <t>m6</t>
  </si>
  <si>
    <t>4vcpu, 32GB ram</t>
  </si>
  <si>
    <t> 0.462</t>
  </si>
  <si>
    <t>r6.xlarge</t>
  </si>
  <si>
    <t>16vcpu, 128GB ram</t>
  </si>
  <si>
    <t>r6.4xlarge</t>
  </si>
  <si>
    <t>g5</t>
  </si>
  <si>
    <t>32vcpu 128GB Ram V100*1</t>
  </si>
  <si>
    <t>pi2</t>
  </si>
  <si>
    <t>8vpcu 32GB Ram T4*1</t>
  </si>
  <si>
    <t>gn6i-c8g1.2xlarge</t>
  </si>
  <si>
    <t>32vcpu 128GB Ram T4*4</t>
  </si>
  <si>
    <t>p2v</t>
  </si>
  <si>
    <t>8vcpu 64GB Ram, V100 *1</t>
  </si>
  <si>
    <t>p2s</t>
  </si>
  <si>
    <t>NA in Singapore</t>
  </si>
  <si>
    <t>Compute (Linux)</t>
  </si>
  <si>
    <t>4vcpu, 8GB ram, dedicated vcpu</t>
  </si>
  <si>
    <t>Storage</t>
  </si>
  <si>
    <t>Block Storage</t>
  </si>
  <si>
    <t>High IO</t>
  </si>
  <si>
    <t>200GB</t>
  </si>
  <si>
    <t>Ultra Disk</t>
  </si>
  <si>
    <t>1024GB</t>
  </si>
  <si>
    <t>GP SSD</t>
  </si>
  <si>
    <t>Standard SSD</t>
  </si>
  <si>
    <t>Ultra High IO</t>
  </si>
  <si>
    <t>100GB</t>
  </si>
  <si>
    <t>Enhanced SSD PL0</t>
  </si>
  <si>
    <t>EIP</t>
  </si>
  <si>
    <t>By Traffic</t>
  </si>
  <si>
    <t>10TB</t>
  </si>
  <si>
    <t>200TB</t>
  </si>
  <si>
    <t>1000TB</t>
  </si>
  <si>
    <t>By Bandwidth</t>
  </si>
  <si>
    <t>5mbps</t>
  </si>
  <si>
    <t>By Bandwidth 5Mbps</t>
  </si>
  <si>
    <t>20mbps</t>
  </si>
  <si>
    <t>By Bandwidth 20Mbps</t>
  </si>
  <si>
    <t>200mbps</t>
  </si>
  <si>
    <t>By Bandwidth 200Mbps</t>
  </si>
  <si>
    <t>Shared Bandwidth</t>
  </si>
  <si>
    <t>Shared Bandwidth, 5Mbps</t>
  </si>
  <si>
    <t>Shared Bandwidth 20Mbps</t>
  </si>
  <si>
    <t>Shared Bandwidth 200Mbps</t>
  </si>
  <si>
    <t>10 Eips</t>
  </si>
  <si>
    <t>RDS</t>
  </si>
  <si>
    <t>MySQL</t>
  </si>
  <si>
    <t>Single, 4vcpu, 16GB Ram</t>
  </si>
  <si>
    <t>mysql.n4.large.1 1-AZ</t>
  </si>
  <si>
    <t>Primary/standby, 4vcpu, 16GB Ram</t>
  </si>
  <si>
    <t>x4.large.2c, N-AZ</t>
  </si>
  <si>
    <t>Primary/standby, 16vcpu, 64GB Ram</t>
  </si>
  <si>
    <t>mysql.x4.2xlarge.2c</t>
  </si>
  <si>
    <t>Postgresql</t>
  </si>
  <si>
    <t>pg.n4.large.1</t>
  </si>
  <si>
    <t>pg.x4.large.2c</t>
  </si>
  <si>
    <t>pg.x4.2xlarge.2c</t>
  </si>
  <si>
    <t>MSSQL</t>
  </si>
  <si>
    <t>Web, Single, 2vcpu, 8GB Ram</t>
  </si>
  <si>
    <t>mssql.x4.medium.w1</t>
  </si>
  <si>
    <t>Standard, Single, 4vcpu, 16GB Ram</t>
  </si>
  <si>
    <t>Enterprise, Primary/standby, 8vcpu, 32GB Ram</t>
  </si>
  <si>
    <t>mssql.x4.xlarge.e2</t>
  </si>
  <si>
    <t>OBS</t>
  </si>
  <si>
    <t>OSS</t>
  </si>
  <si>
    <t>Stardard</t>
  </si>
  <si>
    <t>1az, 100TB</t>
  </si>
  <si>
    <t>Standard (LRS) ,100 TB</t>
  </si>
  <si>
    <t>3az, 100TB</t>
  </si>
  <si>
    <t>Standard (ZRS) ,100 TB</t>
  </si>
  <si>
    <t>3az, 1PB</t>
  </si>
  <si>
    <t>Standard (ZRS) ,1PB</t>
  </si>
  <si>
    <t>Infrequent</t>
  </si>
  <si>
    <t>1az,100TB</t>
  </si>
  <si>
    <t>Infrequent Access Storage (LRS) ,100TB</t>
  </si>
  <si>
    <t>3az,100TB</t>
  </si>
  <si>
    <t>Infrequent Access Storage (ZRS), 100TB</t>
  </si>
  <si>
    <t>Archive</t>
  </si>
  <si>
    <t>Archive Storage, 100TB</t>
  </si>
  <si>
    <t>1az, 1PB</t>
  </si>
  <si>
    <t>Archive Storage, 1PB</t>
  </si>
  <si>
    <t>Cold Archive</t>
  </si>
  <si>
    <t>Cold Archive Storage, 1PB</t>
  </si>
  <si>
    <t>Outbound Data Transfer</t>
  </si>
  <si>
    <t>1 TB</t>
  </si>
  <si>
    <t>Outbound Data Transfer, 1 TB</t>
  </si>
  <si>
    <t>Retrieval, Infrequent</t>
  </si>
  <si>
    <t>1GB</t>
  </si>
  <si>
    <t>Retrieval, Infrequent Access Storage, 1GB</t>
  </si>
  <si>
    <t>Retrieval Standard, Archive</t>
  </si>
  <si>
    <t>Retrieval, Archive 1 GB</t>
  </si>
  <si>
    <t>Backup</t>
  </si>
  <si>
    <t>Hybrid Backup Recovery</t>
  </si>
  <si>
    <t>Backup Vault</t>
  </si>
  <si>
    <t>Backup Storage, 200GB</t>
  </si>
  <si>
    <t>2000GB</t>
  </si>
  <si>
    <t>Backup Storage, 2000GB</t>
  </si>
  <si>
    <t>20000GB</t>
  </si>
  <si>
    <t>Backup Storage, 20000GB</t>
  </si>
  <si>
    <t>c6 -spot</t>
  </si>
  <si>
    <t>c6-spot</t>
  </si>
  <si>
    <t>g5.xlarge - Spot</t>
  </si>
  <si>
    <t>Huawei Cloud (30% off)</t>
    <phoneticPr fontId="3" type="noConversion"/>
  </si>
  <si>
    <t>Huawei Cloud (Listed Price)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</si>
</sst>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76" formatCode="_-* #,##0.00_-;\-* #,##0.00_-;_-* &quot;-&quot;??_-;_-@_-"/>
    <numFmt numFmtId="177" formatCode="_(* #,##0.0000_);_(* \(#,##0.0000\);_(* &quot;-&quot;??_);_(@_)"/>
    <numFmt numFmtId="178" formatCode="_(* #,##0.000_);_(* \(#,##0.000\);_(* &quot;-&quot;??_);_(@_)"/>
  </numFmts>
  <fonts count="4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43" fontId="0" fillId="0" borderId="0" xfId="0" applyNumberFormat="1" applyAlignment="1">
      <alignment horizontal="right"/>
    </xf>
    <xf numFmtId="43" fontId="0" fillId="0" borderId="1" xfId="0" applyNumberFormat="1" applyBorder="1" applyAlignment="1">
      <alignment horizontal="right"/>
    </xf>
    <xf numFmtId="43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right"/>
    </xf>
    <xf numFmtId="43" fontId="0" fillId="0" borderId="1" xfId="0" applyNumberFormat="1" applyBorder="1" applyAlignment="1">
      <alignment horizontal="right" wrapText="1"/>
    </xf>
    <xf numFmtId="43" fontId="0" fillId="0" borderId="11" xfId="0" applyNumberFormat="1" applyBorder="1" applyAlignment="1">
      <alignment horizontal="right"/>
    </xf>
    <xf numFmtId="14" fontId="0" fillId="0" borderId="11" xfId="0" applyNumberFormat="1" applyBorder="1" applyAlignment="1">
      <alignment horizontal="right"/>
    </xf>
    <xf numFmtId="43" fontId="0" fillId="0" borderId="2" xfId="0" applyNumberFormat="1" applyBorder="1" applyAlignment="1">
      <alignment horizontal="right"/>
    </xf>
    <xf numFmtId="43" fontId="0" fillId="0" borderId="1" xfId="0" applyNumberFormat="1" applyBorder="1"/>
    <xf numFmtId="43" fontId="0" fillId="0" borderId="1" xfId="0" applyNumberFormat="1" applyBorder="1" applyAlignment="1">
      <alignment horizontal="left"/>
    </xf>
    <xf numFmtId="43" fontId="0" fillId="0" borderId="5" xfId="0" applyNumberFormat="1" applyBorder="1" applyAlignment="1">
      <alignment horizontal="left"/>
    </xf>
    <xf numFmtId="43" fontId="0" fillId="0" borderId="2" xfId="0" applyNumberFormat="1" applyBorder="1" applyAlignment="1">
      <alignment horizontal="left"/>
    </xf>
    <xf numFmtId="43" fontId="0" fillId="0" borderId="1" xfId="0" applyNumberFormat="1" applyBorder="1" applyAlignment="1">
      <alignment horizontal="left" wrapText="1"/>
    </xf>
    <xf numFmtId="43" fontId="0" fillId="0" borderId="6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1" fillId="0" borderId="0" xfId="0" applyNumberFormat="1" applyFont="1" applyAlignment="1">
      <alignment horizontal="right"/>
    </xf>
    <xf numFmtId="43" fontId="0" fillId="0" borderId="0" xfId="0" applyNumberFormat="1" applyAlignment="1">
      <alignment wrapText="1"/>
    </xf>
    <xf numFmtId="43" fontId="0" fillId="0" borderId="11" xfId="0" applyNumberFormat="1" applyBorder="1" applyAlignment="1">
      <alignment wrapText="1"/>
    </xf>
    <xf numFmtId="0" fontId="1" fillId="5" borderId="12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wrapText="1"/>
    </xf>
    <xf numFmtId="176" fontId="0" fillId="0" borderId="0" xfId="0" applyNumberFormat="1"/>
    <xf numFmtId="0" fontId="1" fillId="0" borderId="0" xfId="0" applyFont="1" applyAlignment="1">
      <alignment horizontal="right" wrapText="1"/>
    </xf>
    <xf numFmtId="43" fontId="0" fillId="0" borderId="3" xfId="0" applyNumberFormat="1" applyBorder="1" applyAlignment="1">
      <alignment horizontal="right"/>
    </xf>
    <xf numFmtId="43" fontId="0" fillId="0" borderId="0" xfId="0" applyNumberFormat="1"/>
    <xf numFmtId="0" fontId="1" fillId="5" borderId="15" xfId="0" applyFont="1" applyFill="1" applyBorder="1" applyAlignment="1">
      <alignment horizontal="left" wrapText="1"/>
    </xf>
    <xf numFmtId="0" fontId="1" fillId="5" borderId="12" xfId="0" applyFont="1" applyFill="1" applyBorder="1" applyAlignment="1">
      <alignment horizontal="left" vertical="top" wrapText="1"/>
    </xf>
    <xf numFmtId="43" fontId="0" fillId="0" borderId="2" xfId="0" applyNumberFormat="1" applyBorder="1" applyAlignment="1">
      <alignment horizontal="left" wrapText="1"/>
    </xf>
    <xf numFmtId="43" fontId="0" fillId="0" borderId="3" xfId="0" applyNumberFormat="1" applyBorder="1" applyAlignment="1">
      <alignment horizontal="left"/>
    </xf>
    <xf numFmtId="0" fontId="0" fillId="6" borderId="12" xfId="0" applyFill="1" applyBorder="1" applyAlignment="1">
      <alignment horizontal="left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43" fontId="1" fillId="5" borderId="2" xfId="0" applyNumberFormat="1" applyFont="1" applyFill="1" applyBorder="1" applyAlignment="1">
      <alignment horizontal="center" vertical="top"/>
    </xf>
    <xf numFmtId="43" fontId="1" fillId="5" borderId="3" xfId="0" applyNumberFormat="1" applyFont="1" applyFill="1" applyBorder="1" applyAlignment="1">
      <alignment horizontal="center" vertical="top"/>
    </xf>
    <xf numFmtId="43" fontId="1" fillId="5" borderId="2" xfId="0" applyNumberFormat="1" applyFont="1" applyFill="1" applyBorder="1" applyAlignment="1">
      <alignment horizontal="center"/>
    </xf>
    <xf numFmtId="43" fontId="1" fillId="5" borderId="3" xfId="0" applyNumberFormat="1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43" fontId="1" fillId="0" borderId="0" xfId="0" applyNumberFormat="1" applyFont="1" applyAlignment="1">
      <alignment horizontal="right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wrapText="1"/>
    </xf>
    <xf numFmtId="0" fontId="0" fillId="3" borderId="8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top"/>
    </xf>
    <xf numFmtId="0" fontId="1" fillId="3" borderId="11" xfId="0" applyFont="1" applyFill="1" applyBorder="1" applyAlignment="1">
      <alignment horizontal="center" vertical="top"/>
    </xf>
    <xf numFmtId="43" fontId="0" fillId="6" borderId="1" xfId="0" applyNumberFormat="1" applyFill="1" applyBorder="1" applyAlignment="1">
      <alignment horizontal="right"/>
    </xf>
    <xf numFmtId="43" fontId="0" fillId="6" borderId="2" xfId="0" applyNumberFormat="1" applyFill="1" applyBorder="1" applyAlignment="1">
      <alignment horizontal="right"/>
    </xf>
    <xf numFmtId="43" fontId="0" fillId="6" borderId="1" xfId="0" applyNumberFormat="1" applyFill="1" applyBorder="1" applyAlignment="1">
      <alignment horizontal="right" wrapText="1"/>
    </xf>
    <xf numFmtId="0" fontId="0" fillId="6" borderId="1" xfId="0" applyFill="1" applyBorder="1" applyAlignment="1">
      <alignment horizontal="left" wrapText="1"/>
    </xf>
    <xf numFmtId="177" fontId="0" fillId="6" borderId="1" xfId="0" applyNumberFormat="1" applyFill="1" applyBorder="1"/>
    <xf numFmtId="43" fontId="0" fillId="6" borderId="1" xfId="0" applyNumberFormat="1" applyFill="1" applyBorder="1"/>
    <xf numFmtId="43" fontId="0" fillId="6" borderId="1" xfId="0" applyNumberFormat="1" applyFill="1" applyBorder="1" applyAlignment="1">
      <alignment horizontal="left"/>
    </xf>
    <xf numFmtId="43" fontId="0" fillId="6" borderId="2" xfId="0" applyNumberFormat="1" applyFill="1" applyBorder="1" applyAlignment="1">
      <alignment horizontal="left"/>
    </xf>
    <xf numFmtId="43" fontId="0" fillId="6" borderId="2" xfId="0" applyNumberFormat="1" applyFill="1" applyBorder="1"/>
    <xf numFmtId="177" fontId="0" fillId="6" borderId="1" xfId="0" applyNumberFormat="1" applyFill="1" applyBorder="1" applyAlignment="1">
      <alignment horizontal="right"/>
    </xf>
    <xf numFmtId="0" fontId="0" fillId="6" borderId="12" xfId="0" applyFill="1" applyBorder="1" applyAlignment="1">
      <alignment horizontal="left" vertical="center"/>
    </xf>
    <xf numFmtId="0" fontId="0" fillId="6" borderId="12" xfId="0" applyFill="1" applyBorder="1" applyAlignment="1">
      <alignment horizontal="left" vertical="center" wrapText="1"/>
    </xf>
    <xf numFmtId="0" fontId="0" fillId="6" borderId="13" xfId="0" applyFill="1" applyBorder="1" applyAlignment="1">
      <alignment horizontal="left" vertical="center"/>
    </xf>
    <xf numFmtId="0" fontId="0" fillId="6" borderId="13" xfId="0" applyFill="1" applyBorder="1" applyAlignment="1">
      <alignment horizontal="left" wrapText="1"/>
    </xf>
    <xf numFmtId="43" fontId="0" fillId="6" borderId="4" xfId="0" applyNumberFormat="1" applyFill="1" applyBorder="1"/>
    <xf numFmtId="0" fontId="0" fillId="6" borderId="4" xfId="0" applyFill="1" applyBorder="1" applyAlignment="1">
      <alignment horizontal="left" vertical="center" wrapText="1"/>
    </xf>
    <xf numFmtId="43" fontId="0" fillId="6" borderId="6" xfId="0" applyNumberFormat="1" applyFill="1" applyBorder="1"/>
    <xf numFmtId="0" fontId="0" fillId="6" borderId="12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/>
    </xf>
    <xf numFmtId="43" fontId="0" fillId="6" borderId="3" xfId="0" applyNumberFormat="1" applyFill="1" applyBorder="1"/>
    <xf numFmtId="178" fontId="0" fillId="6" borderId="1" xfId="0" applyNumberFormat="1" applyFill="1" applyBorder="1"/>
    <xf numFmtId="0" fontId="0" fillId="6" borderId="4" xfId="0" applyFill="1" applyBorder="1" applyAlignment="1">
      <alignment horizontal="left"/>
    </xf>
    <xf numFmtId="0" fontId="0" fillId="6" borderId="13" xfId="0" applyFill="1" applyBorder="1" applyAlignment="1">
      <alignment horizontal="left" vertical="top"/>
    </xf>
    <xf numFmtId="43" fontId="0" fillId="6" borderId="5" xfId="0" applyNumberFormat="1" applyFill="1" applyBorder="1"/>
    <xf numFmtId="43" fontId="0" fillId="6" borderId="1" xfId="0" applyNumberFormat="1" applyFill="1" applyBorder="1" applyAlignment="1">
      <alignment vertical="top"/>
    </xf>
    <xf numFmtId="0" fontId="0" fillId="6" borderId="12" xfId="0" applyFill="1" applyBorder="1" applyAlignment="1">
      <alignment horizontal="left" vertical="top"/>
    </xf>
    <xf numFmtId="43" fontId="0" fillId="6" borderId="1" xfId="0" applyNumberFormat="1" applyFill="1" applyBorder="1" applyAlignment="1">
      <alignment horizontal="center" vertical="center"/>
    </xf>
    <xf numFmtId="43" fontId="0" fillId="6" borderId="1" xfId="0" applyNumberFormat="1" applyFill="1" applyBorder="1" applyAlignment="1">
      <alignment horizontal="right" vertical="center"/>
    </xf>
    <xf numFmtId="43" fontId="0" fillId="6" borderId="1" xfId="0" applyNumberFormat="1" applyFill="1" applyBorder="1" applyAlignment="1">
      <alignment horizontal="center"/>
    </xf>
    <xf numFmtId="43" fontId="0" fillId="6" borderId="1" xfId="0" applyNumberFormat="1" applyFill="1" applyBorder="1" applyAlignment="1">
      <alignment horizontal="right" vertical="top"/>
    </xf>
    <xf numFmtId="0" fontId="0" fillId="6" borderId="14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A6A6A6"/>
      <color rgb="FFB4C6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88"/>
  <sheetViews>
    <sheetView tabSelected="1" zoomScale="64" zoomScaleNormal="85" workbookViewId="0">
      <selection activeCell="H54" sqref="H54"/>
    </sheetView>
  </sheetViews>
  <sheetFormatPr defaultRowHeight="13.5"/>
  <cols>
    <col min="1" max="1" width="21.375" style="3" customWidth="1"/>
    <col min="2" max="2" width="34.375" style="3" customWidth="1"/>
    <col min="3" max="3" width="20.625" style="4" customWidth="1"/>
    <col min="4" max="4" width="12.375" style="4" customWidth="1"/>
    <col min="5" max="5" width="17.125" style="4" customWidth="1"/>
    <col min="6" max="6" width="13.5" style="4" customWidth="1"/>
    <col min="7" max="7" width="14.625" style="4" customWidth="1"/>
    <col min="8" max="8" width="22.625" style="3" bestFit="1" customWidth="1"/>
    <col min="9" max="9" width="20.25" style="3" customWidth="1"/>
    <col min="10" max="10" width="26.25" style="3" bestFit="1" customWidth="1"/>
    <col min="11" max="11" width="12.375" style="1" hidden="1" customWidth="1"/>
    <col min="12" max="12" width="20" style="1" hidden="1" customWidth="1"/>
    <col min="13" max="13" width="29.375" style="1" bestFit="1" customWidth="1"/>
    <col min="14" max="14" width="11.625" style="1" customWidth="1"/>
    <col min="15" max="15" width="12.625" style="1" customWidth="1"/>
    <col min="16" max="16" width="24.125" style="2" customWidth="1"/>
    <col min="17" max="17" width="17.625" customWidth="1"/>
    <col min="18" max="18" width="15.5" customWidth="1"/>
    <col min="19" max="20" width="14.625" hidden="1" customWidth="1"/>
    <col min="21" max="21" width="15.375" hidden="1" customWidth="1"/>
    <col min="22" max="22" width="12.625" hidden="1" customWidth="1"/>
    <col min="23" max="23" width="12.5" hidden="1" customWidth="1"/>
    <col min="24" max="24" width="12.375" customWidth="1"/>
    <col min="25" max="25" width="12.625" customWidth="1"/>
    <col min="26" max="26" width="16.875" customWidth="1"/>
    <col min="27" max="27" width="19.375" style="3" customWidth="1"/>
    <col min="28" max="28" width="17.625" style="31" customWidth="1"/>
    <col min="29" max="29" width="12.5" style="31" customWidth="1"/>
    <col min="30" max="30" width="14.375" style="31" customWidth="1"/>
    <col min="31" max="31" width="9.5" style="31" customWidth="1"/>
    <col min="32" max="32" width="14.375" style="31" customWidth="1"/>
    <col min="33" max="33" width="9.5" style="31" customWidth="1"/>
    <col min="34" max="34" width="14.375" style="31" customWidth="1"/>
    <col min="35" max="35" width="27.5" customWidth="1"/>
    <col min="36" max="36" width="18.25" customWidth="1"/>
    <col min="37" max="37" width="10.375" customWidth="1"/>
    <col min="38" max="38" width="14.75" customWidth="1"/>
    <col min="39" max="39" width="10.375" customWidth="1"/>
    <col min="40" max="40" width="15.75" customWidth="1"/>
    <col min="41" max="41" width="10.375" customWidth="1"/>
    <col min="42" max="42" width="15.75" customWidth="1"/>
    <col min="43" max="43" width="18" customWidth="1"/>
  </cols>
  <sheetData>
    <row r="1" spans="1:34">
      <c r="B1" s="29" t="s">
        <v>0</v>
      </c>
      <c r="C1" s="10">
        <v>44333</v>
      </c>
      <c r="D1" s="45" t="s">
        <v>1</v>
      </c>
      <c r="E1" s="45"/>
      <c r="F1" s="9">
        <v>730</v>
      </c>
      <c r="G1" s="23"/>
      <c r="H1" s="24"/>
    </row>
    <row r="2" spans="1:34">
      <c r="B2" s="29" t="s">
        <v>2</v>
      </c>
      <c r="C2" s="10" t="s">
        <v>3</v>
      </c>
      <c r="D2" s="45" t="s">
        <v>4</v>
      </c>
      <c r="E2" s="45"/>
      <c r="F2" s="9">
        <v>8760</v>
      </c>
      <c r="H2" s="2"/>
      <c r="I2"/>
      <c r="J2"/>
      <c r="K2"/>
      <c r="L2"/>
      <c r="M2"/>
      <c r="N2" s="28"/>
      <c r="O2" s="28"/>
      <c r="P2"/>
      <c r="S2" s="3"/>
      <c r="T2" s="31"/>
      <c r="U2" s="31"/>
      <c r="V2" s="31"/>
      <c r="W2" s="31"/>
      <c r="X2" s="31"/>
      <c r="Y2" s="31"/>
      <c r="Z2" s="31"/>
      <c r="AA2"/>
      <c r="AB2"/>
      <c r="AC2"/>
      <c r="AD2"/>
      <c r="AE2"/>
      <c r="AF2"/>
      <c r="AG2"/>
      <c r="AH2"/>
    </row>
    <row r="3" spans="1:34">
      <c r="C3" s="7"/>
      <c r="D3" s="45" t="s">
        <v>5</v>
      </c>
      <c r="E3" s="45"/>
      <c r="F3" s="25">
        <v>24</v>
      </c>
      <c r="H3" s="2"/>
      <c r="I3"/>
      <c r="J3"/>
      <c r="K3"/>
      <c r="L3"/>
      <c r="M3"/>
      <c r="N3"/>
      <c r="O3"/>
      <c r="P3"/>
      <c r="S3" s="3"/>
      <c r="T3" s="31"/>
      <c r="U3" s="31"/>
      <c r="V3" s="31"/>
      <c r="W3" s="31"/>
      <c r="X3" s="31"/>
      <c r="Y3" s="31"/>
      <c r="Z3" s="31"/>
      <c r="AA3"/>
      <c r="AB3"/>
      <c r="AC3"/>
      <c r="AD3"/>
      <c r="AE3"/>
      <c r="AF3"/>
      <c r="AG3"/>
      <c r="AH3"/>
    </row>
    <row r="4" spans="1:34">
      <c r="H4" s="2"/>
      <c r="I4"/>
      <c r="J4"/>
      <c r="K4"/>
      <c r="L4"/>
      <c r="M4"/>
      <c r="N4"/>
      <c r="O4"/>
      <c r="P4"/>
      <c r="S4" s="3"/>
      <c r="T4" s="31"/>
      <c r="U4" s="31"/>
      <c r="V4" s="31"/>
      <c r="W4" s="31"/>
      <c r="X4" s="31"/>
      <c r="Y4" s="31"/>
      <c r="Z4" s="31"/>
      <c r="AA4"/>
      <c r="AB4"/>
      <c r="AC4"/>
      <c r="AD4"/>
      <c r="AE4"/>
      <c r="AF4"/>
      <c r="AG4"/>
      <c r="AH4"/>
    </row>
    <row r="5" spans="1:34">
      <c r="A5" s="52"/>
      <c r="B5" s="53"/>
      <c r="C5" s="46" t="s">
        <v>148</v>
      </c>
      <c r="D5" s="46"/>
      <c r="E5" s="46"/>
      <c r="F5" s="46"/>
      <c r="G5" s="46"/>
      <c r="H5" s="46" t="s">
        <v>147</v>
      </c>
      <c r="I5" s="46"/>
      <c r="J5" s="46"/>
      <c r="K5" s="46"/>
      <c r="L5" s="46"/>
      <c r="M5" s="58"/>
      <c r="N5" s="49" t="s">
        <v>6</v>
      </c>
      <c r="O5" s="51"/>
      <c r="P5" s="51"/>
      <c r="Q5" s="51"/>
      <c r="R5" s="51"/>
      <c r="S5" s="51"/>
      <c r="T5" s="51"/>
      <c r="U5" s="51"/>
      <c r="V5" s="51"/>
      <c r="W5" s="51"/>
      <c r="AA5"/>
      <c r="AB5"/>
      <c r="AC5"/>
      <c r="AD5"/>
      <c r="AE5"/>
      <c r="AF5"/>
      <c r="AG5"/>
      <c r="AH5"/>
    </row>
    <row r="6" spans="1:34" ht="13.5" customHeight="1">
      <c r="A6" s="54"/>
      <c r="B6" s="55"/>
      <c r="C6" s="6" t="s">
        <v>7</v>
      </c>
      <c r="D6" s="46" t="s">
        <v>8</v>
      </c>
      <c r="E6" s="46"/>
      <c r="F6" s="46"/>
      <c r="G6" s="46"/>
      <c r="H6" s="6" t="s">
        <v>7</v>
      </c>
      <c r="I6" s="46" t="s">
        <v>8</v>
      </c>
      <c r="J6" s="46"/>
      <c r="K6" s="46"/>
      <c r="L6" s="46"/>
      <c r="M6" s="59"/>
      <c r="N6" s="20" t="s">
        <v>7</v>
      </c>
      <c r="O6" s="49" t="s">
        <v>9</v>
      </c>
      <c r="P6" s="50"/>
      <c r="Q6" s="49" t="s">
        <v>12</v>
      </c>
      <c r="R6" s="50"/>
      <c r="S6" s="47" t="s">
        <v>10</v>
      </c>
      <c r="T6" s="47"/>
      <c r="U6" s="48" t="s">
        <v>11</v>
      </c>
      <c r="V6" s="47"/>
      <c r="W6" s="47"/>
      <c r="AA6"/>
      <c r="AB6"/>
      <c r="AC6"/>
      <c r="AD6"/>
      <c r="AE6"/>
      <c r="AF6"/>
      <c r="AG6"/>
      <c r="AH6"/>
    </row>
    <row r="7" spans="1:34">
      <c r="A7" s="54"/>
      <c r="B7" s="55"/>
      <c r="C7" s="6" t="s">
        <v>14</v>
      </c>
      <c r="D7" s="6" t="s">
        <v>13</v>
      </c>
      <c r="E7" s="6" t="s">
        <v>15</v>
      </c>
      <c r="F7" s="6" t="s">
        <v>16</v>
      </c>
      <c r="G7" s="6" t="s">
        <v>17</v>
      </c>
      <c r="H7" s="6" t="s">
        <v>14</v>
      </c>
      <c r="I7" s="6" t="s">
        <v>13</v>
      </c>
      <c r="J7" s="6" t="s">
        <v>15</v>
      </c>
      <c r="K7" s="6" t="s">
        <v>16</v>
      </c>
      <c r="L7" s="6" t="s">
        <v>17</v>
      </c>
      <c r="M7" s="59"/>
      <c r="N7" s="21" t="s">
        <v>20</v>
      </c>
      <c r="O7" s="21" t="s">
        <v>9</v>
      </c>
      <c r="P7" s="21" t="s">
        <v>21</v>
      </c>
      <c r="Q7" s="21" t="s">
        <v>12</v>
      </c>
      <c r="R7" s="21" t="s">
        <v>22</v>
      </c>
      <c r="S7" s="21" t="s">
        <v>16</v>
      </c>
      <c r="T7" s="21" t="s">
        <v>23</v>
      </c>
      <c r="U7" s="22" t="s">
        <v>19</v>
      </c>
      <c r="V7" s="22" t="s">
        <v>16</v>
      </c>
      <c r="W7" s="22" t="s">
        <v>18</v>
      </c>
      <c r="AA7"/>
      <c r="AB7"/>
      <c r="AC7"/>
      <c r="AD7"/>
      <c r="AE7"/>
      <c r="AF7"/>
      <c r="AG7"/>
      <c r="AH7"/>
    </row>
    <row r="8" spans="1:34">
      <c r="A8" s="19" t="s">
        <v>24</v>
      </c>
      <c r="B8" s="19" t="s">
        <v>25</v>
      </c>
      <c r="C8" s="60" t="s">
        <v>24</v>
      </c>
      <c r="D8" s="61"/>
      <c r="E8" s="61"/>
      <c r="F8" s="61"/>
      <c r="G8" s="61"/>
      <c r="H8" s="60" t="s">
        <v>24</v>
      </c>
      <c r="I8" s="61"/>
      <c r="J8" s="61"/>
      <c r="K8" s="61"/>
      <c r="L8" s="61"/>
      <c r="M8" s="33" t="s">
        <v>26</v>
      </c>
      <c r="N8" s="39" t="s">
        <v>24</v>
      </c>
      <c r="O8" s="40"/>
      <c r="P8" s="40"/>
      <c r="Q8" s="40"/>
      <c r="R8" s="40"/>
      <c r="S8" s="40"/>
      <c r="T8" s="40"/>
      <c r="U8" s="40"/>
      <c r="V8" s="40"/>
      <c r="W8" s="40"/>
      <c r="AA8"/>
      <c r="AB8"/>
      <c r="AC8"/>
      <c r="AD8"/>
      <c r="AE8"/>
      <c r="AF8"/>
      <c r="AG8"/>
      <c r="AH8"/>
    </row>
    <row r="9" spans="1:34">
      <c r="A9" s="18" t="s">
        <v>27</v>
      </c>
      <c r="B9" s="18" t="s">
        <v>28</v>
      </c>
      <c r="C9" s="62">
        <v>2.1999999999999999E-2</v>
      </c>
      <c r="D9" s="62">
        <v>14.89</v>
      </c>
      <c r="E9" s="62">
        <f>D9/$F$1</f>
        <v>2.0397260273972602E-2</v>
      </c>
      <c r="F9" s="62">
        <v>148.91999999999999</v>
      </c>
      <c r="G9" s="63">
        <f>F9/$F$2</f>
        <v>1.6999999999999998E-2</v>
      </c>
      <c r="H9" s="62">
        <f>C9*0.7</f>
        <v>1.5399999999999999E-2</v>
      </c>
      <c r="I9" s="62">
        <f t="shared" ref="I9:L22" si="0">D9*0.7</f>
        <v>10.423</v>
      </c>
      <c r="J9" s="62">
        <f t="shared" si="0"/>
        <v>1.427808219178082E-2</v>
      </c>
      <c r="K9" s="62">
        <f t="shared" si="0"/>
        <v>104.24399999999999</v>
      </c>
      <c r="L9" s="62">
        <f t="shared" si="0"/>
        <v>1.1899999999999997E-2</v>
      </c>
      <c r="M9" s="87" t="s">
        <v>29</v>
      </c>
      <c r="N9" s="86">
        <v>1.2999999999999999E-2</v>
      </c>
      <c r="O9" s="91">
        <v>8.49</v>
      </c>
      <c r="P9" s="86">
        <f>O9/$F$1</f>
        <v>1.163013698630137E-2</v>
      </c>
      <c r="Q9" s="67">
        <f t="shared" ref="Q9:Q19" si="1">O9*12*0.85</f>
        <v>86.597999999999999</v>
      </c>
      <c r="R9" s="76">
        <f t="shared" ref="R9:R19" si="2">Q9/$F$2</f>
        <v>9.8856164383561637E-3</v>
      </c>
      <c r="S9" s="86">
        <v>86.7</v>
      </c>
      <c r="T9" s="90">
        <f>S9/$F$2</f>
        <v>9.897260273972603E-3</v>
      </c>
      <c r="U9" s="86">
        <v>168.3</v>
      </c>
      <c r="V9" s="85">
        <f t="shared" ref="V9:V10" si="3">U9/3</f>
        <v>56.1</v>
      </c>
      <c r="W9" s="85">
        <f t="shared" ref="W9:W10" si="4">V9/$F$2</f>
        <v>6.4041095890410961E-3</v>
      </c>
      <c r="AA9"/>
      <c r="AB9"/>
      <c r="AC9"/>
      <c r="AD9"/>
      <c r="AE9"/>
      <c r="AF9"/>
      <c r="AG9"/>
      <c r="AH9"/>
    </row>
    <row r="10" spans="1:34">
      <c r="A10" s="18" t="s">
        <v>30</v>
      </c>
      <c r="B10" s="18" t="s">
        <v>31</v>
      </c>
      <c r="C10" s="62">
        <v>6.4000000000000001E-2</v>
      </c>
      <c r="D10" s="62">
        <v>40.299999999999997</v>
      </c>
      <c r="E10" s="62">
        <f t="shared" ref="E10:E13" si="5">D10/$F$1</f>
        <v>5.5205479452054791E-2</v>
      </c>
      <c r="F10" s="62">
        <v>402.96</v>
      </c>
      <c r="G10" s="63">
        <f t="shared" ref="G10:G13" si="6">F10/$F$2</f>
        <v>4.5999999999999999E-2</v>
      </c>
      <c r="H10" s="62">
        <f t="shared" ref="H10:H22" si="7">C10*0.7</f>
        <v>4.48E-2</v>
      </c>
      <c r="I10" s="62">
        <f t="shared" si="0"/>
        <v>28.209999999999997</v>
      </c>
      <c r="J10" s="62">
        <f t="shared" si="0"/>
        <v>3.8643835616438353E-2</v>
      </c>
      <c r="K10" s="62">
        <f t="shared" si="0"/>
        <v>282.07199999999995</v>
      </c>
      <c r="L10" s="62">
        <f t="shared" si="0"/>
        <v>3.2199999999999999E-2</v>
      </c>
      <c r="M10" s="87" t="s">
        <v>32</v>
      </c>
      <c r="N10" s="88">
        <v>6.6000000000000003E-2</v>
      </c>
      <c r="O10" s="89">
        <v>32.47</v>
      </c>
      <c r="P10" s="86">
        <f t="shared" ref="P10:P19" si="8">O10/$F$1</f>
        <v>4.4479452054794519E-2</v>
      </c>
      <c r="Q10" s="67">
        <f t="shared" si="1"/>
        <v>331.19399999999996</v>
      </c>
      <c r="R10" s="76">
        <f t="shared" si="2"/>
        <v>3.780753424657534E-2</v>
      </c>
      <c r="S10" s="67">
        <v>331.19</v>
      </c>
      <c r="T10" s="90">
        <f>S10/$F$2</f>
        <v>3.7807077625570777E-2</v>
      </c>
      <c r="U10" s="67">
        <v>642.91</v>
      </c>
      <c r="V10" s="85">
        <f t="shared" si="3"/>
        <v>214.30333333333331</v>
      </c>
      <c r="W10" s="85">
        <f t="shared" si="4"/>
        <v>2.4463850837138507E-2</v>
      </c>
      <c r="AA10"/>
      <c r="AB10"/>
      <c r="AC10"/>
      <c r="AD10"/>
      <c r="AE10"/>
      <c r="AF10"/>
      <c r="AG10"/>
      <c r="AH10"/>
    </row>
    <row r="11" spans="1:34">
      <c r="A11" s="18" t="s">
        <v>33</v>
      </c>
      <c r="B11" s="18" t="s">
        <v>34</v>
      </c>
      <c r="C11" s="62">
        <v>0.14000000000000001</v>
      </c>
      <c r="D11" s="62">
        <v>94.61</v>
      </c>
      <c r="E11" s="62">
        <f t="shared" si="5"/>
        <v>0.1296027397260274</v>
      </c>
      <c r="F11" s="62">
        <v>946.08</v>
      </c>
      <c r="G11" s="63">
        <f t="shared" si="6"/>
        <v>0.108</v>
      </c>
      <c r="H11" s="62">
        <f t="shared" si="7"/>
        <v>9.8000000000000004E-2</v>
      </c>
      <c r="I11" s="62">
        <f t="shared" si="0"/>
        <v>66.22699999999999</v>
      </c>
      <c r="J11" s="62">
        <f t="shared" si="0"/>
        <v>9.0721917808219171E-2</v>
      </c>
      <c r="K11" s="62">
        <f t="shared" si="0"/>
        <v>662.25599999999997</v>
      </c>
      <c r="L11" s="62">
        <f t="shared" si="0"/>
        <v>7.5600000000000001E-2</v>
      </c>
      <c r="M11" s="72" t="s">
        <v>35</v>
      </c>
      <c r="N11" s="88">
        <v>0.21099999999999999</v>
      </c>
      <c r="O11" s="89">
        <v>120.52</v>
      </c>
      <c r="P11" s="86">
        <f t="shared" si="8"/>
        <v>0.1650958904109589</v>
      </c>
      <c r="Q11" s="67">
        <f t="shared" si="1"/>
        <v>1229.3040000000001</v>
      </c>
      <c r="R11" s="76">
        <f t="shared" si="2"/>
        <v>0.14033150684931509</v>
      </c>
      <c r="S11" s="88"/>
      <c r="T11" s="88"/>
      <c r="U11" s="88"/>
      <c r="V11" s="88"/>
      <c r="W11" s="88"/>
      <c r="AA11"/>
      <c r="AB11"/>
      <c r="AC11"/>
      <c r="AD11"/>
      <c r="AE11"/>
      <c r="AF11"/>
      <c r="AG11"/>
      <c r="AH11"/>
    </row>
    <row r="12" spans="1:34">
      <c r="A12" s="18" t="s">
        <v>33</v>
      </c>
      <c r="B12" s="18" t="s">
        <v>36</v>
      </c>
      <c r="C12" s="62">
        <v>0.28000000000000003</v>
      </c>
      <c r="D12" s="62">
        <v>189.22</v>
      </c>
      <c r="E12" s="62">
        <f t="shared" si="5"/>
        <v>0.2592054794520548</v>
      </c>
      <c r="F12" s="62">
        <v>1892.16</v>
      </c>
      <c r="G12" s="63">
        <f t="shared" si="6"/>
        <v>0.216</v>
      </c>
      <c r="H12" s="62">
        <f t="shared" si="7"/>
        <v>0.19600000000000001</v>
      </c>
      <c r="I12" s="62">
        <f t="shared" si="0"/>
        <v>132.45399999999998</v>
      </c>
      <c r="J12" s="62">
        <f t="shared" si="0"/>
        <v>0.18144383561643834</v>
      </c>
      <c r="K12" s="62">
        <f t="shared" si="0"/>
        <v>1324.5119999999999</v>
      </c>
      <c r="L12" s="62">
        <f t="shared" si="0"/>
        <v>0.1512</v>
      </c>
      <c r="M12" s="87" t="s">
        <v>37</v>
      </c>
      <c r="N12" s="88">
        <v>0.43099999999999999</v>
      </c>
      <c r="O12" s="89">
        <v>239.54</v>
      </c>
      <c r="P12" s="86">
        <f t="shared" si="8"/>
        <v>0.32813698630136984</v>
      </c>
      <c r="Q12" s="67">
        <f t="shared" si="1"/>
        <v>2443.308</v>
      </c>
      <c r="R12" s="76">
        <f t="shared" si="2"/>
        <v>0.27891643835616436</v>
      </c>
      <c r="S12" s="88"/>
      <c r="T12" s="88"/>
      <c r="U12" s="88"/>
      <c r="V12" s="88"/>
      <c r="W12" s="88"/>
      <c r="AA12"/>
      <c r="AB12"/>
      <c r="AC12"/>
      <c r="AD12"/>
      <c r="AE12"/>
      <c r="AF12"/>
      <c r="AG12"/>
      <c r="AH12"/>
    </row>
    <row r="13" spans="1:34">
      <c r="A13" s="18" t="s">
        <v>38</v>
      </c>
      <c r="B13" s="18" t="s">
        <v>39</v>
      </c>
      <c r="C13" s="62">
        <v>0.40200000000000002</v>
      </c>
      <c r="D13" s="62">
        <v>273.31</v>
      </c>
      <c r="E13" s="62">
        <f t="shared" si="5"/>
        <v>0.37439726027397263</v>
      </c>
      <c r="F13" s="62">
        <v>2733.12</v>
      </c>
      <c r="G13" s="63">
        <f t="shared" si="6"/>
        <v>0.312</v>
      </c>
      <c r="H13" s="62">
        <f t="shared" si="7"/>
        <v>0.28139999999999998</v>
      </c>
      <c r="I13" s="62">
        <f t="shared" si="0"/>
        <v>191.31699999999998</v>
      </c>
      <c r="J13" s="62">
        <f t="shared" si="0"/>
        <v>0.2620780821917808</v>
      </c>
      <c r="K13" s="62">
        <f t="shared" si="0"/>
        <v>1913.1839999999997</v>
      </c>
      <c r="L13" s="62">
        <f t="shared" si="0"/>
        <v>0.21839999999999998</v>
      </c>
      <c r="M13" s="72" t="s">
        <v>40</v>
      </c>
      <c r="N13" s="88">
        <v>0.42</v>
      </c>
      <c r="O13" s="89">
        <v>247.75</v>
      </c>
      <c r="P13" s="86">
        <f t="shared" si="8"/>
        <v>0.3393835616438356</v>
      </c>
      <c r="Q13" s="67">
        <f t="shared" si="1"/>
        <v>2527.0499999999997</v>
      </c>
      <c r="R13" s="76">
        <f t="shared" si="2"/>
        <v>0.28847602739726025</v>
      </c>
      <c r="S13" s="88">
        <v>2527.15</v>
      </c>
      <c r="T13" s="90">
        <f>S13/$F$2</f>
        <v>0.28848744292237444</v>
      </c>
      <c r="U13" s="88">
        <v>4905.6499999999996</v>
      </c>
      <c r="V13" s="85">
        <f>U13/3</f>
        <v>1635.2166666666665</v>
      </c>
      <c r="W13" s="85">
        <f>V13/$F$2</f>
        <v>0.18666856925418568</v>
      </c>
      <c r="AA13"/>
      <c r="AB13"/>
      <c r="AC13"/>
      <c r="AD13"/>
      <c r="AE13"/>
      <c r="AF13"/>
      <c r="AG13"/>
      <c r="AH13"/>
    </row>
    <row r="14" spans="1:34">
      <c r="A14" s="18" t="s">
        <v>145</v>
      </c>
      <c r="B14" s="18" t="s">
        <v>39</v>
      </c>
      <c r="C14" s="64">
        <v>8.0399999999999999E-2</v>
      </c>
      <c r="D14" s="62"/>
      <c r="E14" s="62"/>
      <c r="F14" s="62"/>
      <c r="G14" s="63"/>
      <c r="H14" s="62">
        <f t="shared" si="7"/>
        <v>5.6279999999999997E-2</v>
      </c>
      <c r="I14" s="62">
        <f t="shared" si="0"/>
        <v>0</v>
      </c>
      <c r="J14" s="62">
        <f t="shared" si="0"/>
        <v>0</v>
      </c>
      <c r="K14" s="62">
        <f t="shared" si="0"/>
        <v>0</v>
      </c>
      <c r="L14" s="62">
        <f t="shared" si="0"/>
        <v>0</v>
      </c>
      <c r="M14" s="72" t="s">
        <v>146</v>
      </c>
      <c r="N14" s="89">
        <v>8.7999999999999995E-2</v>
      </c>
      <c r="O14" s="89"/>
      <c r="P14" s="86">
        <f t="shared" si="8"/>
        <v>0</v>
      </c>
      <c r="Q14" s="67">
        <f t="shared" si="1"/>
        <v>0</v>
      </c>
      <c r="R14" s="76">
        <f t="shared" si="2"/>
        <v>0</v>
      </c>
      <c r="S14" s="88"/>
      <c r="T14" s="90"/>
      <c r="U14" s="88"/>
      <c r="V14" s="85"/>
      <c r="W14" s="85"/>
      <c r="AA14"/>
      <c r="AB14"/>
      <c r="AC14"/>
      <c r="AD14"/>
      <c r="AE14"/>
      <c r="AF14"/>
      <c r="AG14"/>
      <c r="AH14"/>
    </row>
    <row r="15" spans="1:34">
      <c r="A15" s="18" t="s">
        <v>38</v>
      </c>
      <c r="B15" s="18" t="s">
        <v>41</v>
      </c>
      <c r="C15" s="64" t="s">
        <v>42</v>
      </c>
      <c r="D15" s="62">
        <v>1093.25</v>
      </c>
      <c r="E15" s="62">
        <f t="shared" ref="E15:E21" si="9">D15/$F$1</f>
        <v>1.4976027397260274</v>
      </c>
      <c r="F15" s="62">
        <v>10932.48</v>
      </c>
      <c r="G15" s="63">
        <f t="shared" ref="G15:G19" si="10">F15/$F$2</f>
        <v>1.248</v>
      </c>
      <c r="H15" s="62" t="e">
        <f t="shared" si="7"/>
        <v>#VALUE!</v>
      </c>
      <c r="I15" s="62">
        <f t="shared" si="0"/>
        <v>765.27499999999998</v>
      </c>
      <c r="J15" s="62">
        <f t="shared" si="0"/>
        <v>1.048321917808219</v>
      </c>
      <c r="K15" s="62">
        <f t="shared" si="0"/>
        <v>7652.735999999999</v>
      </c>
      <c r="L15" s="62">
        <f t="shared" si="0"/>
        <v>0.87359999999999993</v>
      </c>
      <c r="M15" s="87" t="s">
        <v>43</v>
      </c>
      <c r="N15" s="88">
        <v>1.7</v>
      </c>
      <c r="O15" s="89">
        <v>991.03</v>
      </c>
      <c r="P15" s="86">
        <f t="shared" si="8"/>
        <v>1.3575753424657533</v>
      </c>
      <c r="Q15" s="67">
        <f t="shared" si="1"/>
        <v>10108.505999999999</v>
      </c>
      <c r="R15" s="76">
        <f t="shared" si="2"/>
        <v>1.1539390410958903</v>
      </c>
      <c r="S15" s="88">
        <v>10108.61</v>
      </c>
      <c r="T15" s="90">
        <f>S15/$F$2</f>
        <v>1.1539509132420092</v>
      </c>
      <c r="U15" s="88">
        <v>19622.59</v>
      </c>
      <c r="V15" s="85">
        <f t="shared" ref="V15:V17" si="11">U15/3</f>
        <v>6540.8633333333337</v>
      </c>
      <c r="W15" s="85">
        <f t="shared" ref="W15:W17" si="12">V15/$F$2</f>
        <v>0.74667389649923899</v>
      </c>
      <c r="AA15"/>
      <c r="AB15"/>
      <c r="AC15"/>
      <c r="AD15"/>
      <c r="AE15"/>
      <c r="AF15"/>
      <c r="AG15"/>
      <c r="AH15"/>
    </row>
    <row r="16" spans="1:34">
      <c r="A16" s="18" t="s">
        <v>44</v>
      </c>
      <c r="B16" s="18" t="s">
        <v>45</v>
      </c>
      <c r="C16" s="64" t="s">
        <v>46</v>
      </c>
      <c r="D16" s="62">
        <v>301.33999999999997</v>
      </c>
      <c r="E16" s="62">
        <f t="shared" si="9"/>
        <v>0.41279452054794519</v>
      </c>
      <c r="F16" s="62">
        <v>3013.44</v>
      </c>
      <c r="G16" s="63">
        <f t="shared" si="10"/>
        <v>0.34400000000000003</v>
      </c>
      <c r="H16" s="62" t="e">
        <f t="shared" si="7"/>
        <v>#VALUE!</v>
      </c>
      <c r="I16" s="62">
        <f t="shared" si="0"/>
        <v>210.93799999999996</v>
      </c>
      <c r="J16" s="62">
        <f t="shared" si="0"/>
        <v>0.28895616438356159</v>
      </c>
      <c r="K16" s="62">
        <f t="shared" si="0"/>
        <v>2109.4079999999999</v>
      </c>
      <c r="L16" s="62">
        <f t="shared" si="0"/>
        <v>0.24080000000000001</v>
      </c>
      <c r="M16" s="87" t="s">
        <v>47</v>
      </c>
      <c r="N16" s="88">
        <v>0.47399999999999998</v>
      </c>
      <c r="O16" s="89">
        <v>266.2</v>
      </c>
      <c r="P16" s="86">
        <f t="shared" si="8"/>
        <v>0.36465753424657532</v>
      </c>
      <c r="Q16" s="67">
        <f t="shared" si="1"/>
        <v>2715.24</v>
      </c>
      <c r="R16" s="76">
        <f t="shared" si="2"/>
        <v>0.30995890410958904</v>
      </c>
      <c r="S16" s="88">
        <v>2715.24</v>
      </c>
      <c r="T16" s="90">
        <f>S16/$F$2</f>
        <v>0.30995890410958904</v>
      </c>
      <c r="U16" s="88">
        <v>5270.76</v>
      </c>
      <c r="V16" s="85">
        <f t="shared" si="11"/>
        <v>1756.92</v>
      </c>
      <c r="W16" s="85">
        <f t="shared" si="12"/>
        <v>0.20056164383561645</v>
      </c>
      <c r="AA16"/>
      <c r="AB16"/>
      <c r="AC16"/>
      <c r="AD16"/>
      <c r="AE16"/>
      <c r="AF16"/>
      <c r="AG16"/>
      <c r="AH16"/>
    </row>
    <row r="17" spans="1:34">
      <c r="A17" s="18" t="s">
        <v>44</v>
      </c>
      <c r="B17" s="18" t="s">
        <v>48</v>
      </c>
      <c r="C17" s="62">
        <v>1.8480000000000001</v>
      </c>
      <c r="D17" s="62">
        <v>1205.3800000000001</v>
      </c>
      <c r="E17" s="62">
        <f t="shared" si="9"/>
        <v>1.651205479452055</v>
      </c>
      <c r="F17" s="62">
        <v>12053.76</v>
      </c>
      <c r="G17" s="63">
        <f t="shared" si="10"/>
        <v>1.3760000000000001</v>
      </c>
      <c r="H17" s="62">
        <f t="shared" si="7"/>
        <v>1.2936000000000001</v>
      </c>
      <c r="I17" s="62">
        <f t="shared" si="0"/>
        <v>843.76600000000008</v>
      </c>
      <c r="J17" s="62">
        <f t="shared" si="0"/>
        <v>1.1558438356164384</v>
      </c>
      <c r="K17" s="62">
        <f t="shared" si="0"/>
        <v>8437.6319999999996</v>
      </c>
      <c r="L17" s="62">
        <f t="shared" si="0"/>
        <v>0.96320000000000006</v>
      </c>
      <c r="M17" s="87" t="s">
        <v>49</v>
      </c>
      <c r="N17" s="88">
        <v>1.8959999999999999</v>
      </c>
      <c r="O17" s="89">
        <v>1064.8</v>
      </c>
      <c r="P17" s="86">
        <f t="shared" si="8"/>
        <v>1.4586301369863013</v>
      </c>
      <c r="Q17" s="67">
        <f t="shared" si="1"/>
        <v>10860.96</v>
      </c>
      <c r="R17" s="76">
        <f t="shared" si="2"/>
        <v>1.2398356164383562</v>
      </c>
      <c r="S17" s="89">
        <v>10860.96</v>
      </c>
      <c r="T17" s="90">
        <f>S17/$F$2</f>
        <v>1.2398356164383562</v>
      </c>
      <c r="U17" s="89">
        <v>21083.040000000001</v>
      </c>
      <c r="V17" s="85">
        <f t="shared" si="11"/>
        <v>7027.68</v>
      </c>
      <c r="W17" s="85">
        <f t="shared" si="12"/>
        <v>0.8022465753424658</v>
      </c>
      <c r="AA17"/>
      <c r="AB17"/>
      <c r="AC17"/>
      <c r="AD17"/>
      <c r="AE17"/>
      <c r="AF17"/>
      <c r="AG17"/>
      <c r="AH17"/>
    </row>
    <row r="18" spans="1:34">
      <c r="A18" s="18" t="s">
        <v>50</v>
      </c>
      <c r="B18" s="18" t="s">
        <v>51</v>
      </c>
      <c r="C18" s="62">
        <v>6.2</v>
      </c>
      <c r="D18" s="62">
        <v>3986.5</v>
      </c>
      <c r="E18" s="62">
        <f t="shared" si="9"/>
        <v>5.4609589041095887</v>
      </c>
      <c r="F18" s="62">
        <v>39865</v>
      </c>
      <c r="G18" s="63">
        <f t="shared" si="10"/>
        <v>4.5507990867579906</v>
      </c>
      <c r="H18" s="62">
        <f t="shared" si="7"/>
        <v>4.34</v>
      </c>
      <c r="I18" s="62">
        <f t="shared" si="0"/>
        <v>2790.5499999999997</v>
      </c>
      <c r="J18" s="62">
        <f t="shared" si="0"/>
        <v>3.8226712328767118</v>
      </c>
      <c r="K18" s="62">
        <f t="shared" si="0"/>
        <v>27905.5</v>
      </c>
      <c r="L18" s="62">
        <f t="shared" si="0"/>
        <v>3.1855593607305934</v>
      </c>
      <c r="M18" s="87"/>
      <c r="N18" s="88"/>
      <c r="O18" s="89"/>
      <c r="P18" s="88"/>
      <c r="Q18" s="88"/>
      <c r="R18" s="88"/>
      <c r="S18" s="88"/>
      <c r="T18" s="88"/>
      <c r="U18" s="88"/>
      <c r="V18" s="88"/>
      <c r="W18" s="88"/>
      <c r="AA18"/>
      <c r="AB18"/>
      <c r="AC18"/>
      <c r="AD18"/>
      <c r="AE18"/>
      <c r="AF18"/>
      <c r="AG18"/>
      <c r="AH18"/>
    </row>
    <row r="19" spans="1:34">
      <c r="A19" s="18" t="s">
        <v>52</v>
      </c>
      <c r="B19" s="18" t="s">
        <v>53</v>
      </c>
      <c r="C19" s="62">
        <v>1.526</v>
      </c>
      <c r="D19" s="64">
        <v>918.9</v>
      </c>
      <c r="E19" s="62">
        <f t="shared" si="9"/>
        <v>1.2587671232876712</v>
      </c>
      <c r="F19" s="62">
        <v>9189</v>
      </c>
      <c r="G19" s="63">
        <f t="shared" si="10"/>
        <v>1.0489726027397259</v>
      </c>
      <c r="H19" s="62">
        <f t="shared" si="7"/>
        <v>1.0682</v>
      </c>
      <c r="I19" s="62">
        <f t="shared" si="0"/>
        <v>643.2299999999999</v>
      </c>
      <c r="J19" s="62">
        <f t="shared" si="0"/>
        <v>0.88113698630136972</v>
      </c>
      <c r="K19" s="62">
        <f t="shared" si="0"/>
        <v>6432.2999999999993</v>
      </c>
      <c r="L19" s="62">
        <f t="shared" si="0"/>
        <v>0.73428082191780808</v>
      </c>
      <c r="M19" s="72" t="s">
        <v>54</v>
      </c>
      <c r="N19" s="88">
        <v>1.845</v>
      </c>
      <c r="O19" s="89">
        <v>949</v>
      </c>
      <c r="P19" s="86">
        <f t="shared" si="8"/>
        <v>1.3</v>
      </c>
      <c r="Q19" s="67">
        <f t="shared" si="1"/>
        <v>9679.7999999999993</v>
      </c>
      <c r="R19" s="76">
        <f t="shared" si="2"/>
        <v>1.105</v>
      </c>
      <c r="S19" s="88"/>
      <c r="T19" s="88"/>
      <c r="U19" s="88"/>
      <c r="V19" s="88"/>
      <c r="W19" s="88"/>
      <c r="AA19"/>
      <c r="AB19"/>
      <c r="AC19"/>
      <c r="AD19"/>
      <c r="AE19"/>
      <c r="AF19"/>
      <c r="AG19"/>
      <c r="AH19"/>
    </row>
    <row r="20" spans="1:34">
      <c r="A20" s="18" t="s">
        <v>52</v>
      </c>
      <c r="B20" s="18" t="s">
        <v>55</v>
      </c>
      <c r="C20" s="62">
        <v>5.3959999999999999</v>
      </c>
      <c r="D20" s="64">
        <v>3457.6</v>
      </c>
      <c r="E20" s="62">
        <f t="shared" si="9"/>
        <v>4.736438356164383</v>
      </c>
      <c r="F20" s="62">
        <v>34576</v>
      </c>
      <c r="G20" s="63">
        <f>F20/$F$2</f>
        <v>3.9470319634703195</v>
      </c>
      <c r="H20" s="62">
        <f t="shared" si="7"/>
        <v>3.7771999999999997</v>
      </c>
      <c r="I20" s="62">
        <f t="shared" si="0"/>
        <v>2420.3199999999997</v>
      </c>
      <c r="J20" s="62">
        <f t="shared" si="0"/>
        <v>3.3155068493150681</v>
      </c>
      <c r="K20" s="62">
        <f t="shared" si="0"/>
        <v>24203.199999999997</v>
      </c>
      <c r="L20" s="62">
        <f t="shared" si="0"/>
        <v>2.7629223744292233</v>
      </c>
      <c r="M20" s="87"/>
      <c r="N20" s="88"/>
      <c r="O20" s="89"/>
      <c r="P20" s="88"/>
      <c r="Q20" s="88"/>
      <c r="R20" s="88"/>
      <c r="S20" s="88"/>
      <c r="T20" s="88"/>
      <c r="U20" s="88"/>
      <c r="V20" s="88"/>
      <c r="W20" s="88"/>
      <c r="AA20"/>
      <c r="AB20"/>
      <c r="AC20"/>
      <c r="AD20"/>
      <c r="AE20"/>
      <c r="AF20"/>
      <c r="AG20"/>
      <c r="AH20"/>
    </row>
    <row r="21" spans="1:34">
      <c r="A21" s="18" t="s">
        <v>56</v>
      </c>
      <c r="B21" s="18" t="s">
        <v>57</v>
      </c>
      <c r="C21" s="62"/>
      <c r="D21" s="64">
        <v>2609.46</v>
      </c>
      <c r="E21" s="62">
        <f t="shared" si="9"/>
        <v>3.5746027397260276</v>
      </c>
      <c r="F21" s="62">
        <v>26094.6</v>
      </c>
      <c r="G21" s="63">
        <f>F21/$F$2</f>
        <v>2.978835616438356</v>
      </c>
      <c r="H21" s="62">
        <f t="shared" si="7"/>
        <v>0</v>
      </c>
      <c r="I21" s="62">
        <f t="shared" si="0"/>
        <v>1826.6219999999998</v>
      </c>
      <c r="J21" s="62">
        <f t="shared" si="0"/>
        <v>2.5022219178082192</v>
      </c>
      <c r="K21" s="62">
        <f t="shared" si="0"/>
        <v>18266.219999999998</v>
      </c>
      <c r="L21" s="62">
        <f t="shared" si="0"/>
        <v>2.0851849315068489</v>
      </c>
      <c r="M21" s="87"/>
      <c r="N21" s="88"/>
      <c r="O21" s="89"/>
      <c r="P21" s="88"/>
      <c r="Q21" s="88"/>
      <c r="R21" s="88"/>
      <c r="S21" s="88"/>
      <c r="T21" s="88"/>
      <c r="U21" s="88"/>
      <c r="V21" s="88"/>
      <c r="W21" s="88"/>
      <c r="AA21"/>
      <c r="AB21"/>
      <c r="AC21"/>
      <c r="AD21"/>
      <c r="AE21"/>
      <c r="AF21"/>
      <c r="AG21"/>
      <c r="AH21"/>
    </row>
    <row r="22" spans="1:34">
      <c r="A22" s="18" t="s">
        <v>58</v>
      </c>
      <c r="B22" s="18" t="s">
        <v>59</v>
      </c>
      <c r="C22" s="62"/>
      <c r="D22" s="64"/>
      <c r="E22" s="62"/>
      <c r="F22" s="62"/>
      <c r="G22" s="62"/>
      <c r="H22" s="62">
        <f t="shared" si="7"/>
        <v>0</v>
      </c>
      <c r="I22" s="62">
        <f t="shared" si="0"/>
        <v>0</v>
      </c>
      <c r="J22" s="62">
        <f t="shared" si="0"/>
        <v>0</v>
      </c>
      <c r="K22" s="62">
        <f t="shared" si="0"/>
        <v>0</v>
      </c>
      <c r="L22" s="62">
        <f t="shared" si="0"/>
        <v>0</v>
      </c>
      <c r="M22" s="92"/>
      <c r="N22" s="88"/>
      <c r="O22" s="89"/>
      <c r="P22" s="88"/>
      <c r="Q22" s="88"/>
      <c r="R22" s="88"/>
      <c r="S22" s="88"/>
      <c r="T22" s="88"/>
      <c r="U22" s="88"/>
      <c r="V22" s="88"/>
      <c r="W22" s="88"/>
      <c r="AA22"/>
      <c r="AB22"/>
      <c r="AC22"/>
      <c r="AD22"/>
      <c r="AE22"/>
      <c r="AF22"/>
      <c r="AG22"/>
      <c r="AH22"/>
    </row>
    <row r="23" spans="1:34">
      <c r="A23" s="19" t="s">
        <v>60</v>
      </c>
      <c r="B23" s="19" t="s">
        <v>25</v>
      </c>
      <c r="C23" s="37" t="s">
        <v>60</v>
      </c>
      <c r="D23" s="38"/>
      <c r="E23" s="38"/>
      <c r="F23" s="38"/>
      <c r="G23" s="38"/>
      <c r="H23" s="37" t="s">
        <v>60</v>
      </c>
      <c r="I23" s="38"/>
      <c r="J23" s="38"/>
      <c r="K23" s="38"/>
      <c r="L23" s="38"/>
      <c r="M23" s="33" t="s">
        <v>26</v>
      </c>
      <c r="N23" s="39" t="s">
        <v>60</v>
      </c>
      <c r="O23" s="40"/>
      <c r="P23" s="40"/>
      <c r="Q23" s="40"/>
      <c r="R23" s="40"/>
      <c r="S23" s="40"/>
      <c r="T23" s="40"/>
      <c r="U23" s="40"/>
      <c r="V23" s="40"/>
      <c r="W23" s="40"/>
      <c r="AA23"/>
      <c r="AB23"/>
      <c r="AC23"/>
      <c r="AD23"/>
      <c r="AE23"/>
      <c r="AF23"/>
      <c r="AG23"/>
      <c r="AH23"/>
    </row>
    <row r="24" spans="1:34">
      <c r="A24" s="18" t="s">
        <v>27</v>
      </c>
      <c r="B24" s="18" t="s">
        <v>28</v>
      </c>
      <c r="C24" s="5">
        <v>1.2999999999999999E-2</v>
      </c>
      <c r="D24" s="5">
        <v>6.13</v>
      </c>
      <c r="E24" s="5">
        <f t="shared" ref="E24:E29" si="13">D24/$F$1</f>
        <v>8.3972602739726034E-3</v>
      </c>
      <c r="F24" s="5">
        <v>61.32</v>
      </c>
      <c r="G24" s="11">
        <f t="shared" ref="G24:G29" si="14">F24/$F$2</f>
        <v>7.0000000000000001E-3</v>
      </c>
      <c r="H24" s="62">
        <f>C24*0.7</f>
        <v>9.0999999999999987E-3</v>
      </c>
      <c r="I24" s="62">
        <f t="shared" ref="I24:L24" si="15">D24*0.7</f>
        <v>4.2909999999999995</v>
      </c>
      <c r="J24" s="62">
        <f t="shared" si="15"/>
        <v>5.8780821917808219E-3</v>
      </c>
      <c r="K24" s="62">
        <f t="shared" si="15"/>
        <v>42.923999999999999</v>
      </c>
      <c r="L24" s="62">
        <f t="shared" si="15"/>
        <v>4.8999999999999998E-3</v>
      </c>
      <c r="M24" s="84" t="s">
        <v>29</v>
      </c>
      <c r="N24" s="85">
        <v>1.2999999999999999E-2</v>
      </c>
      <c r="O24" s="85">
        <v>5.65</v>
      </c>
      <c r="P24" s="86">
        <f t="shared" ref="P24:P35" si="16">O24/$F$1</f>
        <v>7.7397260273972604E-3</v>
      </c>
      <c r="Q24" s="67">
        <f t="shared" ref="Q24:Q35" si="17">O24*12*0.85</f>
        <v>57.63000000000001</v>
      </c>
      <c r="R24" s="76">
        <f t="shared" ref="R24:R35" si="18">Q24/$F$2</f>
        <v>6.5787671232876727E-3</v>
      </c>
      <c r="S24" s="85">
        <v>57.63</v>
      </c>
      <c r="T24" s="85">
        <f>S24/$F$2</f>
        <v>6.5787671232876719E-3</v>
      </c>
      <c r="U24" s="85">
        <v>111.87</v>
      </c>
      <c r="V24" s="85">
        <f>U24/3</f>
        <v>37.29</v>
      </c>
      <c r="W24" s="85">
        <f>V24/$F$2</f>
        <v>4.256849315068493E-3</v>
      </c>
      <c r="AA24"/>
      <c r="AB24"/>
      <c r="AC24"/>
      <c r="AD24"/>
      <c r="AE24"/>
      <c r="AF24"/>
      <c r="AG24"/>
      <c r="AH24"/>
    </row>
    <row r="25" spans="1:34">
      <c r="A25" s="18" t="s">
        <v>30</v>
      </c>
      <c r="B25" s="18" t="s">
        <v>31</v>
      </c>
      <c r="C25" s="5">
        <v>4.5999999999999999E-2</v>
      </c>
      <c r="D25" s="5">
        <v>22.78</v>
      </c>
      <c r="E25" s="5">
        <f t="shared" si="13"/>
        <v>3.1205479452054798E-2</v>
      </c>
      <c r="F25" s="5">
        <v>227.76</v>
      </c>
      <c r="G25" s="11">
        <f t="shared" si="14"/>
        <v>2.5999999999999999E-2</v>
      </c>
      <c r="H25" s="62">
        <f t="shared" ref="H25:H38" si="19">C25*0.7</f>
        <v>3.2199999999999999E-2</v>
      </c>
      <c r="I25" s="62">
        <f t="shared" ref="I25:I38" si="20">D25*0.7</f>
        <v>15.946</v>
      </c>
      <c r="J25" s="62">
        <f t="shared" ref="J25:J38" si="21">E25*0.7</f>
        <v>2.1843835616438358E-2</v>
      </c>
      <c r="K25" s="62">
        <f t="shared" ref="K25:K38" si="22">F25*0.7</f>
        <v>159.43199999999999</v>
      </c>
      <c r="L25" s="62">
        <f t="shared" ref="L25:L38" si="23">G25*0.7</f>
        <v>1.8199999999999997E-2</v>
      </c>
      <c r="M25" s="72" t="s">
        <v>32</v>
      </c>
      <c r="N25" s="67">
        <v>4.5999999999999999E-2</v>
      </c>
      <c r="O25" s="67">
        <v>20.89</v>
      </c>
      <c r="P25" s="86">
        <f t="shared" si="16"/>
        <v>2.8616438356164384E-2</v>
      </c>
      <c r="Q25" s="67">
        <f t="shared" si="17"/>
        <v>213.078</v>
      </c>
      <c r="R25" s="76">
        <f t="shared" si="18"/>
        <v>2.4323972602739725E-2</v>
      </c>
      <c r="S25" s="67">
        <v>213.08</v>
      </c>
      <c r="T25" s="85">
        <f>S25/$F$2</f>
        <v>2.432420091324201E-2</v>
      </c>
      <c r="U25" s="67">
        <v>413.62</v>
      </c>
      <c r="V25" s="85">
        <f>U25/3</f>
        <v>137.87333333333333</v>
      </c>
      <c r="W25" s="85">
        <f>V25/$F$2</f>
        <v>1.5738964992389651E-2</v>
      </c>
      <c r="AA25"/>
      <c r="AB25"/>
      <c r="AC25"/>
      <c r="AD25"/>
      <c r="AE25"/>
      <c r="AF25"/>
      <c r="AG25"/>
      <c r="AH25"/>
    </row>
    <row r="26" spans="1:34">
      <c r="A26" s="18" t="s">
        <v>33</v>
      </c>
      <c r="B26" s="18" t="s">
        <v>34</v>
      </c>
      <c r="C26" s="5">
        <v>0.08</v>
      </c>
      <c r="D26" s="5">
        <v>42.05</v>
      </c>
      <c r="E26" s="5">
        <f t="shared" si="13"/>
        <v>5.7602739726027391E-2</v>
      </c>
      <c r="F26" s="5">
        <v>420.48</v>
      </c>
      <c r="G26" s="11">
        <f t="shared" si="14"/>
        <v>4.8000000000000001E-2</v>
      </c>
      <c r="H26" s="62">
        <f t="shared" si="19"/>
        <v>5.5999999999999994E-2</v>
      </c>
      <c r="I26" s="62">
        <f t="shared" si="20"/>
        <v>29.434999999999995</v>
      </c>
      <c r="J26" s="62">
        <f t="shared" si="21"/>
        <v>4.0321917808219171E-2</v>
      </c>
      <c r="K26" s="62">
        <f t="shared" si="22"/>
        <v>294.33600000000001</v>
      </c>
      <c r="L26" s="62">
        <f t="shared" si="23"/>
        <v>3.3599999999999998E-2</v>
      </c>
      <c r="M26" s="72" t="s">
        <v>35</v>
      </c>
      <c r="N26" s="67">
        <v>0.111</v>
      </c>
      <c r="O26" s="67">
        <v>56.15</v>
      </c>
      <c r="P26" s="86">
        <f t="shared" si="16"/>
        <v>7.6917808219178083E-2</v>
      </c>
      <c r="Q26" s="67">
        <f t="shared" si="17"/>
        <v>572.7299999999999</v>
      </c>
      <c r="R26" s="76">
        <f t="shared" si="18"/>
        <v>6.5380136986301365E-2</v>
      </c>
      <c r="S26" s="67"/>
      <c r="T26" s="67"/>
      <c r="U26" s="67"/>
      <c r="V26" s="67"/>
      <c r="W26" s="67"/>
      <c r="AA26"/>
      <c r="AB26"/>
      <c r="AC26"/>
      <c r="AD26"/>
      <c r="AE26"/>
      <c r="AF26"/>
      <c r="AG26"/>
      <c r="AH26"/>
    </row>
    <row r="27" spans="1:34">
      <c r="A27" s="18" t="s">
        <v>33</v>
      </c>
      <c r="B27" s="18" t="s">
        <v>36</v>
      </c>
      <c r="C27" s="5">
        <v>0.16</v>
      </c>
      <c r="D27" s="5">
        <v>84.1</v>
      </c>
      <c r="E27" s="5">
        <f t="shared" si="13"/>
        <v>0.11520547945205478</v>
      </c>
      <c r="F27" s="5">
        <v>840.96</v>
      </c>
      <c r="G27" s="11">
        <f t="shared" si="14"/>
        <v>9.6000000000000002E-2</v>
      </c>
      <c r="H27" s="62">
        <f t="shared" si="19"/>
        <v>0.11199999999999999</v>
      </c>
      <c r="I27" s="62">
        <f t="shared" si="20"/>
        <v>58.86999999999999</v>
      </c>
      <c r="J27" s="62">
        <f t="shared" si="21"/>
        <v>8.0643835616438342E-2</v>
      </c>
      <c r="K27" s="62">
        <f t="shared" si="22"/>
        <v>588.67200000000003</v>
      </c>
      <c r="L27" s="62">
        <f t="shared" si="23"/>
        <v>6.7199999999999996E-2</v>
      </c>
      <c r="M27" s="72" t="s">
        <v>37</v>
      </c>
      <c r="N27" s="67">
        <v>0.221</v>
      </c>
      <c r="O27" s="67">
        <v>112.3</v>
      </c>
      <c r="P27" s="86">
        <f t="shared" si="16"/>
        <v>0.15383561643835617</v>
      </c>
      <c r="Q27" s="67">
        <f t="shared" si="17"/>
        <v>1145.4599999999998</v>
      </c>
      <c r="R27" s="76">
        <f t="shared" si="18"/>
        <v>0.13076027397260273</v>
      </c>
      <c r="S27" s="67"/>
      <c r="T27" s="67"/>
      <c r="U27" s="67"/>
      <c r="V27" s="67"/>
      <c r="W27" s="67"/>
      <c r="AA27"/>
      <c r="AB27"/>
      <c r="AC27"/>
      <c r="AD27"/>
      <c r="AE27"/>
      <c r="AF27"/>
      <c r="AG27"/>
      <c r="AH27"/>
    </row>
    <row r="28" spans="1:34">
      <c r="A28" s="18" t="s">
        <v>38</v>
      </c>
      <c r="B28" s="18" t="s">
        <v>61</v>
      </c>
      <c r="C28" s="8">
        <v>0.186</v>
      </c>
      <c r="D28" s="5">
        <v>103.37</v>
      </c>
      <c r="E28" s="5">
        <f t="shared" si="13"/>
        <v>0.14160273972602741</v>
      </c>
      <c r="F28" s="5">
        <v>1033.68</v>
      </c>
      <c r="G28" s="11">
        <f t="shared" si="14"/>
        <v>0.11800000000000001</v>
      </c>
      <c r="H28" s="62">
        <f t="shared" si="19"/>
        <v>0.13019999999999998</v>
      </c>
      <c r="I28" s="62">
        <f t="shared" si="20"/>
        <v>72.358999999999995</v>
      </c>
      <c r="J28" s="62">
        <f t="shared" si="21"/>
        <v>9.9121917808219176E-2</v>
      </c>
      <c r="K28" s="62">
        <f t="shared" si="22"/>
        <v>723.57600000000002</v>
      </c>
      <c r="L28" s="62">
        <f t="shared" si="23"/>
        <v>8.2600000000000007E-2</v>
      </c>
      <c r="M28" s="87"/>
      <c r="N28" s="88"/>
      <c r="O28" s="89"/>
      <c r="P28" s="86"/>
      <c r="Q28" s="67"/>
      <c r="R28" s="76"/>
      <c r="S28" s="88"/>
      <c r="T28" s="90"/>
      <c r="U28" s="88"/>
      <c r="V28" s="85"/>
      <c r="W28" s="85"/>
      <c r="AA28"/>
      <c r="AB28"/>
      <c r="AC28"/>
      <c r="AD28"/>
      <c r="AE28"/>
      <c r="AF28"/>
      <c r="AG28"/>
      <c r="AH28"/>
    </row>
    <row r="29" spans="1:34">
      <c r="A29" s="18" t="s">
        <v>38</v>
      </c>
      <c r="B29" s="18" t="s">
        <v>39</v>
      </c>
      <c r="C29" s="5">
        <v>0.22800000000000001</v>
      </c>
      <c r="D29" s="5">
        <v>120.89</v>
      </c>
      <c r="E29" s="5">
        <f t="shared" si="13"/>
        <v>0.1656027397260274</v>
      </c>
      <c r="F29" s="5">
        <v>1208.8800000000001</v>
      </c>
      <c r="G29" s="11">
        <f t="shared" si="14"/>
        <v>0.13800000000000001</v>
      </c>
      <c r="H29" s="62">
        <f t="shared" si="19"/>
        <v>0.15959999999999999</v>
      </c>
      <c r="I29" s="62">
        <f t="shared" si="20"/>
        <v>84.62299999999999</v>
      </c>
      <c r="J29" s="62">
        <f t="shared" si="21"/>
        <v>0.11592191780821917</v>
      </c>
      <c r="K29" s="62">
        <f t="shared" si="22"/>
        <v>846.21600000000001</v>
      </c>
      <c r="L29" s="62">
        <f t="shared" si="23"/>
        <v>9.6600000000000005E-2</v>
      </c>
      <c r="M29" s="72" t="s">
        <v>40</v>
      </c>
      <c r="N29" s="67">
        <v>0.24</v>
      </c>
      <c r="O29" s="67">
        <v>113.44</v>
      </c>
      <c r="P29" s="86">
        <f t="shared" ref="P29" si="24">O29/$F$1</f>
        <v>0.1553972602739726</v>
      </c>
      <c r="Q29" s="67">
        <f t="shared" ref="Q29" si="25">O29*12*0.85</f>
        <v>1157.088</v>
      </c>
      <c r="R29" s="76">
        <f t="shared" ref="R29" si="26">Q29/$F$2</f>
        <v>0.13208767123287671</v>
      </c>
      <c r="S29" s="67">
        <v>1157.0899999999999</v>
      </c>
      <c r="T29" s="85">
        <f>S29/$F$2</f>
        <v>0.13208789954337899</v>
      </c>
      <c r="U29" s="67">
        <v>2246.11</v>
      </c>
      <c r="V29" s="85">
        <f t="shared" ref="V29" si="27">U29/3</f>
        <v>748.70333333333338</v>
      </c>
      <c r="W29" s="85">
        <f t="shared" ref="W29" si="28">V29/$F$2</f>
        <v>8.5468417047184178E-2</v>
      </c>
      <c r="AA29"/>
      <c r="AB29"/>
      <c r="AC29"/>
      <c r="AD29"/>
      <c r="AE29"/>
      <c r="AF29"/>
      <c r="AG29"/>
      <c r="AH29"/>
    </row>
    <row r="30" spans="1:34">
      <c r="A30" s="18" t="s">
        <v>144</v>
      </c>
      <c r="B30" s="18" t="s">
        <v>39</v>
      </c>
      <c r="C30" s="5">
        <v>4.5600000000000002E-2</v>
      </c>
      <c r="D30" s="5"/>
      <c r="E30" s="5"/>
      <c r="F30" s="5"/>
      <c r="G30" s="11"/>
      <c r="H30" s="62">
        <f t="shared" si="19"/>
        <v>3.1919999999999997E-2</v>
      </c>
      <c r="I30" s="62">
        <f t="shared" si="20"/>
        <v>0</v>
      </c>
      <c r="J30" s="62">
        <f t="shared" si="21"/>
        <v>0</v>
      </c>
      <c r="K30" s="62">
        <f t="shared" si="22"/>
        <v>0</v>
      </c>
      <c r="L30" s="62">
        <f t="shared" si="23"/>
        <v>0</v>
      </c>
      <c r="M30" s="72" t="s">
        <v>146</v>
      </c>
      <c r="N30" s="88">
        <v>4.8000000000000001E-2</v>
      </c>
      <c r="O30" s="67"/>
      <c r="P30" s="86"/>
      <c r="Q30" s="67"/>
      <c r="R30" s="76"/>
      <c r="S30" s="67"/>
      <c r="T30" s="85"/>
      <c r="U30" s="67"/>
      <c r="V30" s="85"/>
      <c r="W30" s="85"/>
      <c r="AA30"/>
      <c r="AB30"/>
      <c r="AC30"/>
      <c r="AD30"/>
      <c r="AE30"/>
      <c r="AF30"/>
      <c r="AG30"/>
      <c r="AH30"/>
    </row>
    <row r="31" spans="1:34">
      <c r="A31" s="18" t="s">
        <v>38</v>
      </c>
      <c r="B31" s="18" t="s">
        <v>41</v>
      </c>
      <c r="C31" s="5">
        <v>0.91200000000000003</v>
      </c>
      <c r="D31" s="5">
        <v>483.55</v>
      </c>
      <c r="E31" s="5">
        <f t="shared" ref="E31:E37" si="29">D31/$F$1</f>
        <v>0.66239726027397261</v>
      </c>
      <c r="F31" s="5">
        <v>4835.5200000000004</v>
      </c>
      <c r="G31" s="11">
        <f t="shared" ref="G31:G37" si="30">F31/$F$2</f>
        <v>0.55200000000000005</v>
      </c>
      <c r="H31" s="62">
        <f t="shared" si="19"/>
        <v>0.63839999999999997</v>
      </c>
      <c r="I31" s="62">
        <f t="shared" si="20"/>
        <v>338.48500000000001</v>
      </c>
      <c r="J31" s="62">
        <f t="shared" si="21"/>
        <v>0.4636780821917808</v>
      </c>
      <c r="K31" s="62">
        <f t="shared" si="22"/>
        <v>3384.864</v>
      </c>
      <c r="L31" s="62">
        <f t="shared" si="23"/>
        <v>0.38640000000000002</v>
      </c>
      <c r="M31" s="87" t="s">
        <v>43</v>
      </c>
      <c r="N31" s="67">
        <v>0.96</v>
      </c>
      <c r="O31" s="67">
        <v>453.76</v>
      </c>
      <c r="P31" s="86">
        <f t="shared" si="16"/>
        <v>0.62158904109589042</v>
      </c>
      <c r="Q31" s="67">
        <f t="shared" si="17"/>
        <v>4628.3519999999999</v>
      </c>
      <c r="R31" s="76">
        <f t="shared" si="18"/>
        <v>0.52835068493150683</v>
      </c>
      <c r="S31" s="67">
        <v>4628.3500000000004</v>
      </c>
      <c r="T31" s="85">
        <f>S31/$F$2</f>
        <v>0.52835045662100466</v>
      </c>
      <c r="U31" s="67">
        <v>8984.4500000000007</v>
      </c>
      <c r="V31" s="85">
        <f t="shared" ref="V31:V33" si="31">U31/3</f>
        <v>2994.8166666666671</v>
      </c>
      <c r="W31" s="85">
        <f t="shared" ref="W31:W33" si="32">V31/$F$2</f>
        <v>0.34187404870624055</v>
      </c>
      <c r="AA31"/>
      <c r="AB31"/>
      <c r="AC31"/>
      <c r="AD31"/>
      <c r="AE31"/>
      <c r="AF31"/>
      <c r="AG31"/>
      <c r="AH31"/>
    </row>
    <row r="32" spans="1:34">
      <c r="A32" s="18" t="s">
        <v>44</v>
      </c>
      <c r="B32" s="18" t="s">
        <v>45</v>
      </c>
      <c r="C32" s="5">
        <v>0.28799999999999998</v>
      </c>
      <c r="D32" s="5">
        <v>148.91999999999999</v>
      </c>
      <c r="E32" s="5">
        <f t="shared" si="29"/>
        <v>0.20399999999999999</v>
      </c>
      <c r="F32" s="5">
        <v>1489.2</v>
      </c>
      <c r="G32" s="11">
        <f t="shared" si="30"/>
        <v>0.17</v>
      </c>
      <c r="H32" s="62">
        <f t="shared" si="19"/>
        <v>0.20159999999999997</v>
      </c>
      <c r="I32" s="62">
        <f t="shared" si="20"/>
        <v>104.24399999999999</v>
      </c>
      <c r="J32" s="62">
        <f t="shared" si="21"/>
        <v>0.14279999999999998</v>
      </c>
      <c r="K32" s="62">
        <f t="shared" si="22"/>
        <v>1042.44</v>
      </c>
      <c r="L32" s="62">
        <f t="shared" si="23"/>
        <v>0.11899999999999999</v>
      </c>
      <c r="M32" s="72" t="s">
        <v>47</v>
      </c>
      <c r="N32" s="67">
        <v>0.29399999999999998</v>
      </c>
      <c r="O32" s="67">
        <v>135.94</v>
      </c>
      <c r="P32" s="86">
        <f t="shared" si="16"/>
        <v>0.18621917808219177</v>
      </c>
      <c r="Q32" s="67">
        <f t="shared" si="17"/>
        <v>1386.588</v>
      </c>
      <c r="R32" s="76">
        <f t="shared" si="18"/>
        <v>0.15828630136986302</v>
      </c>
      <c r="S32" s="67">
        <v>1386.59</v>
      </c>
      <c r="T32" s="85">
        <f>S32/$F$2</f>
        <v>0.1582865296803653</v>
      </c>
      <c r="U32" s="67">
        <v>2691.61</v>
      </c>
      <c r="V32" s="85">
        <f t="shared" si="31"/>
        <v>897.20333333333338</v>
      </c>
      <c r="W32" s="85">
        <f t="shared" si="32"/>
        <v>0.10242047184170472</v>
      </c>
      <c r="AA32"/>
      <c r="AB32"/>
      <c r="AC32"/>
      <c r="AD32"/>
      <c r="AE32"/>
      <c r="AF32"/>
      <c r="AG32"/>
      <c r="AH32"/>
    </row>
    <row r="33" spans="1:34">
      <c r="A33" s="18" t="s">
        <v>44</v>
      </c>
      <c r="B33" s="18" t="s">
        <v>48</v>
      </c>
      <c r="C33" s="5">
        <v>1.1519999999999999</v>
      </c>
      <c r="D33" s="5">
        <v>595.67999999999995</v>
      </c>
      <c r="E33" s="5">
        <f t="shared" si="29"/>
        <v>0.81599999999999995</v>
      </c>
      <c r="F33" s="5">
        <v>5956.8</v>
      </c>
      <c r="G33" s="11">
        <f t="shared" si="30"/>
        <v>0.68</v>
      </c>
      <c r="H33" s="62">
        <f t="shared" si="19"/>
        <v>0.80639999999999989</v>
      </c>
      <c r="I33" s="62">
        <f t="shared" si="20"/>
        <v>416.97599999999994</v>
      </c>
      <c r="J33" s="62">
        <f t="shared" si="21"/>
        <v>0.57119999999999993</v>
      </c>
      <c r="K33" s="62">
        <f t="shared" si="22"/>
        <v>4169.76</v>
      </c>
      <c r="L33" s="62">
        <f t="shared" si="23"/>
        <v>0.47599999999999998</v>
      </c>
      <c r="M33" s="72" t="s">
        <v>49</v>
      </c>
      <c r="N33" s="67">
        <v>1.1759999999999999</v>
      </c>
      <c r="O33" s="67">
        <v>543.76</v>
      </c>
      <c r="P33" s="86">
        <f t="shared" si="16"/>
        <v>0.74487671232876707</v>
      </c>
      <c r="Q33" s="67">
        <f t="shared" si="17"/>
        <v>5546.3519999999999</v>
      </c>
      <c r="R33" s="76">
        <f t="shared" si="18"/>
        <v>0.63314520547945208</v>
      </c>
      <c r="S33" s="67">
        <v>5546.35</v>
      </c>
      <c r="T33" s="85">
        <f>S33/$F$2</f>
        <v>0.6331449771689498</v>
      </c>
      <c r="U33" s="67">
        <v>10766.45</v>
      </c>
      <c r="V33" s="85">
        <f t="shared" si="31"/>
        <v>3588.8166666666671</v>
      </c>
      <c r="W33" s="85">
        <f t="shared" si="32"/>
        <v>0.40968226788432272</v>
      </c>
      <c r="AA33"/>
      <c r="AB33"/>
      <c r="AC33"/>
      <c r="AD33"/>
      <c r="AE33"/>
      <c r="AF33"/>
      <c r="AG33"/>
      <c r="AH33"/>
    </row>
    <row r="34" spans="1:34">
      <c r="A34" s="18" t="s">
        <v>50</v>
      </c>
      <c r="B34" s="18" t="s">
        <v>51</v>
      </c>
      <c r="C34" s="5">
        <v>4.9000000000000004</v>
      </c>
      <c r="D34" s="5">
        <v>2822.7</v>
      </c>
      <c r="E34" s="5">
        <f t="shared" si="29"/>
        <v>3.866712328767123</v>
      </c>
      <c r="F34" s="5">
        <v>28227</v>
      </c>
      <c r="G34" s="11">
        <f t="shared" si="30"/>
        <v>3.2222602739726027</v>
      </c>
      <c r="H34" s="62">
        <f t="shared" si="19"/>
        <v>3.43</v>
      </c>
      <c r="I34" s="62">
        <f t="shared" si="20"/>
        <v>1975.8899999999996</v>
      </c>
      <c r="J34" s="62">
        <f t="shared" si="21"/>
        <v>2.706698630136986</v>
      </c>
      <c r="K34" s="62">
        <f t="shared" si="22"/>
        <v>19758.899999999998</v>
      </c>
      <c r="L34" s="62">
        <f t="shared" si="23"/>
        <v>2.2555821917808219</v>
      </c>
      <c r="M34" s="72"/>
      <c r="N34" s="67"/>
      <c r="O34" s="67"/>
      <c r="P34" s="67"/>
      <c r="Q34" s="67"/>
      <c r="R34" s="67"/>
      <c r="S34" s="67"/>
      <c r="T34" s="67"/>
      <c r="U34" s="67"/>
      <c r="V34" s="67"/>
      <c r="W34" s="67"/>
      <c r="AA34"/>
      <c r="AB34"/>
      <c r="AC34"/>
      <c r="AD34"/>
      <c r="AE34"/>
      <c r="AF34"/>
      <c r="AG34"/>
      <c r="AH34"/>
    </row>
    <row r="35" spans="1:34">
      <c r="A35" s="18" t="s">
        <v>52</v>
      </c>
      <c r="B35" s="18" t="s">
        <v>53</v>
      </c>
      <c r="C35" s="8">
        <v>1.1579999999999999</v>
      </c>
      <c r="D35" s="5">
        <v>596.5</v>
      </c>
      <c r="E35" s="5">
        <f t="shared" si="29"/>
        <v>0.81712328767123288</v>
      </c>
      <c r="F35" s="5">
        <v>5965</v>
      </c>
      <c r="G35" s="11">
        <f t="shared" si="30"/>
        <v>0.68093607305936077</v>
      </c>
      <c r="H35" s="62">
        <f t="shared" si="19"/>
        <v>0.81059999999999988</v>
      </c>
      <c r="I35" s="62">
        <f t="shared" si="20"/>
        <v>417.54999999999995</v>
      </c>
      <c r="J35" s="62">
        <f t="shared" si="21"/>
        <v>0.57198630136986295</v>
      </c>
      <c r="K35" s="62">
        <f t="shared" si="22"/>
        <v>4175.5</v>
      </c>
      <c r="L35" s="62">
        <f t="shared" si="23"/>
        <v>0.47665525114155249</v>
      </c>
      <c r="M35" s="72" t="s">
        <v>54</v>
      </c>
      <c r="N35" s="67">
        <v>1.5149999999999999</v>
      </c>
      <c r="O35" s="67">
        <v>727</v>
      </c>
      <c r="P35" s="86">
        <f t="shared" si="16"/>
        <v>0.99589041095890407</v>
      </c>
      <c r="Q35" s="67">
        <f t="shared" si="17"/>
        <v>7415.4</v>
      </c>
      <c r="R35" s="76">
        <f t="shared" si="18"/>
        <v>0.84650684931506848</v>
      </c>
      <c r="S35" s="67"/>
      <c r="T35" s="67"/>
      <c r="U35" s="67"/>
      <c r="V35" s="67"/>
      <c r="W35" s="67"/>
      <c r="AA35"/>
      <c r="AB35"/>
      <c r="AC35"/>
      <c r="AD35"/>
      <c r="AE35"/>
      <c r="AF35"/>
      <c r="AG35"/>
      <c r="AH35"/>
    </row>
    <row r="36" spans="1:34">
      <c r="A36" s="18" t="s">
        <v>52</v>
      </c>
      <c r="B36" s="18" t="s">
        <v>55</v>
      </c>
      <c r="C36" s="5">
        <v>3.9980000000000002</v>
      </c>
      <c r="D36" s="5">
        <v>2168</v>
      </c>
      <c r="E36" s="5">
        <f t="shared" si="29"/>
        <v>2.9698630136986299</v>
      </c>
      <c r="F36" s="5">
        <v>21680</v>
      </c>
      <c r="G36" s="11">
        <f t="shared" si="30"/>
        <v>2.4748858447488584</v>
      </c>
      <c r="H36" s="62">
        <f t="shared" si="19"/>
        <v>2.7986</v>
      </c>
      <c r="I36" s="62">
        <f t="shared" si="20"/>
        <v>1517.6</v>
      </c>
      <c r="J36" s="62">
        <f t="shared" si="21"/>
        <v>2.078904109589041</v>
      </c>
      <c r="K36" s="62">
        <f t="shared" si="22"/>
        <v>15175.999999999998</v>
      </c>
      <c r="L36" s="62">
        <f t="shared" si="23"/>
        <v>1.7324200913242007</v>
      </c>
      <c r="M36" s="72"/>
      <c r="N36" s="67"/>
      <c r="O36" s="67"/>
      <c r="P36" s="67"/>
      <c r="Q36" s="67"/>
      <c r="R36" s="67"/>
      <c r="S36" s="67"/>
      <c r="T36" s="67"/>
      <c r="U36" s="67"/>
      <c r="V36" s="67"/>
      <c r="W36" s="67"/>
      <c r="AA36"/>
      <c r="AB36"/>
      <c r="AC36"/>
      <c r="AD36"/>
      <c r="AE36"/>
      <c r="AF36"/>
      <c r="AG36"/>
      <c r="AH36"/>
    </row>
    <row r="37" spans="1:34">
      <c r="A37" s="18" t="s">
        <v>56</v>
      </c>
      <c r="B37" s="18" t="s">
        <v>57</v>
      </c>
      <c r="C37" s="5">
        <v>4.0223000000000004</v>
      </c>
      <c r="D37" s="5">
        <v>2303.1799999999998</v>
      </c>
      <c r="E37" s="5">
        <f t="shared" si="29"/>
        <v>3.1550410958904109</v>
      </c>
      <c r="F37" s="5">
        <v>23031.8</v>
      </c>
      <c r="G37" s="11">
        <f t="shared" si="30"/>
        <v>2.6292009132420091</v>
      </c>
      <c r="H37" s="62">
        <f t="shared" si="19"/>
        <v>2.8156099999999999</v>
      </c>
      <c r="I37" s="62">
        <f t="shared" si="20"/>
        <v>1612.2259999999999</v>
      </c>
      <c r="J37" s="62">
        <f t="shared" si="21"/>
        <v>2.2085287671232874</v>
      </c>
      <c r="K37" s="62">
        <f t="shared" si="22"/>
        <v>16122.259999999998</v>
      </c>
      <c r="L37" s="62">
        <f t="shared" si="23"/>
        <v>1.8404406392694062</v>
      </c>
      <c r="M37" s="72"/>
      <c r="N37" s="67"/>
      <c r="O37" s="67"/>
      <c r="P37" s="67"/>
      <c r="Q37" s="67"/>
      <c r="R37" s="67"/>
      <c r="S37" s="67"/>
      <c r="T37" s="67"/>
      <c r="U37" s="67"/>
      <c r="V37" s="67"/>
      <c r="W37" s="67"/>
      <c r="AA37"/>
      <c r="AB37"/>
      <c r="AC37"/>
      <c r="AD37"/>
      <c r="AE37"/>
      <c r="AF37"/>
      <c r="AG37"/>
      <c r="AH37"/>
    </row>
    <row r="38" spans="1:34">
      <c r="A38" s="18" t="s">
        <v>58</v>
      </c>
      <c r="B38" s="18"/>
      <c r="C38" s="11"/>
      <c r="D38" s="30"/>
      <c r="E38" s="30"/>
      <c r="F38" s="30"/>
      <c r="G38" s="30"/>
      <c r="H38" s="62">
        <f t="shared" si="19"/>
        <v>0</v>
      </c>
      <c r="I38" s="62">
        <f t="shared" si="20"/>
        <v>0</v>
      </c>
      <c r="J38" s="62">
        <f t="shared" si="21"/>
        <v>0</v>
      </c>
      <c r="K38" s="62">
        <f t="shared" si="22"/>
        <v>0</v>
      </c>
      <c r="L38" s="62">
        <f t="shared" si="23"/>
        <v>0</v>
      </c>
      <c r="M38" s="72"/>
      <c r="N38" s="70"/>
      <c r="O38" s="81"/>
      <c r="P38" s="81"/>
      <c r="Q38" s="81"/>
      <c r="R38" s="81"/>
      <c r="S38" s="81"/>
      <c r="T38" s="81"/>
      <c r="U38" s="81"/>
      <c r="V38" s="81"/>
      <c r="W38" s="76"/>
      <c r="AA38"/>
      <c r="AB38"/>
      <c r="AC38"/>
      <c r="AD38"/>
      <c r="AE38"/>
      <c r="AF38"/>
      <c r="AG38"/>
      <c r="AH38"/>
    </row>
    <row r="39" spans="1:34">
      <c r="A39" s="19" t="s">
        <v>62</v>
      </c>
      <c r="B39" s="19" t="s">
        <v>25</v>
      </c>
      <c r="C39" s="37" t="s">
        <v>62</v>
      </c>
      <c r="D39" s="38"/>
      <c r="E39" s="38"/>
      <c r="F39" s="38"/>
      <c r="G39" s="38"/>
      <c r="H39" s="37" t="s">
        <v>62</v>
      </c>
      <c r="I39" s="38"/>
      <c r="J39" s="38"/>
      <c r="K39" s="38"/>
      <c r="L39" s="38"/>
      <c r="M39" s="26" t="s">
        <v>63</v>
      </c>
      <c r="N39" s="41" t="s">
        <v>63</v>
      </c>
      <c r="O39" s="42"/>
      <c r="P39" s="42"/>
      <c r="Q39" s="42"/>
      <c r="R39" s="42"/>
      <c r="S39" s="42"/>
      <c r="T39" s="42"/>
      <c r="U39" s="42"/>
      <c r="V39" s="42"/>
      <c r="W39" s="42"/>
      <c r="AA39"/>
      <c r="AB39"/>
      <c r="AC39"/>
      <c r="AD39"/>
      <c r="AE39"/>
      <c r="AF39"/>
      <c r="AG39"/>
      <c r="AH39"/>
    </row>
    <row r="40" spans="1:34">
      <c r="A40" s="65" t="s">
        <v>64</v>
      </c>
      <c r="B40" s="65" t="s">
        <v>65</v>
      </c>
      <c r="C40" s="66">
        <f>0.0001*200</f>
        <v>0.02</v>
      </c>
      <c r="D40" s="67">
        <f>0.073*200</f>
        <v>14.6</v>
      </c>
      <c r="E40" s="62">
        <f t="shared" ref="E40:E44" si="33">D40/$F$1</f>
        <v>0.02</v>
      </c>
      <c r="F40" s="67">
        <f>0.73*200</f>
        <v>146</v>
      </c>
      <c r="G40" s="63">
        <f t="shared" ref="G40:G44" si="34">F40/$F$2</f>
        <v>1.6666666666666666E-2</v>
      </c>
      <c r="H40" s="62">
        <f>C40*0.7</f>
        <v>1.3999999999999999E-2</v>
      </c>
      <c r="I40" s="62">
        <f t="shared" ref="I40:L40" si="35">D40*0.7</f>
        <v>10.219999999999999</v>
      </c>
      <c r="J40" s="62">
        <f t="shared" si="35"/>
        <v>1.3999999999999999E-2</v>
      </c>
      <c r="K40" s="62">
        <f t="shared" si="35"/>
        <v>102.19999999999999</v>
      </c>
      <c r="L40" s="62">
        <f t="shared" si="35"/>
        <v>1.1666666666666665E-2</v>
      </c>
      <c r="M40" s="80" t="s">
        <v>66</v>
      </c>
      <c r="N40" s="66">
        <f>0.01*2</f>
        <v>0.02</v>
      </c>
      <c r="O40" s="67">
        <f>5.1*2</f>
        <v>10.199999999999999</v>
      </c>
      <c r="P40" s="67">
        <f t="shared" ref="P40:P44" si="36">O40/$F$1</f>
        <v>1.3972602739726026E-2</v>
      </c>
      <c r="Q40" s="67">
        <f t="shared" ref="Q40:Q44" si="37">O40*12*0.85</f>
        <v>104.03999999999999</v>
      </c>
      <c r="R40" s="76">
        <f t="shared" ref="R40:R44" si="38">Q40/$F$2</f>
        <v>1.1876712328767122E-2</v>
      </c>
      <c r="S40" s="67"/>
      <c r="T40" s="67"/>
      <c r="U40" s="67"/>
      <c r="V40" s="67"/>
      <c r="W40" s="67"/>
      <c r="AA40"/>
      <c r="AB40"/>
      <c r="AC40"/>
      <c r="AD40"/>
      <c r="AE40"/>
      <c r="AF40"/>
      <c r="AG40"/>
      <c r="AH40"/>
    </row>
    <row r="41" spans="1:34">
      <c r="A41" s="65" t="s">
        <v>64</v>
      </c>
      <c r="B41" s="65" t="s">
        <v>67</v>
      </c>
      <c r="C41" s="66">
        <f>0.0001*1024</f>
        <v>0.1024</v>
      </c>
      <c r="D41" s="67">
        <f>0.073*1024</f>
        <v>74.751999999999995</v>
      </c>
      <c r="E41" s="62">
        <f t="shared" si="33"/>
        <v>0.10239999999999999</v>
      </c>
      <c r="F41" s="67">
        <f>0.73*1024</f>
        <v>747.52</v>
      </c>
      <c r="G41" s="63">
        <f t="shared" si="34"/>
        <v>8.533333333333333E-2</v>
      </c>
      <c r="H41" s="62">
        <f t="shared" ref="H41:H45" si="39">C41*0.7</f>
        <v>7.1679999999999994E-2</v>
      </c>
      <c r="I41" s="62">
        <f t="shared" ref="I41:I45" si="40">D41*0.7</f>
        <v>52.326399999999992</v>
      </c>
      <c r="J41" s="62">
        <f t="shared" ref="J41:J45" si="41">E41*0.7</f>
        <v>7.1679999999999994E-2</v>
      </c>
      <c r="K41" s="62">
        <f t="shared" ref="K41:K45" si="42">F41*0.7</f>
        <v>523.26400000000001</v>
      </c>
      <c r="L41" s="62">
        <f t="shared" ref="L41:L45" si="43">G41*0.7</f>
        <v>5.9733333333333326E-2</v>
      </c>
      <c r="M41" s="80" t="s">
        <v>66</v>
      </c>
      <c r="N41" s="66">
        <f>0.01/100*1024</f>
        <v>0.1024</v>
      </c>
      <c r="O41" s="67">
        <f>5.1/100*1024</f>
        <v>52.223999999999997</v>
      </c>
      <c r="P41" s="67">
        <f t="shared" si="36"/>
        <v>7.1539726027397249E-2</v>
      </c>
      <c r="Q41" s="67">
        <f t="shared" si="37"/>
        <v>532.6848</v>
      </c>
      <c r="R41" s="76">
        <f t="shared" si="38"/>
        <v>6.0808767123287671E-2</v>
      </c>
      <c r="S41" s="67"/>
      <c r="T41" s="67"/>
      <c r="U41" s="67"/>
      <c r="V41" s="67"/>
      <c r="W41" s="67"/>
      <c r="AA41"/>
      <c r="AB41"/>
      <c r="AC41"/>
      <c r="AD41"/>
      <c r="AE41"/>
      <c r="AF41"/>
      <c r="AG41"/>
      <c r="AH41"/>
    </row>
    <row r="42" spans="1:34">
      <c r="A42" s="65" t="s">
        <v>68</v>
      </c>
      <c r="B42" s="65" t="s">
        <v>65</v>
      </c>
      <c r="C42" s="66">
        <f>0.00016*200</f>
        <v>3.2000000000000001E-2</v>
      </c>
      <c r="D42" s="67">
        <f>0.12*200</f>
        <v>24</v>
      </c>
      <c r="E42" s="62">
        <f t="shared" si="33"/>
        <v>3.287671232876712E-2</v>
      </c>
      <c r="F42" s="67">
        <f>1.2*200</f>
        <v>240</v>
      </c>
      <c r="G42" s="63">
        <f t="shared" si="34"/>
        <v>2.7397260273972601E-2</v>
      </c>
      <c r="H42" s="62">
        <f t="shared" si="39"/>
        <v>2.24E-2</v>
      </c>
      <c r="I42" s="62">
        <f t="shared" si="40"/>
        <v>16.799999999999997</v>
      </c>
      <c r="J42" s="62">
        <f t="shared" si="41"/>
        <v>2.3013698630136983E-2</v>
      </c>
      <c r="K42" s="62">
        <f t="shared" si="42"/>
        <v>168</v>
      </c>
      <c r="L42" s="62">
        <f t="shared" si="43"/>
        <v>1.9178082191780819E-2</v>
      </c>
      <c r="M42" s="80" t="s">
        <v>69</v>
      </c>
      <c r="N42" s="66">
        <f>0.03*2</f>
        <v>0.06</v>
      </c>
      <c r="O42" s="67">
        <f>18.7*2</f>
        <v>37.4</v>
      </c>
      <c r="P42" s="67">
        <f t="shared" si="36"/>
        <v>5.1232876712328762E-2</v>
      </c>
      <c r="Q42" s="67">
        <f t="shared" si="37"/>
        <v>381.47999999999996</v>
      </c>
      <c r="R42" s="76">
        <f t="shared" si="38"/>
        <v>4.3547945205479451E-2</v>
      </c>
      <c r="S42" s="67"/>
      <c r="T42" s="67"/>
      <c r="U42" s="67"/>
      <c r="V42" s="67"/>
      <c r="W42" s="67"/>
      <c r="AA42"/>
      <c r="AB42"/>
      <c r="AC42"/>
      <c r="AD42"/>
      <c r="AE42"/>
      <c r="AF42"/>
      <c r="AG42"/>
      <c r="AH42"/>
    </row>
    <row r="43" spans="1:34">
      <c r="A43" s="65" t="s">
        <v>68</v>
      </c>
      <c r="B43" s="65" t="s">
        <v>67</v>
      </c>
      <c r="C43" s="66">
        <f>0.00016*1024</f>
        <v>0.16384000000000001</v>
      </c>
      <c r="D43" s="67">
        <f>0.12*1024</f>
        <v>122.88</v>
      </c>
      <c r="E43" s="62">
        <f t="shared" si="33"/>
        <v>0.16832876712328768</v>
      </c>
      <c r="F43" s="67">
        <f>1.2*1024</f>
        <v>1228.8</v>
      </c>
      <c r="G43" s="63">
        <f t="shared" si="34"/>
        <v>0.14027397260273972</v>
      </c>
      <c r="H43" s="62">
        <f t="shared" si="39"/>
        <v>0.114688</v>
      </c>
      <c r="I43" s="62">
        <f t="shared" si="40"/>
        <v>86.015999999999991</v>
      </c>
      <c r="J43" s="62">
        <f t="shared" si="41"/>
        <v>0.11783013698630136</v>
      </c>
      <c r="K43" s="62">
        <f t="shared" si="42"/>
        <v>860.16</v>
      </c>
      <c r="L43" s="62">
        <f t="shared" si="43"/>
        <v>9.819178082191779E-2</v>
      </c>
      <c r="M43" s="80" t="s">
        <v>69</v>
      </c>
      <c r="N43" s="66">
        <f>0.03/100*1024</f>
        <v>0.30719999999999997</v>
      </c>
      <c r="O43" s="67">
        <f>18.7/100*1024</f>
        <v>191.488</v>
      </c>
      <c r="P43" s="67">
        <f t="shared" si="36"/>
        <v>0.26231232876712329</v>
      </c>
      <c r="Q43" s="67">
        <f t="shared" si="37"/>
        <v>1953.1775999999998</v>
      </c>
      <c r="R43" s="76">
        <f t="shared" si="38"/>
        <v>0.22296547945205478</v>
      </c>
      <c r="S43" s="67"/>
      <c r="T43" s="67"/>
      <c r="U43" s="67"/>
      <c r="V43" s="67"/>
      <c r="W43" s="67"/>
      <c r="AA43"/>
      <c r="AB43"/>
      <c r="AC43"/>
      <c r="AD43"/>
      <c r="AE43"/>
      <c r="AF43"/>
      <c r="AG43"/>
      <c r="AH43"/>
    </row>
    <row r="44" spans="1:34">
      <c r="A44" s="65" t="s">
        <v>70</v>
      </c>
      <c r="B44" s="65" t="s">
        <v>71</v>
      </c>
      <c r="C44" s="66">
        <f>0.00028*100</f>
        <v>2.7999999999999997E-2</v>
      </c>
      <c r="D44" s="67">
        <f>0.204*100</f>
        <v>20.399999999999999</v>
      </c>
      <c r="E44" s="62">
        <f t="shared" si="33"/>
        <v>2.7945205479452052E-2</v>
      </c>
      <c r="F44" s="67">
        <f>2.04*100</f>
        <v>204</v>
      </c>
      <c r="G44" s="63">
        <f t="shared" si="34"/>
        <v>2.3287671232876714E-2</v>
      </c>
      <c r="H44" s="62">
        <f t="shared" si="39"/>
        <v>1.9599999999999996E-2</v>
      </c>
      <c r="I44" s="62">
        <f t="shared" si="40"/>
        <v>14.279999999999998</v>
      </c>
      <c r="J44" s="62">
        <f t="shared" si="41"/>
        <v>1.9561643835616434E-2</v>
      </c>
      <c r="K44" s="62">
        <f t="shared" si="42"/>
        <v>142.79999999999998</v>
      </c>
      <c r="L44" s="62">
        <f t="shared" si="43"/>
        <v>1.6301369863013698E-2</v>
      </c>
      <c r="M44" s="80" t="s">
        <v>72</v>
      </c>
      <c r="N44" s="66">
        <v>2.5000000000000001E-2</v>
      </c>
      <c r="O44" s="67">
        <v>11.2</v>
      </c>
      <c r="P44" s="82">
        <f t="shared" si="36"/>
        <v>1.5342465753424657E-2</v>
      </c>
      <c r="Q44" s="67">
        <f t="shared" si="37"/>
        <v>114.23999999999998</v>
      </c>
      <c r="R44" s="76">
        <f t="shared" si="38"/>
        <v>1.3041095890410956E-2</v>
      </c>
      <c r="S44" s="67"/>
      <c r="T44" s="67"/>
      <c r="U44" s="67"/>
      <c r="V44" s="67"/>
      <c r="W44" s="67"/>
      <c r="AA44"/>
      <c r="AB44"/>
      <c r="AC44"/>
      <c r="AD44"/>
      <c r="AE44"/>
      <c r="AF44"/>
      <c r="AG44"/>
      <c r="AH44"/>
    </row>
    <row r="45" spans="1:34">
      <c r="A45" s="65"/>
      <c r="B45" s="65"/>
      <c r="C45" s="66"/>
      <c r="D45" s="67"/>
      <c r="E45" s="62"/>
      <c r="F45" s="67"/>
      <c r="G45" s="62"/>
      <c r="H45" s="62">
        <f t="shared" si="39"/>
        <v>0</v>
      </c>
      <c r="I45" s="62">
        <f t="shared" si="40"/>
        <v>0</v>
      </c>
      <c r="J45" s="62">
        <f t="shared" si="41"/>
        <v>0</v>
      </c>
      <c r="K45" s="62">
        <f t="shared" si="42"/>
        <v>0</v>
      </c>
      <c r="L45" s="62">
        <f t="shared" si="43"/>
        <v>0</v>
      </c>
      <c r="M45" s="83"/>
      <c r="N45" s="66"/>
      <c r="O45" s="67"/>
      <c r="P45" s="82"/>
      <c r="Q45" s="67"/>
      <c r="R45" s="67"/>
      <c r="S45" s="67"/>
      <c r="T45" s="67"/>
      <c r="U45" s="67"/>
      <c r="V45" s="67"/>
      <c r="W45" s="67"/>
      <c r="AA45"/>
      <c r="AB45"/>
      <c r="AC45"/>
      <c r="AD45"/>
      <c r="AE45"/>
      <c r="AF45"/>
      <c r="AG45"/>
      <c r="AH45"/>
    </row>
    <row r="46" spans="1:34">
      <c r="A46" s="19" t="s">
        <v>73</v>
      </c>
      <c r="B46" s="19" t="s">
        <v>25</v>
      </c>
      <c r="C46" s="37" t="s">
        <v>73</v>
      </c>
      <c r="D46" s="38"/>
      <c r="E46" s="38"/>
      <c r="F46" s="38"/>
      <c r="G46" s="38"/>
      <c r="H46" s="37" t="s">
        <v>73</v>
      </c>
      <c r="I46" s="38"/>
      <c r="J46" s="38"/>
      <c r="K46" s="38"/>
      <c r="L46" s="38"/>
      <c r="M46" s="27" t="s">
        <v>73</v>
      </c>
      <c r="N46" s="43" t="s">
        <v>73</v>
      </c>
      <c r="O46" s="44"/>
      <c r="P46" s="44"/>
      <c r="Q46" s="44"/>
      <c r="R46" s="44"/>
      <c r="S46" s="44"/>
      <c r="T46" s="44"/>
      <c r="U46" s="44"/>
      <c r="V46" s="44"/>
      <c r="W46" s="44"/>
      <c r="AA46"/>
      <c r="AB46"/>
      <c r="AC46"/>
      <c r="AD46"/>
      <c r="AE46"/>
      <c r="AF46"/>
      <c r="AG46"/>
      <c r="AH46"/>
    </row>
    <row r="47" spans="1:34">
      <c r="A47" s="65" t="s">
        <v>74</v>
      </c>
      <c r="B47" s="65" t="s">
        <v>75</v>
      </c>
      <c r="C47" s="62"/>
      <c r="D47" s="67">
        <v>1171.01</v>
      </c>
      <c r="E47" s="62"/>
      <c r="F47" s="62"/>
      <c r="G47" s="62">
        <f t="shared" ref="G47:G55" si="44">F47/$F$2</f>
        <v>0</v>
      </c>
      <c r="H47" s="62">
        <f>C47*0.7</f>
        <v>0</v>
      </c>
      <c r="I47" s="62">
        <f t="shared" ref="I47:L47" si="45">D47*0.7</f>
        <v>819.70699999999999</v>
      </c>
      <c r="J47" s="62">
        <f t="shared" si="45"/>
        <v>0</v>
      </c>
      <c r="K47" s="62">
        <f t="shared" si="45"/>
        <v>0</v>
      </c>
      <c r="L47" s="62">
        <f t="shared" si="45"/>
        <v>0</v>
      </c>
      <c r="M47" s="36" t="s">
        <v>74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AA47"/>
      <c r="AB47"/>
      <c r="AC47"/>
      <c r="AD47"/>
      <c r="AE47"/>
      <c r="AF47"/>
      <c r="AG47"/>
      <c r="AH47"/>
    </row>
    <row r="48" spans="1:34">
      <c r="A48" s="65" t="s">
        <v>74</v>
      </c>
      <c r="B48" s="65" t="s">
        <v>76</v>
      </c>
      <c r="C48" s="62"/>
      <c r="D48" s="67">
        <v>16367.17</v>
      </c>
      <c r="E48" s="62"/>
      <c r="F48" s="62"/>
      <c r="G48" s="62">
        <f t="shared" si="44"/>
        <v>0</v>
      </c>
      <c r="H48" s="62">
        <f t="shared" ref="H48:H59" si="46">C48*0.7</f>
        <v>0</v>
      </c>
      <c r="I48" s="62">
        <f t="shared" ref="I48:I59" si="47">D48*0.7</f>
        <v>11457.019</v>
      </c>
      <c r="J48" s="62">
        <f t="shared" ref="J48:J59" si="48">E48*0.7</f>
        <v>0</v>
      </c>
      <c r="K48" s="62">
        <f t="shared" ref="K48:K59" si="49">F48*0.7</f>
        <v>0</v>
      </c>
      <c r="L48" s="62">
        <f t="shared" ref="L48:L59" si="50">G48*0.7</f>
        <v>0</v>
      </c>
      <c r="M48" s="36" t="s">
        <v>74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AA48"/>
      <c r="AB48"/>
      <c r="AC48"/>
      <c r="AD48"/>
      <c r="AE48"/>
      <c r="AF48"/>
      <c r="AG48"/>
      <c r="AH48"/>
    </row>
    <row r="49" spans="1:34">
      <c r="A49" s="65" t="s">
        <v>74</v>
      </c>
      <c r="B49" s="65" t="s">
        <v>77</v>
      </c>
      <c r="C49" s="62"/>
      <c r="D49" s="67">
        <v>78626.37</v>
      </c>
      <c r="E49" s="62"/>
      <c r="F49" s="62"/>
      <c r="G49" s="62">
        <f t="shared" si="44"/>
        <v>0</v>
      </c>
      <c r="H49" s="62">
        <f t="shared" si="46"/>
        <v>0</v>
      </c>
      <c r="I49" s="62">
        <f t="shared" si="47"/>
        <v>55038.458999999995</v>
      </c>
      <c r="J49" s="62">
        <f t="shared" si="48"/>
        <v>0</v>
      </c>
      <c r="K49" s="62">
        <f t="shared" si="49"/>
        <v>0</v>
      </c>
      <c r="L49" s="62">
        <f t="shared" si="50"/>
        <v>0</v>
      </c>
      <c r="M49" s="36" t="s">
        <v>74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AA49"/>
      <c r="AB49"/>
      <c r="AC49"/>
      <c r="AD49"/>
      <c r="AE49"/>
      <c r="AF49"/>
      <c r="AG49"/>
      <c r="AH49"/>
    </row>
    <row r="50" spans="1:34" ht="40.5">
      <c r="A50" s="65" t="s">
        <v>78</v>
      </c>
      <c r="B50" s="65" t="s">
        <v>79</v>
      </c>
      <c r="C50" s="67">
        <f>0.024*5</f>
        <v>0.12</v>
      </c>
      <c r="D50" s="67">
        <f>11.4*5</f>
        <v>57</v>
      </c>
      <c r="E50" s="62">
        <f t="shared" ref="E50:E55" si="51">D50/$F$1</f>
        <v>7.8082191780821916E-2</v>
      </c>
      <c r="F50" s="67">
        <f>114*5</f>
        <v>570</v>
      </c>
      <c r="G50" s="63">
        <f t="shared" si="44"/>
        <v>6.5068493150684928E-2</v>
      </c>
      <c r="H50" s="62">
        <f t="shared" si="46"/>
        <v>8.3999999999999991E-2</v>
      </c>
      <c r="I50" s="62">
        <f t="shared" si="47"/>
        <v>39.9</v>
      </c>
      <c r="J50" s="62">
        <f t="shared" si="48"/>
        <v>5.4657534246575337E-2</v>
      </c>
      <c r="K50" s="62">
        <f t="shared" si="49"/>
        <v>399</v>
      </c>
      <c r="L50" s="62">
        <f t="shared" si="50"/>
        <v>4.5547945205479445E-2</v>
      </c>
      <c r="M50" s="36" t="s">
        <v>80</v>
      </c>
      <c r="N50" s="67">
        <f>0.861/$F$3</f>
        <v>3.5874999999999997E-2</v>
      </c>
      <c r="O50" s="67">
        <v>17</v>
      </c>
      <c r="P50" s="67">
        <f t="shared" ref="P50:P52" si="52">O50/$F$1</f>
        <v>2.3287671232876714E-2</v>
      </c>
      <c r="Q50" s="67"/>
      <c r="R50" s="67"/>
      <c r="S50" s="67"/>
      <c r="T50" s="67"/>
      <c r="U50" s="67"/>
      <c r="V50" s="67"/>
      <c r="W50" s="67"/>
      <c r="AA50"/>
      <c r="AB50"/>
      <c r="AC50"/>
      <c r="AD50"/>
      <c r="AE50"/>
      <c r="AF50"/>
      <c r="AG50"/>
      <c r="AH50"/>
    </row>
    <row r="51" spans="1:34" ht="40.5">
      <c r="A51" s="65" t="s">
        <v>78</v>
      </c>
      <c r="B51" s="65" t="s">
        <v>81</v>
      </c>
      <c r="C51" s="67">
        <f>0.024*20</f>
        <v>0.48</v>
      </c>
      <c r="D51" s="67">
        <f>11.4*20</f>
        <v>228</v>
      </c>
      <c r="E51" s="62">
        <f t="shared" si="51"/>
        <v>0.31232876712328766</v>
      </c>
      <c r="F51" s="67">
        <f>114*20</f>
        <v>2280</v>
      </c>
      <c r="G51" s="63">
        <f t="shared" si="44"/>
        <v>0.26027397260273971</v>
      </c>
      <c r="H51" s="62">
        <f t="shared" si="46"/>
        <v>0.33599999999999997</v>
      </c>
      <c r="I51" s="62">
        <f t="shared" si="47"/>
        <v>159.6</v>
      </c>
      <c r="J51" s="62">
        <f t="shared" si="48"/>
        <v>0.21863013698630135</v>
      </c>
      <c r="K51" s="62">
        <f t="shared" si="49"/>
        <v>1596</v>
      </c>
      <c r="L51" s="62">
        <f t="shared" si="50"/>
        <v>0.18219178082191778</v>
      </c>
      <c r="M51" s="36" t="s">
        <v>82</v>
      </c>
      <c r="N51" s="67">
        <f>8.361/$F$3</f>
        <v>0.34837500000000005</v>
      </c>
      <c r="O51" s="67">
        <v>194.45</v>
      </c>
      <c r="P51" s="67">
        <f t="shared" si="52"/>
        <v>0.26636986301369864</v>
      </c>
      <c r="Q51" s="67"/>
      <c r="R51" s="67"/>
      <c r="S51" s="67"/>
      <c r="T51" s="67"/>
      <c r="U51" s="67"/>
      <c r="V51" s="67"/>
      <c r="W51" s="67"/>
      <c r="AA51"/>
      <c r="AB51"/>
      <c r="AC51"/>
      <c r="AD51"/>
      <c r="AE51"/>
      <c r="AF51"/>
      <c r="AG51"/>
      <c r="AH51"/>
    </row>
    <row r="52" spans="1:34" ht="40.5">
      <c r="A52" s="65" t="s">
        <v>78</v>
      </c>
      <c r="B52" s="65" t="s">
        <v>83</v>
      </c>
      <c r="C52" s="67">
        <f>0.024*200</f>
        <v>4.8</v>
      </c>
      <c r="D52" s="67">
        <f>11.4*200</f>
        <v>2280</v>
      </c>
      <c r="E52" s="62">
        <f t="shared" si="51"/>
        <v>3.1232876712328768</v>
      </c>
      <c r="F52" s="67">
        <f>114*200</f>
        <v>22800</v>
      </c>
      <c r="G52" s="63">
        <f t="shared" si="44"/>
        <v>2.6027397260273974</v>
      </c>
      <c r="H52" s="62">
        <f t="shared" si="46"/>
        <v>3.36</v>
      </c>
      <c r="I52" s="62">
        <f t="shared" si="47"/>
        <v>1596</v>
      </c>
      <c r="J52" s="62">
        <f t="shared" si="48"/>
        <v>2.1863013698630134</v>
      </c>
      <c r="K52" s="62">
        <f t="shared" si="49"/>
        <v>15959.999999999998</v>
      </c>
      <c r="L52" s="62">
        <f t="shared" si="50"/>
        <v>1.821917808219178</v>
      </c>
      <c r="M52" s="36" t="s">
        <v>84</v>
      </c>
      <c r="N52" s="67">
        <f>98.361/$F$3</f>
        <v>4.0983749999999999</v>
      </c>
      <c r="O52" s="67">
        <v>2323.85</v>
      </c>
      <c r="P52" s="67">
        <f t="shared" si="52"/>
        <v>3.1833561643835617</v>
      </c>
      <c r="Q52" s="67"/>
      <c r="R52" s="67"/>
      <c r="S52" s="67"/>
      <c r="T52" s="67"/>
      <c r="U52" s="67"/>
      <c r="V52" s="67"/>
      <c r="W52" s="67"/>
      <c r="AA52"/>
      <c r="AB52"/>
      <c r="AC52"/>
      <c r="AD52"/>
      <c r="AE52"/>
      <c r="AF52"/>
      <c r="AG52"/>
      <c r="AH52"/>
    </row>
    <row r="53" spans="1:34" ht="40.5">
      <c r="A53" s="65" t="s">
        <v>85</v>
      </c>
      <c r="B53" s="65" t="s">
        <v>79</v>
      </c>
      <c r="C53" s="67">
        <f>0.024*5</f>
        <v>0.12</v>
      </c>
      <c r="D53" s="67">
        <f>11.4*5</f>
        <v>57</v>
      </c>
      <c r="E53" s="62">
        <f t="shared" si="51"/>
        <v>7.8082191780821916E-2</v>
      </c>
      <c r="F53" s="67">
        <f>114*5</f>
        <v>570</v>
      </c>
      <c r="G53" s="63">
        <f t="shared" si="44"/>
        <v>6.5068493150684928E-2</v>
      </c>
      <c r="H53" s="62">
        <f t="shared" si="46"/>
        <v>8.3999999999999991E-2</v>
      </c>
      <c r="I53" s="62">
        <f t="shared" si="47"/>
        <v>39.9</v>
      </c>
      <c r="J53" s="62">
        <f t="shared" si="48"/>
        <v>5.4657534246575337E-2</v>
      </c>
      <c r="K53" s="62">
        <f t="shared" si="49"/>
        <v>399</v>
      </c>
      <c r="L53" s="62">
        <f t="shared" si="50"/>
        <v>4.5547945205479445E-2</v>
      </c>
      <c r="M53" s="36" t="s">
        <v>86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AA53"/>
      <c r="AB53"/>
      <c r="AC53"/>
      <c r="AD53"/>
      <c r="AE53"/>
      <c r="AF53"/>
      <c r="AG53"/>
      <c r="AH53"/>
    </row>
    <row r="54" spans="1:34" ht="40.5">
      <c r="A54" s="65" t="s">
        <v>85</v>
      </c>
      <c r="B54" s="65" t="s">
        <v>81</v>
      </c>
      <c r="C54" s="67">
        <f>0.024*20</f>
        <v>0.48</v>
      </c>
      <c r="D54" s="67">
        <f>11.4*20</f>
        <v>228</v>
      </c>
      <c r="E54" s="62">
        <f t="shared" si="51"/>
        <v>0.31232876712328766</v>
      </c>
      <c r="F54" s="67">
        <f>114*20</f>
        <v>2280</v>
      </c>
      <c r="G54" s="63">
        <f t="shared" si="44"/>
        <v>0.26027397260273971</v>
      </c>
      <c r="H54" s="62">
        <f t="shared" si="46"/>
        <v>0.33599999999999997</v>
      </c>
      <c r="I54" s="62">
        <f t="shared" si="47"/>
        <v>159.6</v>
      </c>
      <c r="J54" s="62">
        <f t="shared" si="48"/>
        <v>0.21863013698630135</v>
      </c>
      <c r="K54" s="62">
        <f t="shared" si="49"/>
        <v>1596</v>
      </c>
      <c r="L54" s="62">
        <f t="shared" si="50"/>
        <v>0.18219178082191778</v>
      </c>
      <c r="M54" s="36" t="s">
        <v>87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AA54"/>
      <c r="AB54"/>
      <c r="AC54"/>
      <c r="AD54"/>
      <c r="AE54"/>
      <c r="AF54"/>
      <c r="AG54"/>
      <c r="AH54"/>
    </row>
    <row r="55" spans="1:34" ht="40.5">
      <c r="A55" s="65" t="s">
        <v>85</v>
      </c>
      <c r="B55" s="65" t="s">
        <v>83</v>
      </c>
      <c r="C55" s="67">
        <f>0.024*200</f>
        <v>4.8</v>
      </c>
      <c r="D55" s="67">
        <f>11.4*200</f>
        <v>2280</v>
      </c>
      <c r="E55" s="62">
        <f t="shared" si="51"/>
        <v>3.1232876712328768</v>
      </c>
      <c r="F55" s="67">
        <f>114*200</f>
        <v>22800</v>
      </c>
      <c r="G55" s="63">
        <f t="shared" si="44"/>
        <v>2.6027397260273974</v>
      </c>
      <c r="H55" s="62">
        <f t="shared" si="46"/>
        <v>3.36</v>
      </c>
      <c r="I55" s="62">
        <f t="shared" si="47"/>
        <v>1596</v>
      </c>
      <c r="J55" s="62">
        <f t="shared" si="48"/>
        <v>2.1863013698630134</v>
      </c>
      <c r="K55" s="62">
        <f t="shared" si="49"/>
        <v>15959.999999999998</v>
      </c>
      <c r="L55" s="62">
        <f t="shared" si="50"/>
        <v>1.821917808219178</v>
      </c>
      <c r="M55" s="36" t="s">
        <v>88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AA55"/>
      <c r="AB55"/>
      <c r="AC55"/>
      <c r="AD55"/>
      <c r="AE55"/>
      <c r="AF55"/>
      <c r="AG55"/>
      <c r="AH55"/>
    </row>
    <row r="56" spans="1:34">
      <c r="A56" s="65"/>
      <c r="B56" s="65"/>
      <c r="C56" s="67"/>
      <c r="D56" s="67"/>
      <c r="E56" s="62"/>
      <c r="F56" s="67"/>
      <c r="G56" s="63"/>
      <c r="H56" s="62">
        <f t="shared" si="46"/>
        <v>0</v>
      </c>
      <c r="I56" s="62">
        <f t="shared" si="47"/>
        <v>0</v>
      </c>
      <c r="J56" s="62">
        <f t="shared" si="48"/>
        <v>0</v>
      </c>
      <c r="K56" s="62">
        <f t="shared" si="49"/>
        <v>0</v>
      </c>
      <c r="L56" s="62">
        <f t="shared" si="50"/>
        <v>0</v>
      </c>
      <c r="M56" s="36"/>
      <c r="N56" s="67"/>
      <c r="O56" s="67"/>
      <c r="P56" s="67"/>
      <c r="Q56" s="67"/>
      <c r="R56" s="67"/>
      <c r="S56" s="67"/>
      <c r="T56" s="67"/>
      <c r="U56" s="67"/>
      <c r="V56" s="67"/>
      <c r="W56" s="67"/>
      <c r="AA56"/>
      <c r="AB56"/>
      <c r="AC56"/>
      <c r="AD56"/>
      <c r="AE56"/>
      <c r="AF56"/>
      <c r="AG56"/>
      <c r="AH56"/>
    </row>
    <row r="57" spans="1:34">
      <c r="A57" s="65"/>
      <c r="B57" s="65"/>
      <c r="C57" s="67"/>
      <c r="D57" s="67"/>
      <c r="E57" s="62"/>
      <c r="F57" s="67"/>
      <c r="G57" s="63"/>
      <c r="H57" s="62">
        <f t="shared" si="46"/>
        <v>0</v>
      </c>
      <c r="I57" s="62">
        <f t="shared" si="47"/>
        <v>0</v>
      </c>
      <c r="J57" s="62">
        <f t="shared" si="48"/>
        <v>0</v>
      </c>
      <c r="K57" s="62">
        <f t="shared" si="49"/>
        <v>0</v>
      </c>
      <c r="L57" s="62">
        <f t="shared" si="50"/>
        <v>0</v>
      </c>
      <c r="M57" s="36"/>
      <c r="N57" s="67"/>
      <c r="O57" s="67"/>
      <c r="P57" s="67"/>
      <c r="Q57" s="67"/>
      <c r="R57" s="67"/>
      <c r="S57" s="67"/>
      <c r="T57" s="67"/>
      <c r="U57" s="67"/>
      <c r="V57" s="67"/>
      <c r="W57" s="67"/>
      <c r="AA57"/>
      <c r="AB57"/>
      <c r="AC57"/>
      <c r="AD57"/>
      <c r="AE57"/>
      <c r="AF57"/>
      <c r="AG57"/>
      <c r="AH57"/>
    </row>
    <row r="58" spans="1:34">
      <c r="A58" s="65"/>
      <c r="B58" s="65"/>
      <c r="C58" s="67"/>
      <c r="D58" s="67"/>
      <c r="E58" s="62"/>
      <c r="F58" s="67"/>
      <c r="G58" s="63"/>
      <c r="H58" s="62">
        <f t="shared" si="46"/>
        <v>0</v>
      </c>
      <c r="I58" s="62">
        <f t="shared" si="47"/>
        <v>0</v>
      </c>
      <c r="J58" s="62">
        <f t="shared" si="48"/>
        <v>0</v>
      </c>
      <c r="K58" s="62">
        <f t="shared" si="49"/>
        <v>0</v>
      </c>
      <c r="L58" s="62">
        <f t="shared" si="50"/>
        <v>0</v>
      </c>
      <c r="M58" s="36"/>
      <c r="N58" s="67"/>
      <c r="O58" s="67"/>
      <c r="P58" s="67"/>
      <c r="Q58" s="67"/>
      <c r="R58" s="67"/>
      <c r="S58" s="67"/>
      <c r="T58" s="67"/>
      <c r="U58" s="67"/>
      <c r="V58" s="67"/>
      <c r="W58" s="67"/>
      <c r="AA58"/>
      <c r="AB58"/>
      <c r="AC58"/>
      <c r="AD58"/>
      <c r="AE58"/>
      <c r="AF58"/>
      <c r="AG58"/>
      <c r="AH58"/>
    </row>
    <row r="59" spans="1:34">
      <c r="A59" s="65" t="s">
        <v>73</v>
      </c>
      <c r="B59" s="65" t="s">
        <v>89</v>
      </c>
      <c r="C59" s="67">
        <f>0.005*10</f>
        <v>0.05</v>
      </c>
      <c r="D59" s="67">
        <v>0</v>
      </c>
      <c r="E59" s="62">
        <f t="shared" ref="E59" si="53">D59/$F$1</f>
        <v>0</v>
      </c>
      <c r="F59" s="67">
        <v>0</v>
      </c>
      <c r="G59" s="63">
        <f t="shared" ref="G59" si="54">F59/$F$2</f>
        <v>0</v>
      </c>
      <c r="H59" s="62">
        <f t="shared" si="46"/>
        <v>3.4999999999999996E-2</v>
      </c>
      <c r="I59" s="62">
        <f t="shared" si="47"/>
        <v>0</v>
      </c>
      <c r="J59" s="62">
        <f t="shared" si="48"/>
        <v>0</v>
      </c>
      <c r="K59" s="62">
        <f t="shared" si="49"/>
        <v>0</v>
      </c>
      <c r="L59" s="62">
        <f t="shared" si="50"/>
        <v>0</v>
      </c>
      <c r="M59" s="36" t="s">
        <v>73</v>
      </c>
      <c r="N59" s="67">
        <f>0.003*10</f>
        <v>0.03</v>
      </c>
      <c r="O59" s="67"/>
      <c r="P59" s="67"/>
      <c r="Q59" s="67"/>
      <c r="R59" s="67"/>
      <c r="S59" s="67"/>
      <c r="T59" s="67"/>
      <c r="U59" s="67"/>
      <c r="V59" s="67"/>
      <c r="W59" s="67"/>
      <c r="AA59"/>
      <c r="AB59"/>
      <c r="AC59"/>
      <c r="AD59"/>
      <c r="AE59"/>
      <c r="AF59"/>
      <c r="AG59"/>
      <c r="AH59"/>
    </row>
    <row r="60" spans="1:34">
      <c r="A60" s="19" t="s">
        <v>90</v>
      </c>
      <c r="B60" s="19" t="s">
        <v>25</v>
      </c>
      <c r="C60" s="56" t="s">
        <v>90</v>
      </c>
      <c r="D60" s="57"/>
      <c r="E60" s="57"/>
      <c r="F60" s="57"/>
      <c r="G60" s="57"/>
      <c r="H60" s="56" t="s">
        <v>90</v>
      </c>
      <c r="I60" s="57"/>
      <c r="J60" s="57"/>
      <c r="K60" s="57"/>
      <c r="L60" s="57"/>
      <c r="M60" s="27" t="s">
        <v>90</v>
      </c>
      <c r="N60" s="41" t="s">
        <v>90</v>
      </c>
      <c r="O60" s="42"/>
      <c r="P60" s="42"/>
      <c r="Q60" s="42"/>
      <c r="R60" s="42"/>
      <c r="S60" s="42"/>
      <c r="T60" s="42"/>
      <c r="U60" s="42"/>
      <c r="V60" s="42"/>
      <c r="W60" s="42"/>
      <c r="AA60"/>
      <c r="AB60"/>
      <c r="AC60"/>
      <c r="AD60"/>
      <c r="AE60"/>
      <c r="AF60"/>
      <c r="AG60"/>
      <c r="AH60"/>
    </row>
    <row r="61" spans="1:34">
      <c r="A61" s="18" t="s">
        <v>91</v>
      </c>
      <c r="B61" s="18" t="s">
        <v>92</v>
      </c>
      <c r="C61" s="16">
        <v>0.44500000000000001</v>
      </c>
      <c r="D61" s="13">
        <v>237.69</v>
      </c>
      <c r="E61" s="13">
        <f t="shared" ref="E61:E67" si="55">D61/$F$1</f>
        <v>0.32560273972602738</v>
      </c>
      <c r="F61" s="14">
        <v>2376.9</v>
      </c>
      <c r="G61" s="15">
        <f t="shared" ref="G61:G67" si="56">F61/$F$2</f>
        <v>0.27133561643835619</v>
      </c>
      <c r="H61" s="62">
        <f>C61*0.7</f>
        <v>0.3115</v>
      </c>
      <c r="I61" s="62">
        <f t="shared" ref="I61:L61" si="57">D61*0.7</f>
        <v>166.38299999999998</v>
      </c>
      <c r="J61" s="62">
        <f t="shared" si="57"/>
        <v>0.22792191780821916</v>
      </c>
      <c r="K61" s="62">
        <f t="shared" si="57"/>
        <v>1663.83</v>
      </c>
      <c r="L61" s="62">
        <f t="shared" si="57"/>
        <v>0.18993493150684931</v>
      </c>
      <c r="M61" s="72" t="s">
        <v>93</v>
      </c>
      <c r="N61" s="67">
        <v>0.25</v>
      </c>
      <c r="O61" s="70">
        <v>120.2</v>
      </c>
      <c r="P61" s="67">
        <f t="shared" ref="P61:P69" si="58">O61/$F$1</f>
        <v>0.16465753424657534</v>
      </c>
      <c r="Q61" s="67">
        <f t="shared" ref="Q61:Q65" si="59">O61*12*0.85</f>
        <v>1226.04</v>
      </c>
      <c r="R61" s="76">
        <f>Q61/$F$2</f>
        <v>0.13995890410958903</v>
      </c>
      <c r="S61" s="76"/>
      <c r="T61" s="76"/>
      <c r="U61" s="67">
        <f>O61*36*0.6</f>
        <v>2596.3199999999997</v>
      </c>
      <c r="V61" s="67">
        <f>U61/3</f>
        <v>865.43999999999994</v>
      </c>
      <c r="W61" s="67">
        <f>V61/$F$2</f>
        <v>9.87945205479452E-2</v>
      </c>
      <c r="AA61"/>
      <c r="AB61"/>
      <c r="AC61"/>
      <c r="AD61"/>
      <c r="AE61"/>
      <c r="AF61"/>
      <c r="AG61"/>
      <c r="AH61"/>
    </row>
    <row r="62" spans="1:34">
      <c r="A62" s="18" t="s">
        <v>91</v>
      </c>
      <c r="B62" s="18" t="s">
        <v>94</v>
      </c>
      <c r="C62" s="16">
        <v>0.88919999999999999</v>
      </c>
      <c r="D62" s="13">
        <v>475.38</v>
      </c>
      <c r="E62" s="13">
        <f t="shared" si="55"/>
        <v>0.65120547945205476</v>
      </c>
      <c r="F62" s="13">
        <v>4753.8</v>
      </c>
      <c r="G62" s="15">
        <f t="shared" si="56"/>
        <v>0.54267123287671237</v>
      </c>
      <c r="H62" s="62">
        <f t="shared" ref="H62:H71" si="60">C62*0.7</f>
        <v>0.62243999999999999</v>
      </c>
      <c r="I62" s="62">
        <f t="shared" ref="I62:I71" si="61">D62*0.7</f>
        <v>332.76599999999996</v>
      </c>
      <c r="J62" s="62">
        <f t="shared" ref="J62:J71" si="62">E62*0.7</f>
        <v>0.45584383561643832</v>
      </c>
      <c r="K62" s="62">
        <f t="shared" ref="K62:K71" si="63">F62*0.7</f>
        <v>3327.66</v>
      </c>
      <c r="L62" s="62">
        <f t="shared" ref="L62:L71" si="64">G62*0.7</f>
        <v>0.37986986301369863</v>
      </c>
      <c r="M62" s="72" t="s">
        <v>95</v>
      </c>
      <c r="N62" s="67">
        <v>0.72599999999999998</v>
      </c>
      <c r="O62" s="70">
        <v>348.5</v>
      </c>
      <c r="P62" s="67">
        <f t="shared" si="58"/>
        <v>0.47739726027397261</v>
      </c>
      <c r="Q62" s="67">
        <f t="shared" si="59"/>
        <v>3554.7</v>
      </c>
      <c r="R62" s="76">
        <f t="shared" ref="R62:R69" si="65">Q62/$F$2</f>
        <v>0.40578767123287668</v>
      </c>
      <c r="S62" s="78"/>
      <c r="T62" s="67"/>
      <c r="U62" s="67">
        <f t="shared" ref="U62:U63" si="66">O62*36*0.6</f>
        <v>7527.5999999999995</v>
      </c>
      <c r="V62" s="67">
        <f t="shared" ref="V62:V66" si="67">U62/3</f>
        <v>2509.1999999999998</v>
      </c>
      <c r="W62" s="67">
        <f t="shared" ref="W62:W66" si="68">V62/$F$2</f>
        <v>0.28643835616438357</v>
      </c>
      <c r="AA62"/>
      <c r="AB62"/>
      <c r="AC62"/>
      <c r="AD62"/>
      <c r="AE62"/>
      <c r="AF62"/>
      <c r="AG62"/>
      <c r="AH62"/>
    </row>
    <row r="63" spans="1:34" ht="27">
      <c r="A63" s="18" t="s">
        <v>91</v>
      </c>
      <c r="B63" s="18" t="s">
        <v>96</v>
      </c>
      <c r="C63" s="13">
        <v>3.5568</v>
      </c>
      <c r="D63" s="16">
        <v>1901.52</v>
      </c>
      <c r="E63" s="13">
        <f t="shared" si="55"/>
        <v>2.604821917808219</v>
      </c>
      <c r="F63" s="17">
        <v>19015.2</v>
      </c>
      <c r="G63" s="15">
        <f t="shared" si="56"/>
        <v>2.1706849315068495</v>
      </c>
      <c r="H63" s="62">
        <f t="shared" si="60"/>
        <v>2.48976</v>
      </c>
      <c r="I63" s="62">
        <f t="shared" si="61"/>
        <v>1331.0639999999999</v>
      </c>
      <c r="J63" s="62">
        <f t="shared" si="62"/>
        <v>1.8233753424657533</v>
      </c>
      <c r="K63" s="62">
        <f t="shared" si="63"/>
        <v>13310.64</v>
      </c>
      <c r="L63" s="62">
        <f t="shared" si="64"/>
        <v>1.5194794520547945</v>
      </c>
      <c r="M63" s="79" t="s">
        <v>97</v>
      </c>
      <c r="N63" s="67">
        <v>2.8450000000000002</v>
      </c>
      <c r="O63" s="67">
        <v>1365.5</v>
      </c>
      <c r="P63" s="67">
        <f t="shared" si="58"/>
        <v>1.8705479452054794</v>
      </c>
      <c r="Q63" s="67">
        <f t="shared" si="59"/>
        <v>13928.1</v>
      </c>
      <c r="R63" s="76">
        <f t="shared" si="65"/>
        <v>1.5899657534246576</v>
      </c>
      <c r="S63" s="67"/>
      <c r="T63" s="67"/>
      <c r="U63" s="67">
        <f t="shared" si="66"/>
        <v>29494.799999999999</v>
      </c>
      <c r="V63" s="67">
        <f t="shared" si="67"/>
        <v>9831.6</v>
      </c>
      <c r="W63" s="67">
        <f t="shared" si="68"/>
        <v>1.1223287671232878</v>
      </c>
      <c r="AA63"/>
      <c r="AB63"/>
      <c r="AC63"/>
      <c r="AD63"/>
      <c r="AE63"/>
      <c r="AF63"/>
      <c r="AG63"/>
      <c r="AH63"/>
    </row>
    <row r="64" spans="1:34">
      <c r="A64" s="18" t="s">
        <v>98</v>
      </c>
      <c r="B64" s="18" t="s">
        <v>92</v>
      </c>
      <c r="C64" s="13">
        <v>0.46739999999999998</v>
      </c>
      <c r="D64" s="13">
        <v>249.85</v>
      </c>
      <c r="E64" s="13">
        <f t="shared" si="55"/>
        <v>0.34226027397260272</v>
      </c>
      <c r="F64" s="13">
        <v>2498.5</v>
      </c>
      <c r="G64" s="15">
        <f t="shared" si="56"/>
        <v>0.28521689497716896</v>
      </c>
      <c r="H64" s="62">
        <f t="shared" si="60"/>
        <v>0.32717999999999997</v>
      </c>
      <c r="I64" s="62">
        <f t="shared" si="61"/>
        <v>174.89499999999998</v>
      </c>
      <c r="J64" s="62">
        <f t="shared" si="62"/>
        <v>0.23958219178082188</v>
      </c>
      <c r="K64" s="62">
        <f t="shared" si="63"/>
        <v>1748.9499999999998</v>
      </c>
      <c r="L64" s="62">
        <f t="shared" si="64"/>
        <v>0.19965182648401825</v>
      </c>
      <c r="M64" s="72" t="s">
        <v>99</v>
      </c>
      <c r="N64" s="67">
        <v>0.25</v>
      </c>
      <c r="O64" s="67">
        <v>120.2</v>
      </c>
      <c r="P64" s="67">
        <f t="shared" si="58"/>
        <v>0.16465753424657534</v>
      </c>
      <c r="Q64" s="67">
        <f t="shared" si="59"/>
        <v>1226.04</v>
      </c>
      <c r="R64" s="76">
        <f t="shared" si="65"/>
        <v>0.13995890410958903</v>
      </c>
      <c r="S64" s="67"/>
      <c r="T64" s="67"/>
      <c r="U64" s="67">
        <f t="shared" ref="U64:U66" si="69">O64*36*0.6</f>
        <v>2596.3199999999997</v>
      </c>
      <c r="V64" s="67">
        <f t="shared" si="67"/>
        <v>865.43999999999994</v>
      </c>
      <c r="W64" s="67">
        <f t="shared" si="68"/>
        <v>9.87945205479452E-2</v>
      </c>
      <c r="AA64"/>
      <c r="AB64"/>
      <c r="AC64"/>
      <c r="AD64"/>
      <c r="AE64"/>
      <c r="AF64"/>
      <c r="AG64"/>
      <c r="AH64"/>
    </row>
    <row r="65" spans="1:34" ht="27">
      <c r="A65" s="18" t="s">
        <v>98</v>
      </c>
      <c r="B65" s="18" t="s">
        <v>94</v>
      </c>
      <c r="C65" s="13">
        <v>0.93479999999999996</v>
      </c>
      <c r="D65" s="13">
        <v>499.7</v>
      </c>
      <c r="E65" s="13">
        <f t="shared" si="55"/>
        <v>0.68452054794520545</v>
      </c>
      <c r="F65" s="13">
        <v>4997</v>
      </c>
      <c r="G65" s="15">
        <f t="shared" si="56"/>
        <v>0.57043378995433791</v>
      </c>
      <c r="H65" s="62">
        <f t="shared" si="60"/>
        <v>0.65435999999999994</v>
      </c>
      <c r="I65" s="62">
        <f t="shared" si="61"/>
        <v>349.78999999999996</v>
      </c>
      <c r="J65" s="62">
        <f t="shared" si="62"/>
        <v>0.47916438356164376</v>
      </c>
      <c r="K65" s="62">
        <f t="shared" si="63"/>
        <v>3497.8999999999996</v>
      </c>
      <c r="L65" s="62">
        <f t="shared" si="64"/>
        <v>0.39930365296803649</v>
      </c>
      <c r="M65" s="73" t="s">
        <v>100</v>
      </c>
      <c r="N65" s="67">
        <v>0.72599999999999998</v>
      </c>
      <c r="O65" s="67">
        <v>348.5</v>
      </c>
      <c r="P65" s="67">
        <f t="shared" si="58"/>
        <v>0.47739726027397261</v>
      </c>
      <c r="Q65" s="67">
        <f t="shared" si="59"/>
        <v>3554.7</v>
      </c>
      <c r="R65" s="76">
        <f t="shared" si="65"/>
        <v>0.40578767123287668</v>
      </c>
      <c r="S65" s="67"/>
      <c r="T65" s="67"/>
      <c r="U65" s="67">
        <f t="shared" si="69"/>
        <v>7527.5999999999995</v>
      </c>
      <c r="V65" s="67">
        <f t="shared" si="67"/>
        <v>2509.1999999999998</v>
      </c>
      <c r="W65" s="67">
        <f t="shared" si="68"/>
        <v>0.28643835616438357</v>
      </c>
      <c r="AA65"/>
      <c r="AB65"/>
      <c r="AC65"/>
      <c r="AD65"/>
      <c r="AE65"/>
      <c r="AF65"/>
      <c r="AG65"/>
      <c r="AH65"/>
    </row>
    <row r="66" spans="1:34">
      <c r="A66" s="18" t="s">
        <v>98</v>
      </c>
      <c r="B66" s="18" t="s">
        <v>96</v>
      </c>
      <c r="C66" s="16">
        <v>3.7389999999999999</v>
      </c>
      <c r="D66" s="13">
        <v>1998.8</v>
      </c>
      <c r="E66" s="13">
        <f t="shared" si="55"/>
        <v>2.7380821917808218</v>
      </c>
      <c r="F66" s="13">
        <v>19988</v>
      </c>
      <c r="G66" s="15">
        <f t="shared" si="56"/>
        <v>2.2817351598173516</v>
      </c>
      <c r="H66" s="62">
        <f t="shared" si="60"/>
        <v>2.6172999999999997</v>
      </c>
      <c r="I66" s="62">
        <f t="shared" si="61"/>
        <v>1399.1599999999999</v>
      </c>
      <c r="J66" s="62">
        <f t="shared" si="62"/>
        <v>1.916657534246575</v>
      </c>
      <c r="K66" s="62">
        <f t="shared" si="63"/>
        <v>13991.599999999999</v>
      </c>
      <c r="L66" s="62">
        <f t="shared" si="64"/>
        <v>1.597214611872146</v>
      </c>
      <c r="M66" s="72" t="s">
        <v>101</v>
      </c>
      <c r="N66" s="67">
        <v>2.8450000000000002</v>
      </c>
      <c r="O66" s="67">
        <v>1365.5</v>
      </c>
      <c r="P66" s="67">
        <f t="shared" si="58"/>
        <v>1.8705479452054794</v>
      </c>
      <c r="Q66" s="67">
        <f>O66*12*0.85</f>
        <v>13928.1</v>
      </c>
      <c r="R66" s="76">
        <f t="shared" si="65"/>
        <v>1.5899657534246576</v>
      </c>
      <c r="S66" s="67"/>
      <c r="T66" s="67"/>
      <c r="U66" s="67">
        <f t="shared" si="69"/>
        <v>29494.799999999999</v>
      </c>
      <c r="V66" s="67">
        <f t="shared" si="67"/>
        <v>9831.6</v>
      </c>
      <c r="W66" s="67">
        <f t="shared" si="68"/>
        <v>1.1223287671232878</v>
      </c>
      <c r="AA66"/>
      <c r="AB66"/>
      <c r="AC66"/>
      <c r="AD66"/>
      <c r="AE66"/>
      <c r="AF66"/>
      <c r="AG66"/>
      <c r="AH66"/>
    </row>
    <row r="67" spans="1:34" ht="27">
      <c r="A67" s="18" t="s">
        <v>102</v>
      </c>
      <c r="B67" s="18" t="s">
        <v>103</v>
      </c>
      <c r="C67" s="16">
        <v>0.28499999999999998</v>
      </c>
      <c r="D67" s="13">
        <v>564.32000000000005</v>
      </c>
      <c r="E67" s="13">
        <f t="shared" si="55"/>
        <v>0.77304109589041103</v>
      </c>
      <c r="F67" s="13">
        <v>5643.29</v>
      </c>
      <c r="G67" s="15">
        <f t="shared" si="56"/>
        <v>0.6442111872146119</v>
      </c>
      <c r="H67" s="62">
        <f t="shared" si="60"/>
        <v>0.19949999999999998</v>
      </c>
      <c r="I67" s="62">
        <f t="shared" si="61"/>
        <v>395.024</v>
      </c>
      <c r="J67" s="62">
        <f t="shared" si="62"/>
        <v>0.54112876712328772</v>
      </c>
      <c r="K67" s="62">
        <f t="shared" si="63"/>
        <v>3950.3029999999999</v>
      </c>
      <c r="L67" s="62">
        <f t="shared" si="64"/>
        <v>0.45094783105022829</v>
      </c>
      <c r="M67" s="73" t="s">
        <v>104</v>
      </c>
      <c r="N67" s="67">
        <v>0.29799999999999999</v>
      </c>
      <c r="O67" s="67">
        <v>160</v>
      </c>
      <c r="P67" s="67">
        <f t="shared" si="58"/>
        <v>0.21917808219178081</v>
      </c>
      <c r="Q67" s="67">
        <f>O67*12*0.85</f>
        <v>1632</v>
      </c>
      <c r="R67" s="76">
        <f t="shared" si="65"/>
        <v>0.18630136986301371</v>
      </c>
      <c r="S67" s="67"/>
      <c r="T67" s="67"/>
      <c r="U67" s="67">
        <f>O67*36*0.5</f>
        <v>2880</v>
      </c>
      <c r="V67" s="67">
        <f>U67/3</f>
        <v>960</v>
      </c>
      <c r="W67" s="67">
        <f>V67/$F$2</f>
        <v>0.1095890410958904</v>
      </c>
      <c r="AA67"/>
      <c r="AB67"/>
      <c r="AC67"/>
      <c r="AD67"/>
      <c r="AE67"/>
      <c r="AF67"/>
      <c r="AG67"/>
      <c r="AH67"/>
    </row>
    <row r="68" spans="1:34">
      <c r="A68" s="18" t="s">
        <v>102</v>
      </c>
      <c r="B68" s="18" t="s">
        <v>105</v>
      </c>
      <c r="C68" s="16">
        <v>1.2274</v>
      </c>
      <c r="D68" s="13">
        <v>725.77300000000002</v>
      </c>
      <c r="E68" s="13">
        <f>D68/$F$1</f>
        <v>0.99420958904109591</v>
      </c>
      <c r="F68" s="13">
        <v>7257.73</v>
      </c>
      <c r="G68" s="15">
        <f>F68/$F$2</f>
        <v>0.82850799086757987</v>
      </c>
      <c r="H68" s="62">
        <f t="shared" si="60"/>
        <v>0.85917999999999994</v>
      </c>
      <c r="I68" s="62">
        <f t="shared" si="61"/>
        <v>508.04109999999997</v>
      </c>
      <c r="J68" s="62">
        <f t="shared" si="62"/>
        <v>0.69594671232876715</v>
      </c>
      <c r="K68" s="62">
        <f t="shared" si="63"/>
        <v>5080.4109999999991</v>
      </c>
      <c r="L68" s="62">
        <f t="shared" si="64"/>
        <v>0.57995559360730586</v>
      </c>
      <c r="M68" s="72"/>
      <c r="N68" s="67"/>
      <c r="O68" s="67"/>
      <c r="P68" s="67"/>
      <c r="Q68" s="67"/>
      <c r="R68" s="67"/>
      <c r="S68" s="67"/>
      <c r="T68" s="67"/>
      <c r="U68" s="67"/>
      <c r="V68" s="67"/>
      <c r="W68" s="67"/>
      <c r="AA68"/>
      <c r="AB68"/>
      <c r="AC68"/>
      <c r="AD68"/>
      <c r="AE68"/>
      <c r="AF68"/>
      <c r="AG68"/>
      <c r="AH68"/>
    </row>
    <row r="69" spans="1:34" ht="27">
      <c r="A69" s="18" t="s">
        <v>102</v>
      </c>
      <c r="B69" s="18" t="s">
        <v>106</v>
      </c>
      <c r="C69" s="16">
        <v>8.1532</v>
      </c>
      <c r="D69" s="13">
        <v>6509.402</v>
      </c>
      <c r="E69" s="13">
        <f>D69/$F$1</f>
        <v>8.9169890410958903</v>
      </c>
      <c r="F69" s="13">
        <v>65094.02</v>
      </c>
      <c r="G69" s="15">
        <f>F69/$F$2</f>
        <v>7.4308242009132419</v>
      </c>
      <c r="H69" s="62">
        <f t="shared" si="60"/>
        <v>5.7072399999999996</v>
      </c>
      <c r="I69" s="62">
        <f t="shared" si="61"/>
        <v>4556.5814</v>
      </c>
      <c r="J69" s="62">
        <f t="shared" si="62"/>
        <v>6.2418923287671229</v>
      </c>
      <c r="K69" s="62">
        <f t="shared" si="63"/>
        <v>45565.813999999998</v>
      </c>
      <c r="L69" s="62">
        <f t="shared" si="64"/>
        <v>5.2015769406392689</v>
      </c>
      <c r="M69" s="80" t="s">
        <v>107</v>
      </c>
      <c r="N69" s="67">
        <v>8.1539999999999999</v>
      </c>
      <c r="O69" s="67">
        <v>5662</v>
      </c>
      <c r="P69" s="67">
        <f t="shared" si="58"/>
        <v>7.7561643835616438</v>
      </c>
      <c r="Q69" s="67">
        <f>O69*12*0.5</f>
        <v>33972</v>
      </c>
      <c r="R69" s="76">
        <f t="shared" si="65"/>
        <v>3.8780821917808219</v>
      </c>
      <c r="S69" s="67"/>
      <c r="T69" s="67"/>
      <c r="U69" s="67">
        <f>O69*36*0.5</f>
        <v>101916</v>
      </c>
      <c r="V69" s="67">
        <f>U69/3</f>
        <v>33972</v>
      </c>
      <c r="W69" s="67">
        <f>V69/$F$2</f>
        <v>3.8780821917808219</v>
      </c>
      <c r="AA69"/>
      <c r="AB69"/>
      <c r="AC69"/>
      <c r="AD69"/>
      <c r="AE69"/>
      <c r="AF69"/>
      <c r="AG69"/>
      <c r="AH69"/>
    </row>
    <row r="70" spans="1:34">
      <c r="A70" s="18"/>
      <c r="B70" s="18"/>
      <c r="C70" s="34"/>
      <c r="D70" s="35"/>
      <c r="E70" s="35"/>
      <c r="F70" s="35"/>
      <c r="G70" s="35"/>
      <c r="H70" s="62">
        <f t="shared" si="60"/>
        <v>0</v>
      </c>
      <c r="I70" s="62">
        <f t="shared" si="61"/>
        <v>0</v>
      </c>
      <c r="J70" s="62">
        <f t="shared" si="62"/>
        <v>0</v>
      </c>
      <c r="K70" s="62">
        <f t="shared" si="63"/>
        <v>0</v>
      </c>
      <c r="L70" s="62">
        <f t="shared" si="64"/>
        <v>0</v>
      </c>
      <c r="M70" s="80"/>
      <c r="N70" s="70"/>
      <c r="O70" s="81"/>
      <c r="P70" s="81"/>
      <c r="Q70" s="81"/>
      <c r="R70" s="81"/>
      <c r="S70" s="81"/>
      <c r="T70" s="81"/>
      <c r="U70" s="81"/>
      <c r="V70" s="81"/>
      <c r="W70" s="81"/>
      <c r="AA70"/>
      <c r="AB70"/>
      <c r="AC70"/>
      <c r="AD70"/>
      <c r="AE70"/>
      <c r="AF70"/>
      <c r="AG70"/>
      <c r="AH70"/>
    </row>
    <row r="71" spans="1:34">
      <c r="A71" s="18"/>
      <c r="B71" s="18"/>
      <c r="C71" s="34"/>
      <c r="D71" s="35"/>
      <c r="E71" s="35"/>
      <c r="F71" s="35"/>
      <c r="G71" s="35"/>
      <c r="H71" s="62">
        <f t="shared" si="60"/>
        <v>0</v>
      </c>
      <c r="I71" s="62">
        <f t="shared" si="61"/>
        <v>0</v>
      </c>
      <c r="J71" s="62">
        <f t="shared" si="62"/>
        <v>0</v>
      </c>
      <c r="K71" s="62">
        <f t="shared" si="63"/>
        <v>0</v>
      </c>
      <c r="L71" s="62">
        <f t="shared" si="64"/>
        <v>0</v>
      </c>
      <c r="M71" s="80"/>
      <c r="N71" s="70"/>
      <c r="O71" s="81"/>
      <c r="P71" s="81"/>
      <c r="Q71" s="81"/>
      <c r="R71" s="81"/>
      <c r="S71" s="81"/>
      <c r="T71" s="81"/>
      <c r="U71" s="81"/>
      <c r="V71" s="81"/>
      <c r="W71" s="81"/>
      <c r="AA71"/>
      <c r="AB71"/>
      <c r="AC71"/>
      <c r="AD71"/>
      <c r="AE71"/>
      <c r="AF71"/>
      <c r="AG71"/>
      <c r="AH71"/>
    </row>
    <row r="72" spans="1:34">
      <c r="A72" s="19" t="s">
        <v>108</v>
      </c>
      <c r="B72" s="19" t="s">
        <v>25</v>
      </c>
      <c r="C72" s="37" t="s">
        <v>108</v>
      </c>
      <c r="D72" s="38"/>
      <c r="E72" s="38"/>
      <c r="F72" s="38"/>
      <c r="G72" s="38"/>
      <c r="H72" s="37" t="s">
        <v>108</v>
      </c>
      <c r="I72" s="38"/>
      <c r="J72" s="38"/>
      <c r="K72" s="38"/>
      <c r="L72" s="38"/>
      <c r="M72" s="26" t="s">
        <v>109</v>
      </c>
      <c r="N72" s="41" t="s">
        <v>109</v>
      </c>
      <c r="O72" s="42"/>
      <c r="P72" s="42"/>
      <c r="Q72" s="42"/>
      <c r="R72" s="42"/>
      <c r="S72" s="42"/>
      <c r="T72" s="42"/>
      <c r="U72" s="42"/>
      <c r="V72" s="42"/>
      <c r="W72" s="42"/>
      <c r="AA72"/>
      <c r="AB72"/>
      <c r="AC72"/>
      <c r="AD72"/>
      <c r="AE72"/>
      <c r="AF72"/>
      <c r="AG72"/>
      <c r="AH72"/>
    </row>
    <row r="73" spans="1:34">
      <c r="A73" s="65" t="s">
        <v>110</v>
      </c>
      <c r="B73" s="65" t="s">
        <v>111</v>
      </c>
      <c r="C73" s="68"/>
      <c r="D73" s="68">
        <v>2119.6799999999998</v>
      </c>
      <c r="E73" s="68">
        <f t="shared" ref="E73:E81" si="70">D73/$F$1</f>
        <v>2.9036712328767122</v>
      </c>
      <c r="F73" s="68">
        <v>19077.12</v>
      </c>
      <c r="G73" s="69">
        <f t="shared" ref="G73:G81" si="71">F73/$F$2</f>
        <v>2.1777534246575341</v>
      </c>
      <c r="H73" s="62">
        <f>C73*0.7</f>
        <v>0</v>
      </c>
      <c r="I73" s="62">
        <f t="shared" ref="I73:L73" si="72">D73*0.7</f>
        <v>1483.7759999999998</v>
      </c>
      <c r="J73" s="62">
        <f t="shared" si="72"/>
        <v>2.0325698630136984</v>
      </c>
      <c r="K73" s="62">
        <f t="shared" si="72"/>
        <v>13353.983999999999</v>
      </c>
      <c r="L73" s="62">
        <f t="shared" si="72"/>
        <v>1.5244273972602738</v>
      </c>
      <c r="M73" s="72" t="s">
        <v>112</v>
      </c>
      <c r="N73" s="67"/>
      <c r="O73" s="67">
        <f>0.02*1024*100</f>
        <v>2048</v>
      </c>
      <c r="P73" s="68">
        <f t="shared" ref="P73:P80" si="73">O73/$F$1</f>
        <v>2.8054794520547945</v>
      </c>
      <c r="Q73" s="67"/>
      <c r="R73" s="67"/>
      <c r="S73" s="67"/>
      <c r="T73" s="67"/>
      <c r="U73" s="67"/>
      <c r="V73" s="67"/>
      <c r="W73" s="67"/>
      <c r="AA73"/>
      <c r="AB73"/>
      <c r="AC73"/>
      <c r="AD73"/>
      <c r="AE73"/>
      <c r="AF73"/>
      <c r="AG73"/>
      <c r="AH73"/>
    </row>
    <row r="74" spans="1:34">
      <c r="A74" s="65" t="s">
        <v>110</v>
      </c>
      <c r="B74" s="65" t="s">
        <v>113</v>
      </c>
      <c r="C74" s="67"/>
      <c r="D74" s="67">
        <v>2304</v>
      </c>
      <c r="E74" s="62">
        <f t="shared" si="70"/>
        <v>3.1561643835616437</v>
      </c>
      <c r="F74" s="67">
        <v>20736</v>
      </c>
      <c r="G74" s="63">
        <f t="shared" si="71"/>
        <v>2.3671232876712329</v>
      </c>
      <c r="H74" s="62">
        <f t="shared" ref="H74:H83" si="74">C74*0.7</f>
        <v>0</v>
      </c>
      <c r="I74" s="62">
        <f t="shared" ref="I74:I83" si="75">D74*0.7</f>
        <v>1612.8</v>
      </c>
      <c r="J74" s="62">
        <f t="shared" ref="J74:J83" si="76">E74*0.7</f>
        <v>2.2093150684931504</v>
      </c>
      <c r="K74" s="62">
        <f t="shared" ref="K74:K83" si="77">F74*0.7</f>
        <v>14515.199999999999</v>
      </c>
      <c r="L74" s="62">
        <f t="shared" ref="L74:L83" si="78">G74*0.7</f>
        <v>1.6569863013698629</v>
      </c>
      <c r="M74" s="72" t="s">
        <v>114</v>
      </c>
      <c r="N74" s="67"/>
      <c r="O74" s="67">
        <f>0.022*1024*100</f>
        <v>2252.7999999999997</v>
      </c>
      <c r="P74" s="68">
        <f t="shared" si="73"/>
        <v>3.0860273972602736</v>
      </c>
      <c r="Q74" s="67"/>
      <c r="R74" s="67"/>
      <c r="S74" s="67"/>
      <c r="T74" s="67"/>
      <c r="U74" s="67"/>
      <c r="V74" s="67"/>
      <c r="W74" s="67"/>
      <c r="AA74"/>
      <c r="AB74"/>
      <c r="AC74"/>
      <c r="AD74"/>
      <c r="AE74"/>
      <c r="AF74"/>
      <c r="AG74"/>
      <c r="AH74"/>
    </row>
    <row r="75" spans="1:34">
      <c r="A75" s="65" t="s">
        <v>110</v>
      </c>
      <c r="B75" s="65" t="s">
        <v>115</v>
      </c>
      <c r="C75" s="67"/>
      <c r="D75" s="67">
        <v>23040</v>
      </c>
      <c r="E75" s="62">
        <f t="shared" si="70"/>
        <v>31.561643835616437</v>
      </c>
      <c r="F75" s="67">
        <f>23040*10</f>
        <v>230400</v>
      </c>
      <c r="G75" s="63">
        <f t="shared" si="71"/>
        <v>26.301369863013697</v>
      </c>
      <c r="H75" s="62">
        <f t="shared" si="74"/>
        <v>0</v>
      </c>
      <c r="I75" s="62">
        <f t="shared" si="75"/>
        <v>16127.999999999998</v>
      </c>
      <c r="J75" s="62">
        <f t="shared" si="76"/>
        <v>22.093150684931505</v>
      </c>
      <c r="K75" s="62">
        <f t="shared" si="77"/>
        <v>161280</v>
      </c>
      <c r="L75" s="62">
        <f t="shared" si="78"/>
        <v>18.410958904109588</v>
      </c>
      <c r="M75" s="72" t="s">
        <v>116</v>
      </c>
      <c r="N75" s="67"/>
      <c r="O75" s="67">
        <f>0.022*1024*1024</f>
        <v>23068.671999999999</v>
      </c>
      <c r="P75" s="68">
        <f t="shared" si="73"/>
        <v>31.600920547945204</v>
      </c>
      <c r="Q75" s="67"/>
      <c r="R75" s="67"/>
      <c r="S75" s="67"/>
      <c r="T75" s="67"/>
      <c r="U75" s="67"/>
      <c r="V75" s="67"/>
      <c r="W75" s="67"/>
      <c r="AA75"/>
      <c r="AB75"/>
      <c r="AC75"/>
      <c r="AD75"/>
      <c r="AE75"/>
      <c r="AF75"/>
      <c r="AG75"/>
      <c r="AH75"/>
    </row>
    <row r="76" spans="1:34" ht="67.5">
      <c r="A76" s="65" t="s">
        <v>117</v>
      </c>
      <c r="B76" s="65" t="s">
        <v>118</v>
      </c>
      <c r="C76" s="67"/>
      <c r="D76" s="70">
        <v>1536</v>
      </c>
      <c r="E76" s="62">
        <f t="shared" si="70"/>
        <v>2.1041095890410957</v>
      </c>
      <c r="F76" s="67"/>
      <c r="G76" s="63"/>
      <c r="H76" s="62">
        <f t="shared" si="74"/>
        <v>0</v>
      </c>
      <c r="I76" s="62">
        <f t="shared" si="75"/>
        <v>1075.1999999999998</v>
      </c>
      <c r="J76" s="62">
        <f t="shared" si="76"/>
        <v>1.4728767123287669</v>
      </c>
      <c r="K76" s="62">
        <f t="shared" si="77"/>
        <v>0</v>
      </c>
      <c r="L76" s="62">
        <f t="shared" si="78"/>
        <v>0</v>
      </c>
      <c r="M76" s="73" t="s">
        <v>119</v>
      </c>
      <c r="N76" s="67"/>
      <c r="O76" s="67">
        <f>0.015*1024*100</f>
        <v>1536</v>
      </c>
      <c r="P76" s="68">
        <f t="shared" si="73"/>
        <v>2.1041095890410957</v>
      </c>
      <c r="Q76" s="67"/>
      <c r="R76" s="67"/>
      <c r="S76" s="67"/>
      <c r="T76" s="67"/>
      <c r="U76" s="67"/>
      <c r="V76" s="67"/>
      <c r="W76" s="67"/>
      <c r="AA76"/>
      <c r="AB76"/>
      <c r="AC76"/>
      <c r="AD76"/>
      <c r="AE76"/>
      <c r="AF76"/>
      <c r="AG76"/>
      <c r="AH76"/>
    </row>
    <row r="77" spans="1:34" ht="67.5">
      <c r="A77" s="65" t="s">
        <v>117</v>
      </c>
      <c r="B77" s="65" t="s">
        <v>120</v>
      </c>
      <c r="C77" s="67"/>
      <c r="D77" s="70">
        <v>1945.6</v>
      </c>
      <c r="E77" s="62">
        <f t="shared" si="70"/>
        <v>2.6652054794520548</v>
      </c>
      <c r="F77" s="67"/>
      <c r="G77" s="63"/>
      <c r="H77" s="62">
        <f t="shared" si="74"/>
        <v>0</v>
      </c>
      <c r="I77" s="62">
        <f t="shared" si="75"/>
        <v>1361.9199999999998</v>
      </c>
      <c r="J77" s="62">
        <f t="shared" si="76"/>
        <v>1.8656438356164382</v>
      </c>
      <c r="K77" s="62">
        <f t="shared" si="77"/>
        <v>0</v>
      </c>
      <c r="L77" s="62">
        <f t="shared" si="78"/>
        <v>0</v>
      </c>
      <c r="M77" s="73" t="s">
        <v>121</v>
      </c>
      <c r="N77" s="67"/>
      <c r="O77" s="67">
        <f>0.018*1024*100</f>
        <v>1843.1999999999998</v>
      </c>
      <c r="P77" s="68">
        <f t="shared" si="73"/>
        <v>2.524931506849315</v>
      </c>
      <c r="Q77" s="67"/>
      <c r="R77" s="67"/>
      <c r="S77" s="67"/>
      <c r="T77" s="67"/>
      <c r="U77" s="67"/>
      <c r="V77" s="67"/>
      <c r="W77" s="67"/>
      <c r="AA77"/>
      <c r="AB77"/>
      <c r="AC77"/>
      <c r="AD77"/>
      <c r="AE77"/>
      <c r="AF77"/>
      <c r="AG77"/>
      <c r="AH77"/>
    </row>
    <row r="78" spans="1:34">
      <c r="A78" s="65" t="s">
        <v>122</v>
      </c>
      <c r="B78" s="65" t="s">
        <v>111</v>
      </c>
      <c r="C78" s="67"/>
      <c r="D78" s="70">
        <v>512</v>
      </c>
      <c r="E78" s="62">
        <f t="shared" si="70"/>
        <v>0.70136986301369864</v>
      </c>
      <c r="F78" s="67"/>
      <c r="G78" s="63">
        <f t="shared" ref="G78:G86" si="79">F78/$F$2</f>
        <v>0</v>
      </c>
      <c r="H78" s="62">
        <f t="shared" si="74"/>
        <v>0</v>
      </c>
      <c r="I78" s="62">
        <f t="shared" si="75"/>
        <v>358.4</v>
      </c>
      <c r="J78" s="62">
        <f t="shared" si="76"/>
        <v>0.49095890410958903</v>
      </c>
      <c r="K78" s="62">
        <f t="shared" si="77"/>
        <v>0</v>
      </c>
      <c r="L78" s="62">
        <f t="shared" si="78"/>
        <v>0</v>
      </c>
      <c r="M78" s="72" t="s">
        <v>123</v>
      </c>
      <c r="N78" s="67"/>
      <c r="O78" s="67">
        <f>0.0045*1024*100</f>
        <v>460.79999999999995</v>
      </c>
      <c r="P78" s="68">
        <f t="shared" si="73"/>
        <v>0.63123287671232875</v>
      </c>
      <c r="Q78" s="67"/>
      <c r="R78" s="67"/>
      <c r="S78" s="67"/>
      <c r="T78" s="67"/>
      <c r="U78" s="67"/>
      <c r="V78" s="67"/>
      <c r="W78" s="67"/>
      <c r="AA78"/>
      <c r="AB78"/>
      <c r="AC78"/>
      <c r="AD78"/>
      <c r="AE78"/>
      <c r="AF78"/>
      <c r="AG78"/>
      <c r="AH78"/>
    </row>
    <row r="79" spans="1:34">
      <c r="A79" s="65" t="s">
        <v>122</v>
      </c>
      <c r="B79" s="65" t="s">
        <v>124</v>
      </c>
      <c r="C79" s="67"/>
      <c r="D79" s="70">
        <v>5242.8500000000004</v>
      </c>
      <c r="E79" s="62">
        <f t="shared" si="70"/>
        <v>7.1819863013698635</v>
      </c>
      <c r="F79" s="67"/>
      <c r="G79" s="63">
        <f t="shared" si="79"/>
        <v>0</v>
      </c>
      <c r="H79" s="62">
        <f t="shared" si="74"/>
        <v>0</v>
      </c>
      <c r="I79" s="62">
        <f t="shared" si="75"/>
        <v>3669.9949999999999</v>
      </c>
      <c r="J79" s="62">
        <f t="shared" si="76"/>
        <v>5.0273904109589038</v>
      </c>
      <c r="K79" s="62">
        <f t="shared" si="77"/>
        <v>0</v>
      </c>
      <c r="L79" s="62">
        <f t="shared" si="78"/>
        <v>0</v>
      </c>
      <c r="M79" s="72" t="s">
        <v>125</v>
      </c>
      <c r="N79" s="67"/>
      <c r="O79" s="67">
        <f>0.0045*1024*1024</f>
        <v>4718.5919999999996</v>
      </c>
      <c r="P79" s="68">
        <f t="shared" si="73"/>
        <v>6.4638246575342464</v>
      </c>
      <c r="Q79" s="67"/>
      <c r="R79" s="67"/>
      <c r="S79" s="67"/>
      <c r="T79" s="67"/>
      <c r="U79" s="67"/>
      <c r="V79" s="67"/>
      <c r="W79" s="67"/>
      <c r="AA79"/>
      <c r="AB79"/>
      <c r="AC79"/>
      <c r="AD79"/>
      <c r="AE79"/>
      <c r="AF79"/>
      <c r="AG79"/>
      <c r="AH79"/>
    </row>
    <row r="80" spans="1:34">
      <c r="A80" s="65" t="s">
        <v>126</v>
      </c>
      <c r="B80" s="65" t="s">
        <v>124</v>
      </c>
      <c r="C80" s="67"/>
      <c r="D80" s="70"/>
      <c r="E80" s="62">
        <f t="shared" si="70"/>
        <v>0</v>
      </c>
      <c r="F80" s="67"/>
      <c r="G80" s="63">
        <f t="shared" si="79"/>
        <v>0</v>
      </c>
      <c r="H80" s="62">
        <f t="shared" si="74"/>
        <v>0</v>
      </c>
      <c r="I80" s="62">
        <f t="shared" si="75"/>
        <v>0</v>
      </c>
      <c r="J80" s="62">
        <f t="shared" si="76"/>
        <v>0</v>
      </c>
      <c r="K80" s="62">
        <f t="shared" si="77"/>
        <v>0</v>
      </c>
      <c r="L80" s="62">
        <f t="shared" si="78"/>
        <v>0</v>
      </c>
      <c r="M80" s="74" t="s">
        <v>127</v>
      </c>
      <c r="N80" s="67"/>
      <c r="O80" s="67">
        <f>0.002*1024*1024</f>
        <v>2097.152</v>
      </c>
      <c r="P80" s="68">
        <f t="shared" si="73"/>
        <v>2.8728109589041098</v>
      </c>
      <c r="Q80" s="67"/>
      <c r="R80" s="67"/>
      <c r="S80" s="67"/>
      <c r="T80" s="67"/>
      <c r="U80" s="67"/>
      <c r="V80" s="67"/>
      <c r="W80" s="67"/>
      <c r="AA80"/>
      <c r="AB80"/>
      <c r="AC80"/>
      <c r="AD80"/>
      <c r="AE80"/>
      <c r="AF80"/>
      <c r="AG80"/>
      <c r="AH80"/>
    </row>
    <row r="81" spans="1:34" ht="54">
      <c r="A81" s="65" t="s">
        <v>128</v>
      </c>
      <c r="B81" s="65" t="s">
        <v>129</v>
      </c>
      <c r="C81" s="67"/>
      <c r="D81" s="67">
        <v>114.4</v>
      </c>
      <c r="E81" s="62">
        <f t="shared" si="70"/>
        <v>0.15671232876712329</v>
      </c>
      <c r="F81" s="67">
        <v>1029.5999999999999</v>
      </c>
      <c r="G81" s="63">
        <f t="shared" si="79"/>
        <v>0.11753424657534245</v>
      </c>
      <c r="H81" s="62">
        <f t="shared" si="74"/>
        <v>0</v>
      </c>
      <c r="I81" s="62">
        <f t="shared" si="75"/>
        <v>80.08</v>
      </c>
      <c r="J81" s="62">
        <f t="shared" si="76"/>
        <v>0.1096986301369863</v>
      </c>
      <c r="K81" s="62">
        <f t="shared" si="77"/>
        <v>720.71999999999991</v>
      </c>
      <c r="L81" s="62">
        <f t="shared" si="78"/>
        <v>8.2273972602739706E-2</v>
      </c>
      <c r="M81" s="75" t="s">
        <v>130</v>
      </c>
      <c r="N81" s="76"/>
      <c r="O81" s="67">
        <f>0.08*1024</f>
        <v>81.92</v>
      </c>
      <c r="P81" s="67"/>
      <c r="Q81" s="67"/>
      <c r="R81" s="67"/>
      <c r="S81" s="67"/>
      <c r="T81" s="67"/>
      <c r="U81" s="67"/>
      <c r="V81" s="67"/>
      <c r="W81" s="67"/>
      <c r="AA81"/>
      <c r="AB81"/>
      <c r="AC81"/>
      <c r="AD81"/>
      <c r="AE81"/>
      <c r="AF81"/>
      <c r="AG81"/>
      <c r="AH81"/>
    </row>
    <row r="82" spans="1:34" ht="67.5">
      <c r="A82" s="65" t="s">
        <v>131</v>
      </c>
      <c r="B82" s="65" t="s">
        <v>132</v>
      </c>
      <c r="C82" s="67"/>
      <c r="D82" s="71">
        <v>7.4999999999999997E-3</v>
      </c>
      <c r="E82" s="71"/>
      <c r="F82" s="67"/>
      <c r="G82" s="63"/>
      <c r="H82" s="62">
        <f t="shared" si="74"/>
        <v>0</v>
      </c>
      <c r="I82" s="62">
        <f t="shared" si="75"/>
        <v>5.2499999999999995E-3</v>
      </c>
      <c r="J82" s="62">
        <f t="shared" si="76"/>
        <v>0</v>
      </c>
      <c r="K82" s="62">
        <f t="shared" si="77"/>
        <v>0</v>
      </c>
      <c r="L82" s="62">
        <f t="shared" si="78"/>
        <v>0</v>
      </c>
      <c r="M82" s="77" t="s">
        <v>133</v>
      </c>
      <c r="N82" s="76"/>
      <c r="O82" s="66">
        <v>7.4999999999999997E-3</v>
      </c>
      <c r="P82" s="67"/>
      <c r="Q82" s="67"/>
      <c r="R82" s="67"/>
      <c r="S82" s="67"/>
      <c r="T82" s="67"/>
      <c r="U82" s="67"/>
      <c r="V82" s="67"/>
      <c r="W82" s="67"/>
      <c r="AA82"/>
      <c r="AB82"/>
      <c r="AC82"/>
      <c r="AD82"/>
      <c r="AE82"/>
      <c r="AF82"/>
      <c r="AG82"/>
      <c r="AH82"/>
    </row>
    <row r="83" spans="1:34" ht="27">
      <c r="A83" s="65" t="s">
        <v>134</v>
      </c>
      <c r="B83" s="65"/>
      <c r="C83" s="67"/>
      <c r="D83" s="71">
        <v>0.01</v>
      </c>
      <c r="E83" s="71"/>
      <c r="F83" s="67"/>
      <c r="G83" s="63"/>
      <c r="H83" s="62">
        <f t="shared" si="74"/>
        <v>0</v>
      </c>
      <c r="I83" s="62">
        <f t="shared" si="75"/>
        <v>6.9999999999999993E-3</v>
      </c>
      <c r="J83" s="62">
        <f t="shared" si="76"/>
        <v>0</v>
      </c>
      <c r="K83" s="62">
        <f t="shared" si="77"/>
        <v>0</v>
      </c>
      <c r="L83" s="62">
        <f t="shared" si="78"/>
        <v>0</v>
      </c>
      <c r="M83" s="76" t="s">
        <v>135</v>
      </c>
      <c r="N83" s="76"/>
      <c r="O83" s="66">
        <v>0.01</v>
      </c>
      <c r="P83" s="67"/>
      <c r="Q83" s="67"/>
      <c r="R83" s="67"/>
      <c r="S83" s="67"/>
      <c r="T83" s="67"/>
      <c r="U83" s="67"/>
      <c r="V83" s="67"/>
      <c r="W83" s="67"/>
      <c r="AA83"/>
      <c r="AB83"/>
      <c r="AC83"/>
      <c r="AD83"/>
      <c r="AE83"/>
      <c r="AF83"/>
      <c r="AG83"/>
      <c r="AH83"/>
    </row>
    <row r="84" spans="1:34" ht="40.5">
      <c r="A84" s="19" t="s">
        <v>136</v>
      </c>
      <c r="B84" s="19" t="s">
        <v>25</v>
      </c>
      <c r="C84" s="37" t="s">
        <v>136</v>
      </c>
      <c r="D84" s="38"/>
      <c r="E84" s="38"/>
      <c r="F84" s="38"/>
      <c r="G84" s="38"/>
      <c r="H84" s="37" t="s">
        <v>136</v>
      </c>
      <c r="I84" s="38"/>
      <c r="J84" s="38"/>
      <c r="K84" s="38"/>
      <c r="L84" s="38"/>
      <c r="M84" s="32" t="s">
        <v>137</v>
      </c>
      <c r="N84" s="41" t="s">
        <v>137</v>
      </c>
      <c r="O84" s="42"/>
      <c r="P84" s="42"/>
      <c r="Q84" s="42"/>
      <c r="R84" s="42"/>
      <c r="S84" s="42"/>
      <c r="T84" s="42"/>
      <c r="U84" s="42"/>
      <c r="V84" s="42"/>
      <c r="W84" s="42"/>
      <c r="AA84"/>
      <c r="AB84"/>
      <c r="AC84"/>
      <c r="AD84"/>
      <c r="AE84"/>
      <c r="AF84"/>
      <c r="AG84"/>
      <c r="AH84"/>
    </row>
    <row r="85" spans="1:34">
      <c r="A85" s="18" t="s">
        <v>138</v>
      </c>
      <c r="B85" s="18" t="s">
        <v>65</v>
      </c>
      <c r="C85" s="12">
        <v>0.01</v>
      </c>
      <c r="D85" s="12">
        <v>7.2</v>
      </c>
      <c r="E85" s="5">
        <f t="shared" ref="E85:E87" si="80">D85/$F$1</f>
        <v>9.8630136986301367E-3</v>
      </c>
      <c r="F85" s="12">
        <v>71.8</v>
      </c>
      <c r="G85" s="11">
        <f t="shared" ref="G85:G87" si="81">F85/$F$2</f>
        <v>8.1963470319634697E-3</v>
      </c>
      <c r="H85" s="62">
        <f>C85*0.7</f>
        <v>6.9999999999999993E-3</v>
      </c>
      <c r="I85" s="62">
        <f t="shared" ref="I85:L85" si="82">D85*0.7</f>
        <v>5.04</v>
      </c>
      <c r="J85" s="62">
        <f t="shared" si="82"/>
        <v>6.9041095890410948E-3</v>
      </c>
      <c r="K85" s="62">
        <f t="shared" si="82"/>
        <v>50.26</v>
      </c>
      <c r="L85" s="62">
        <f t="shared" si="82"/>
        <v>5.7374429223744283E-3</v>
      </c>
      <c r="M85" s="72" t="s">
        <v>139</v>
      </c>
      <c r="N85" s="67"/>
      <c r="O85" s="67">
        <f>0.03187*200</f>
        <v>6.3740000000000006</v>
      </c>
      <c r="P85" s="67">
        <f>O85/$F$1</f>
        <v>8.7315068493150697E-3</v>
      </c>
      <c r="Q85" s="67"/>
      <c r="R85" s="67"/>
      <c r="S85" s="67"/>
      <c r="T85" s="67"/>
      <c r="U85" s="67"/>
      <c r="V85" s="67"/>
      <c r="W85" s="67"/>
      <c r="AA85"/>
      <c r="AB85"/>
      <c r="AC85"/>
      <c r="AD85"/>
      <c r="AE85"/>
      <c r="AF85"/>
      <c r="AG85"/>
      <c r="AH85"/>
    </row>
    <row r="86" spans="1:34">
      <c r="A86" s="18" t="s">
        <v>138</v>
      </c>
      <c r="B86" s="18" t="s">
        <v>140</v>
      </c>
      <c r="C86" s="12">
        <v>0.1</v>
      </c>
      <c r="D86" s="12">
        <v>72</v>
      </c>
      <c r="E86" s="5">
        <f t="shared" si="80"/>
        <v>9.8630136986301367E-2</v>
      </c>
      <c r="F86" s="12">
        <v>718</v>
      </c>
      <c r="G86" s="11">
        <f t="shared" si="81"/>
        <v>8.1963470319634704E-2</v>
      </c>
      <c r="H86" s="62">
        <f t="shared" ref="H86:H88" si="83">C86*0.7</f>
        <v>6.9999999999999993E-2</v>
      </c>
      <c r="I86" s="62">
        <f t="shared" ref="I86:I88" si="84">D86*0.7</f>
        <v>50.4</v>
      </c>
      <c r="J86" s="62">
        <f t="shared" ref="J86:J88" si="85">E86*0.7</f>
        <v>6.904109589041095E-2</v>
      </c>
      <c r="K86" s="62">
        <f t="shared" ref="K86:K88" si="86">F86*0.7</f>
        <v>502.59999999999997</v>
      </c>
      <c r="L86" s="62">
        <f t="shared" ref="L86:L88" si="87">G86*0.7</f>
        <v>5.7374429223744292E-2</v>
      </c>
      <c r="M86" s="72" t="s">
        <v>141</v>
      </c>
      <c r="N86" s="67"/>
      <c r="O86" s="67">
        <f>0.03187*2000</f>
        <v>63.74</v>
      </c>
      <c r="P86" s="67">
        <f t="shared" ref="P86:P87" si="88">O86/$F$1</f>
        <v>8.7315068493150683E-2</v>
      </c>
      <c r="Q86" s="67"/>
      <c r="R86" s="67"/>
      <c r="S86" s="67"/>
      <c r="T86" s="67"/>
      <c r="U86" s="67"/>
      <c r="V86" s="67"/>
      <c r="W86" s="67"/>
      <c r="AA86"/>
      <c r="AB86"/>
      <c r="AC86"/>
      <c r="AD86"/>
      <c r="AE86"/>
      <c r="AF86"/>
      <c r="AG86"/>
      <c r="AH86"/>
    </row>
    <row r="87" spans="1:34">
      <c r="A87" s="18" t="s">
        <v>138</v>
      </c>
      <c r="B87" s="18" t="s">
        <v>142</v>
      </c>
      <c r="C87" s="12">
        <v>1</v>
      </c>
      <c r="D87" s="12">
        <v>720</v>
      </c>
      <c r="E87" s="5">
        <f t="shared" si="80"/>
        <v>0.98630136986301364</v>
      </c>
      <c r="F87" s="12">
        <v>7180</v>
      </c>
      <c r="G87" s="11">
        <f t="shared" si="81"/>
        <v>0.81963470319634701</v>
      </c>
      <c r="H87" s="62">
        <f t="shared" si="83"/>
        <v>0.7</v>
      </c>
      <c r="I87" s="62">
        <f t="shared" si="84"/>
        <v>503.99999999999994</v>
      </c>
      <c r="J87" s="62">
        <f t="shared" si="85"/>
        <v>0.69041095890410953</v>
      </c>
      <c r="K87" s="62">
        <f t="shared" si="86"/>
        <v>5026</v>
      </c>
      <c r="L87" s="62">
        <f t="shared" si="87"/>
        <v>0.57374429223744283</v>
      </c>
      <c r="M87" s="72" t="s">
        <v>143</v>
      </c>
      <c r="N87" s="67"/>
      <c r="O87" s="67">
        <f>0.03187*20000</f>
        <v>637.40000000000009</v>
      </c>
      <c r="P87" s="67">
        <f t="shared" si="88"/>
        <v>0.87315068493150694</v>
      </c>
      <c r="Q87" s="67"/>
      <c r="R87" s="67"/>
      <c r="S87" s="67"/>
      <c r="T87" s="67"/>
      <c r="U87" s="67"/>
      <c r="V87" s="67"/>
      <c r="W87" s="67"/>
      <c r="AA87"/>
      <c r="AB87"/>
      <c r="AC87"/>
      <c r="AD87"/>
      <c r="AE87"/>
      <c r="AF87"/>
      <c r="AG87"/>
      <c r="AH87"/>
    </row>
    <row r="88" spans="1:34">
      <c r="A88" s="18"/>
      <c r="B88" s="18"/>
      <c r="C88" s="12"/>
      <c r="D88" s="12"/>
      <c r="E88" s="5"/>
      <c r="F88" s="12"/>
      <c r="G88" s="11"/>
      <c r="H88" s="62">
        <f t="shared" si="83"/>
        <v>0</v>
      </c>
      <c r="I88" s="62">
        <f t="shared" si="84"/>
        <v>0</v>
      </c>
      <c r="J88" s="62">
        <f t="shared" si="85"/>
        <v>0</v>
      </c>
      <c r="K88" s="62">
        <f t="shared" si="86"/>
        <v>0</v>
      </c>
      <c r="L88" s="62">
        <f t="shared" si="87"/>
        <v>0</v>
      </c>
      <c r="M88" s="72" t="s">
        <v>143</v>
      </c>
      <c r="N88" s="67"/>
      <c r="O88" s="67">
        <f>0.03187*20000</f>
        <v>637.40000000000009</v>
      </c>
      <c r="P88" s="67">
        <f t="shared" ref="P88" si="89">O88/$F$1</f>
        <v>0.87315068493150694</v>
      </c>
      <c r="Q88" s="67"/>
      <c r="R88" s="67"/>
      <c r="S88" s="67"/>
      <c r="T88" s="67"/>
      <c r="U88" s="67"/>
      <c r="V88" s="67"/>
      <c r="W88" s="67"/>
      <c r="AA88"/>
      <c r="AB88"/>
      <c r="AC88"/>
      <c r="AD88"/>
      <c r="AE88"/>
      <c r="AF88"/>
      <c r="AG88"/>
      <c r="AH88"/>
    </row>
  </sheetData>
  <dataConsolidate/>
  <mergeCells count="35">
    <mergeCell ref="C84:G84"/>
    <mergeCell ref="C5:G5"/>
    <mergeCell ref="D6:G6"/>
    <mergeCell ref="C8:G8"/>
    <mergeCell ref="C23:G23"/>
    <mergeCell ref="C39:G39"/>
    <mergeCell ref="N72:W72"/>
    <mergeCell ref="N84:W84"/>
    <mergeCell ref="A5:B7"/>
    <mergeCell ref="H39:L39"/>
    <mergeCell ref="H60:L60"/>
    <mergeCell ref="M5:M7"/>
    <mergeCell ref="N60:W60"/>
    <mergeCell ref="H8:L8"/>
    <mergeCell ref="H23:L23"/>
    <mergeCell ref="I6:L6"/>
    <mergeCell ref="H72:L72"/>
    <mergeCell ref="H46:L46"/>
    <mergeCell ref="C46:G46"/>
    <mergeCell ref="C60:G60"/>
    <mergeCell ref="C72:G72"/>
    <mergeCell ref="D1:E1"/>
    <mergeCell ref="D2:E2"/>
    <mergeCell ref="D3:E3"/>
    <mergeCell ref="H5:L5"/>
    <mergeCell ref="S6:T6"/>
    <mergeCell ref="U6:W6"/>
    <mergeCell ref="O6:P6"/>
    <mergeCell ref="N5:W5"/>
    <mergeCell ref="Q6:R6"/>
    <mergeCell ref="N8:W8"/>
    <mergeCell ref="N23:W23"/>
    <mergeCell ref="N39:W39"/>
    <mergeCell ref="N46:W46"/>
    <mergeCell ref="H84:L84"/>
  </mergeCells>
  <phoneticPr fontId="3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E20C41A573044891B706B2C0BDA8B" ma:contentTypeVersion="0" ma:contentTypeDescription="Create a new document." ma:contentTypeScope="" ma:versionID="d7e28867ae7531b8951c8aceb2c329f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834f8c0c0eabdc6c42b2f987c760c0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5359A1-5FAC-4302-ACB2-8039B313C89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4AA1AB-762C-46E5-B095-EC4C02B9FCE2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metadata/propertie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202752F-AC3A-47F4-BA19-AC05384951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2021-06-22T03:33:06Z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0x010100B60E20C41A573044891B706B2C0BDA8B</vt:lpwstr>
  </property>
  <property fmtid="{D5CDD505-2E9C-101B-9397-08002B2CF9AE}" pid="3" name="_2015_ms_pID_725343">
    <vt:lpwstr>(3)H3OF85dPAhLka/UJfR+2K2m6gLwLFTGe0SMsuNBW0TUhl/uTwmBQUYbzK1GT625+4uY3x0en
PsQYSx+Faf5L6DVOKzRnUJ0G0NuK4fsUSOTWRfP5BFzFKIAPMdhmC4rIBTYekB0+KqGs2f0Z
ikeOihOuhYdYNxU3RIkOlW6BGmHbfMmif4tHBhlyp1XNnlJsZxa8ROrAGoqYojKOlxBq5qgg
v6aHvOj6XqDuAtqkhg</vt:lpwstr>
  </property>
  <property fmtid="{D5CDD505-2E9C-101B-9397-08002B2CF9AE}" pid="4" name="_2015_ms_pID_7253431">
    <vt:lpwstr>YEf61DKNAERP432IeOEbRsWivKze/xEOUms9lmoXKYsb27RQslUEaP
gEnxE4M2vrCvuzDzu4VARpHWCugNIm8Y8Nq377YNl+Bq7NQJK7lWlf9oxitJVQFZP9/RICls
dKhIB7Vk78DepBmXXi7919ogA8YFAfMPioPr128T7z5H2VsRGa8jsm9e9J+bIkwD75CfsWKe
zW/gMpRyNMNv+G6XR6LbhxBJbXMyRbp+y4ZV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1623378990</vt:lpwstr>
  </property>
  <property fmtid="{D5CDD505-2E9C-101B-9397-08002B2CF9AE}" pid="9" name="_2015_ms_pID_7253432">
    <vt:lpwstr>NV74JOISIalwZfTWyNwe0MM=</vt:lpwstr>
  </property>
</Properties>
</file>