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ricm\Documents\Publications\2019\Global DC\"/>
    </mc:Choice>
  </mc:AlternateContent>
  <bookViews>
    <workbookView xWindow="-120" yWindow="-120" windowWidth="29040" windowHeight="15840" tabRatio="692"/>
  </bookViews>
  <sheets>
    <sheet name="Introduction" sheetId="24" r:id="rId1"/>
    <sheet name="Current Trends Analysis" sheetId="25" r:id="rId2"/>
    <sheet name="Global Server Stock" sheetId="1" r:id="rId3"/>
    <sheet name="Global Server Energy" sheetId="6" r:id="rId4"/>
    <sheet name="Regional Server Stock" sheetId="4" r:id="rId5"/>
    <sheet name="Regional Server Energy" sheetId="7" r:id="rId6"/>
    <sheet name="Global Storage Stock" sheetId="14" r:id="rId7"/>
    <sheet name="Global Storage Energy" sheetId="15" r:id="rId8"/>
    <sheet name="Regional Storage Energy" sheetId="16" r:id="rId9"/>
    <sheet name="Global Network Stock" sheetId="10" r:id="rId10"/>
    <sheet name="Global Network Energy" sheetId="11" r:id="rId11"/>
    <sheet name="Regional Network Energy" sheetId="12" r:id="rId12"/>
    <sheet name="Regional PUE" sheetId="8" r:id="rId13"/>
    <sheet name="Regional Infrastructure Energy" sheetId="17" r:id="rId14"/>
    <sheet name="References" sheetId="23" r:id="rId15"/>
    <sheet name="Figure 1" sheetId="21" r:id="rId16"/>
    <sheet name="Figure 2a" sheetId="18" r:id="rId17"/>
    <sheet name="Figure 2b" sheetId="19" r:id="rId18"/>
    <sheet name="Figure 2c" sheetId="20" r:id="rId19"/>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21" l="1"/>
  <c r="K14" i="21"/>
  <c r="C15" i="21"/>
  <c r="K15" i="21"/>
  <c r="C16" i="21"/>
  <c r="K16" i="21"/>
  <c r="C19" i="21"/>
  <c r="K19" i="21"/>
  <c r="K6" i="21"/>
  <c r="C6" i="21"/>
  <c r="C36" i="8"/>
  <c r="C35" i="8"/>
  <c r="C34" i="8"/>
  <c r="D37" i="8"/>
  <c r="D38" i="8" s="1"/>
  <c r="F38" i="8" s="1"/>
  <c r="G38" i="8" s="1"/>
  <c r="H38" i="8" s="1"/>
  <c r="I38" i="8" s="1"/>
  <c r="J38" i="8" s="1"/>
  <c r="C37" i="8"/>
  <c r="C33" i="8" s="1"/>
  <c r="D24" i="8"/>
  <c r="C24" i="8"/>
  <c r="D23" i="8"/>
  <c r="C23" i="8"/>
  <c r="D11" i="8"/>
  <c r="D10" i="8" s="1"/>
  <c r="C11" i="8"/>
  <c r="C10" i="8" s="1"/>
  <c r="C18" i="4"/>
  <c r="C19" i="4"/>
  <c r="C20" i="4"/>
  <c r="C21" i="4"/>
  <c r="C22" i="4"/>
  <c r="C17" i="4"/>
  <c r="C38" i="8" l="1"/>
  <c r="D33" i="8"/>
  <c r="F33" i="8" s="1"/>
  <c r="G33" i="8" s="1"/>
  <c r="H33" i="8" s="1"/>
  <c r="I33" i="8" s="1"/>
  <c r="J33" i="8" s="1"/>
  <c r="D34" i="8"/>
  <c r="F34" i="8" s="1"/>
  <c r="G34" i="8" s="1"/>
  <c r="H34" i="8" s="1"/>
  <c r="I34" i="8" s="1"/>
  <c r="J34" i="8" s="1"/>
  <c r="F37" i="8"/>
  <c r="G37" i="8" s="1"/>
  <c r="H37" i="8" s="1"/>
  <c r="I37" i="8" s="1"/>
  <c r="J37" i="8" s="1"/>
  <c r="D36" i="8"/>
  <c r="F36" i="8" s="1"/>
  <c r="G36" i="8" s="1"/>
  <c r="H36" i="8" s="1"/>
  <c r="I36" i="8" s="1"/>
  <c r="J36" i="8" s="1"/>
  <c r="D35" i="8"/>
  <c r="F35" i="8" s="1"/>
  <c r="G35" i="8" s="1"/>
  <c r="H35" i="8" s="1"/>
  <c r="I35" i="8" s="1"/>
  <c r="J35" i="8" s="1"/>
  <c r="O5" i="15"/>
  <c r="P5" i="15" s="1"/>
  <c r="N5" i="15"/>
  <c r="M5" i="15"/>
  <c r="R17" i="1" l="1"/>
  <c r="P17" i="1" l="1"/>
  <c r="Q17" i="1" s="1"/>
  <c r="O40" i="14"/>
  <c r="P40" i="14" s="1"/>
  <c r="Q40" i="14" s="1"/>
  <c r="O41" i="14"/>
  <c r="P41" i="14" s="1"/>
  <c r="Q41" i="14" s="1"/>
  <c r="R15" i="1"/>
  <c r="P15" i="1" s="1"/>
  <c r="Q15" i="1" s="1"/>
  <c r="O7" i="11" l="1"/>
  <c r="P7" i="11" s="1"/>
  <c r="Q7" i="11" s="1"/>
  <c r="O6" i="11"/>
  <c r="P6" i="11" s="1"/>
  <c r="Q6" i="11" s="1"/>
  <c r="O5" i="11"/>
  <c r="P5" i="11" s="1"/>
  <c r="Q5" i="11" s="1"/>
  <c r="R5" i="10" l="1"/>
  <c r="O5" i="10" s="1"/>
  <c r="P5" i="10" l="1"/>
  <c r="Q5" i="10"/>
  <c r="R42" i="1"/>
  <c r="R41" i="1"/>
  <c r="O41" i="1" s="1"/>
  <c r="P41" i="1" s="1"/>
  <c r="Q41" i="1" s="1"/>
  <c r="R19" i="15"/>
  <c r="O19" i="15" s="1"/>
  <c r="P19" i="15" s="1"/>
  <c r="Q19" i="15" s="1"/>
  <c r="R6" i="15"/>
  <c r="O6" i="15" s="1"/>
  <c r="P6" i="15" s="1"/>
  <c r="Q6" i="15" s="1"/>
  <c r="O42" i="1" l="1"/>
  <c r="P42" i="1" s="1"/>
  <c r="Q42" i="1" s="1"/>
  <c r="N33" i="14" l="1"/>
  <c r="N53" i="14" s="1"/>
  <c r="H33" i="14"/>
  <c r="H53" i="14" s="1"/>
  <c r="N26" i="14"/>
  <c r="N47" i="14" s="1"/>
  <c r="H26" i="14"/>
  <c r="H47" i="14" s="1"/>
  <c r="D18" i="14"/>
  <c r="E18" i="14"/>
  <c r="F18" i="14" s="1"/>
  <c r="G18" i="14" s="1"/>
  <c r="C17" i="14"/>
  <c r="C26" i="14" s="1"/>
  <c r="C47" i="14" s="1"/>
  <c r="I18" i="14"/>
  <c r="J18" i="14" s="1"/>
  <c r="K18" i="14" s="1"/>
  <c r="M18" i="14" s="1"/>
  <c r="D17" i="14" l="1"/>
  <c r="C33" i="14"/>
  <c r="C53" i="14" s="1"/>
  <c r="E17" i="14"/>
  <c r="F17" i="14" s="1"/>
  <c r="F33" i="14" s="1"/>
  <c r="F53" i="14" s="1"/>
  <c r="E26" i="14" l="1"/>
  <c r="E47" i="14" s="1"/>
  <c r="E33" i="14"/>
  <c r="E53" i="14" s="1"/>
  <c r="D26" i="14"/>
  <c r="D47" i="14" s="1"/>
  <c r="D33" i="14"/>
  <c r="D53" i="14" s="1"/>
  <c r="F26" i="14"/>
  <c r="F47" i="14" s="1"/>
  <c r="G17" i="14"/>
  <c r="G33" i="14" s="1"/>
  <c r="G53" i="14" s="1"/>
  <c r="G26" i="14" l="1"/>
  <c r="G47" i="14" s="1"/>
  <c r="R6" i="6"/>
  <c r="O6" i="6" s="1"/>
  <c r="P6" i="6" s="1"/>
  <c r="R7" i="6"/>
  <c r="O7" i="6" s="1"/>
  <c r="P7" i="6" s="1"/>
  <c r="R8" i="6"/>
  <c r="O8" i="6" s="1"/>
  <c r="P8" i="6" s="1"/>
  <c r="R9" i="6"/>
  <c r="O9" i="6" s="1"/>
  <c r="P9" i="6" s="1"/>
  <c r="R10" i="6"/>
  <c r="O10" i="6" s="1"/>
  <c r="P10" i="6" s="1"/>
  <c r="R11" i="6"/>
  <c r="O11" i="6" s="1"/>
  <c r="P11" i="6" s="1"/>
  <c r="R12" i="6"/>
  <c r="O12" i="6" s="1"/>
  <c r="P12" i="6" s="1"/>
  <c r="R5" i="6"/>
  <c r="O5" i="6" s="1"/>
  <c r="P5" i="6" s="1"/>
  <c r="R6" i="1"/>
  <c r="P6" i="1" s="1"/>
  <c r="I23" i="4" s="1"/>
  <c r="R5" i="1"/>
  <c r="P5" i="1" s="1"/>
  <c r="D7" i="1"/>
  <c r="E7" i="1"/>
  <c r="F7" i="1"/>
  <c r="G7" i="1"/>
  <c r="H7" i="1"/>
  <c r="I7" i="1"/>
  <c r="J7" i="1"/>
  <c r="K7" i="1"/>
  <c r="D11" i="18" s="1"/>
  <c r="D12" i="18" s="1"/>
  <c r="M7" i="1"/>
  <c r="N7" i="1"/>
  <c r="O7" i="1"/>
  <c r="I11" i="18" s="1"/>
  <c r="I12" i="18" s="1"/>
  <c r="C7" i="1"/>
  <c r="C11" i="18" s="1"/>
  <c r="C12" i="18" s="1"/>
  <c r="N8" i="1" l="1"/>
  <c r="H11" i="18"/>
  <c r="H12" i="18" s="1"/>
  <c r="M8" i="1"/>
  <c r="G11" i="18"/>
  <c r="G12" i="18" s="1"/>
  <c r="P16" i="1"/>
  <c r="P33" i="1" s="1"/>
  <c r="I11" i="4"/>
  <c r="P25" i="6"/>
  <c r="P51" i="6" s="1"/>
  <c r="Q12" i="6"/>
  <c r="Q5" i="6"/>
  <c r="P18" i="6"/>
  <c r="P24" i="6"/>
  <c r="P50" i="6" s="1"/>
  <c r="Q11" i="6"/>
  <c r="P23" i="6"/>
  <c r="P31" i="6" s="1"/>
  <c r="Q10" i="6"/>
  <c r="Q9" i="6"/>
  <c r="P22" i="6"/>
  <c r="P39" i="6" s="1"/>
  <c r="Q8" i="6"/>
  <c r="P21" i="6"/>
  <c r="P49" i="6" s="1"/>
  <c r="Q7" i="6"/>
  <c r="P20" i="6"/>
  <c r="P30" i="6" s="1"/>
  <c r="P19" i="6"/>
  <c r="P38" i="6" s="1"/>
  <c r="Q6" i="6"/>
  <c r="Q6" i="1"/>
  <c r="P18" i="1"/>
  <c r="Q5" i="1"/>
  <c r="O8" i="1"/>
  <c r="P7" i="1"/>
  <c r="D15" i="1"/>
  <c r="E15" i="1" s="1"/>
  <c r="F15" i="1" s="1"/>
  <c r="D17" i="1"/>
  <c r="E17" i="1" s="1"/>
  <c r="F17" i="1" s="1"/>
  <c r="P19" i="1" l="1"/>
  <c r="P8" i="1"/>
  <c r="J11" i="18"/>
  <c r="J12" i="18" s="1"/>
  <c r="P6" i="10"/>
  <c r="P15" i="10" s="1"/>
  <c r="P35" i="1"/>
  <c r="J11" i="4"/>
  <c r="J23" i="4"/>
  <c r="Q18" i="6"/>
  <c r="Q25" i="6"/>
  <c r="Q51" i="6" s="1"/>
  <c r="Q20" i="6"/>
  <c r="Q30" i="6" s="1"/>
  <c r="Q21" i="6"/>
  <c r="Q49" i="6" s="1"/>
  <c r="Q22" i="6"/>
  <c r="Q39" i="6" s="1"/>
  <c r="Q23" i="6"/>
  <c r="Q31" i="6" s="1"/>
  <c r="Q24" i="6"/>
  <c r="Q50" i="6" s="1"/>
  <c r="Q19" i="6"/>
  <c r="Q38" i="6" s="1"/>
  <c r="Q18" i="1"/>
  <c r="Q7" i="1"/>
  <c r="Q16" i="1"/>
  <c r="Q33" i="1" s="1"/>
  <c r="Q8" i="1" l="1"/>
  <c r="K11" i="18"/>
  <c r="P34" i="1"/>
  <c r="I63" i="4"/>
  <c r="I61" i="4"/>
  <c r="I62" i="4"/>
  <c r="I60" i="4"/>
  <c r="I59" i="4"/>
  <c r="I64" i="4"/>
  <c r="Q19" i="1"/>
  <c r="K12" i="18" l="1"/>
  <c r="E11" i="18"/>
  <c r="E12" i="18" s="1"/>
  <c r="Q35" i="1"/>
  <c r="J62" i="4" s="1"/>
  <c r="Q6" i="10"/>
  <c r="Q15" i="10" s="1"/>
  <c r="I65" i="4"/>
  <c r="P36" i="1"/>
  <c r="P13" i="10" s="1"/>
  <c r="P14" i="11" s="1"/>
  <c r="J59" i="4" l="1"/>
  <c r="J64" i="4"/>
  <c r="J60" i="4"/>
  <c r="J61" i="4"/>
  <c r="J63" i="4"/>
  <c r="Q34" i="1"/>
  <c r="P37" i="1"/>
  <c r="P40" i="1"/>
  <c r="P39" i="1"/>
  <c r="P38" i="1"/>
  <c r="P12" i="10"/>
  <c r="P13" i="11" s="1"/>
  <c r="P14" i="10"/>
  <c r="P15" i="11" s="1"/>
  <c r="I24" i="12" s="1"/>
  <c r="J65" i="4" l="1"/>
  <c r="I26" i="12"/>
  <c r="Q36" i="1"/>
  <c r="Q13" i="10" s="1"/>
  <c r="Q14" i="11" s="1"/>
  <c r="P16" i="11"/>
  <c r="I27" i="12"/>
  <c r="I28" i="12"/>
  <c r="I29" i="12"/>
  <c r="I25" i="12"/>
  <c r="I30" i="12" l="1"/>
  <c r="Q39" i="1"/>
  <c r="Q37" i="1"/>
  <c r="Q40" i="1"/>
  <c r="Q38" i="1"/>
  <c r="Q12" i="10"/>
  <c r="Q13" i="11" s="1"/>
  <c r="Q14" i="10"/>
  <c r="Q15" i="11" s="1"/>
  <c r="J24" i="12" l="1"/>
  <c r="J25" i="12"/>
  <c r="J28" i="12"/>
  <c r="J27" i="12"/>
  <c r="J26" i="12"/>
  <c r="J29" i="12"/>
  <c r="Q16" i="11"/>
  <c r="J30" i="12" l="1"/>
  <c r="D22" i="8"/>
  <c r="I19" i="8" l="1"/>
  <c r="I20" i="8"/>
  <c r="I21" i="8"/>
  <c r="I22" i="8"/>
  <c r="I8" i="8"/>
  <c r="I10" i="8"/>
  <c r="I7" i="8"/>
  <c r="I12" i="8"/>
  <c r="I9" i="8"/>
  <c r="C22" i="8"/>
  <c r="C20" i="8"/>
  <c r="C19" i="8"/>
  <c r="C21" i="8"/>
  <c r="F22" i="8"/>
  <c r="F20" i="8"/>
  <c r="F19" i="8"/>
  <c r="F21" i="8"/>
  <c r="D21" i="8"/>
  <c r="D19" i="8"/>
  <c r="D20" i="8"/>
  <c r="G20" i="8"/>
  <c r="J19" i="8" l="1"/>
  <c r="J20" i="8"/>
  <c r="J22" i="8"/>
  <c r="J21" i="8"/>
  <c r="J8" i="8"/>
  <c r="J10" i="8"/>
  <c r="J9" i="8"/>
  <c r="J7" i="8"/>
  <c r="J12" i="8"/>
  <c r="G21" i="8"/>
  <c r="G19" i="8"/>
  <c r="G22" i="8"/>
  <c r="H22" i="8" l="1"/>
  <c r="H19" i="8"/>
  <c r="H20" i="8"/>
  <c r="H21" i="8"/>
  <c r="D9" i="8" l="1"/>
  <c r="D7" i="8"/>
  <c r="D8" i="8"/>
  <c r="D12" i="8"/>
  <c r="C8" i="8" l="1"/>
  <c r="C9" i="8"/>
  <c r="C12" i="8"/>
  <c r="C7" i="8"/>
  <c r="F12" i="8"/>
  <c r="F7" i="8"/>
  <c r="F10" i="8"/>
  <c r="F8" i="8"/>
  <c r="F9" i="8"/>
  <c r="G8" i="8" l="1"/>
  <c r="G9" i="8"/>
  <c r="G12" i="8"/>
  <c r="G7" i="8"/>
  <c r="G10" i="8"/>
  <c r="H9" i="8" l="1"/>
  <c r="H10" i="8"/>
  <c r="H8" i="8"/>
  <c r="H12" i="8"/>
  <c r="H7" i="8"/>
  <c r="F7" i="14" l="1"/>
  <c r="I7" i="14"/>
  <c r="H7" i="14"/>
  <c r="H26" i="15"/>
  <c r="J7" i="14"/>
  <c r="K7" i="14"/>
  <c r="K8" i="21" s="1"/>
  <c r="M7" i="14"/>
  <c r="N7" i="14"/>
  <c r="O6" i="14" l="1"/>
  <c r="O33" i="14" s="1"/>
  <c r="O53" i="14" s="1"/>
  <c r="O32" i="15" s="1"/>
  <c r="O5" i="14"/>
  <c r="H32" i="15"/>
  <c r="N32" i="15"/>
  <c r="G7" i="14"/>
  <c r="E7" i="14"/>
  <c r="D7" i="14" l="1"/>
  <c r="G32" i="15"/>
  <c r="G26" i="15"/>
  <c r="O18" i="6"/>
  <c r="O19" i="6"/>
  <c r="O38" i="6" s="1"/>
  <c r="O20" i="6"/>
  <c r="O30" i="6" s="1"/>
  <c r="O21" i="6"/>
  <c r="O49" i="6" s="1"/>
  <c r="O22" i="6"/>
  <c r="O39" i="6" s="1"/>
  <c r="O23" i="6"/>
  <c r="O31" i="6" s="1"/>
  <c r="O24" i="6"/>
  <c r="O50" i="6" s="1"/>
  <c r="O25" i="6"/>
  <c r="O51" i="6" s="1"/>
  <c r="F32" i="15" l="1"/>
  <c r="F26" i="15"/>
  <c r="D18" i="6"/>
  <c r="E18" i="6"/>
  <c r="F18" i="6"/>
  <c r="G18" i="6"/>
  <c r="H18" i="6"/>
  <c r="I18" i="6"/>
  <c r="J18" i="6"/>
  <c r="K18" i="6"/>
  <c r="M18" i="6"/>
  <c r="N18" i="6"/>
  <c r="D19" i="6"/>
  <c r="D38" i="6" s="1"/>
  <c r="E19" i="6"/>
  <c r="E38" i="6" s="1"/>
  <c r="F19" i="6"/>
  <c r="F38" i="6" s="1"/>
  <c r="G19" i="6"/>
  <c r="G38" i="6" s="1"/>
  <c r="H19" i="6"/>
  <c r="H38" i="6" s="1"/>
  <c r="I19" i="6"/>
  <c r="I38" i="6" s="1"/>
  <c r="J19" i="6"/>
  <c r="J38" i="6" s="1"/>
  <c r="K19" i="6"/>
  <c r="K38" i="6" s="1"/>
  <c r="M19" i="6"/>
  <c r="M38" i="6" s="1"/>
  <c r="N19" i="6"/>
  <c r="N38" i="6" s="1"/>
  <c r="N20" i="6"/>
  <c r="N30" i="6" s="1"/>
  <c r="D21" i="6"/>
  <c r="D49" i="6" s="1"/>
  <c r="E21" i="6"/>
  <c r="E49" i="6" s="1"/>
  <c r="F21" i="6"/>
  <c r="F49" i="6" s="1"/>
  <c r="G21" i="6"/>
  <c r="G49" i="6" s="1"/>
  <c r="H21" i="6"/>
  <c r="H49" i="6" s="1"/>
  <c r="I21" i="6"/>
  <c r="I49" i="6" s="1"/>
  <c r="J21" i="6"/>
  <c r="J49" i="6" s="1"/>
  <c r="K21" i="6"/>
  <c r="K49" i="6" s="1"/>
  <c r="M21" i="6"/>
  <c r="M49" i="6" s="1"/>
  <c r="N21" i="6"/>
  <c r="N49" i="6" s="1"/>
  <c r="N22" i="6"/>
  <c r="N39" i="6" s="1"/>
  <c r="N23" i="6"/>
  <c r="N31" i="6" s="1"/>
  <c r="D24" i="6"/>
  <c r="D50" i="6" s="1"/>
  <c r="E24" i="6"/>
  <c r="E50" i="6" s="1"/>
  <c r="F24" i="6"/>
  <c r="F50" i="6" s="1"/>
  <c r="G24" i="6"/>
  <c r="G50" i="6" s="1"/>
  <c r="H24" i="6"/>
  <c r="H50" i="6" s="1"/>
  <c r="I24" i="6"/>
  <c r="I50" i="6" s="1"/>
  <c r="J24" i="6"/>
  <c r="J50" i="6" s="1"/>
  <c r="K24" i="6"/>
  <c r="K50" i="6" s="1"/>
  <c r="M24" i="6"/>
  <c r="M50" i="6" s="1"/>
  <c r="N24" i="6"/>
  <c r="N50" i="6" s="1"/>
  <c r="D25" i="6"/>
  <c r="D51" i="6" s="1"/>
  <c r="E25" i="6"/>
  <c r="E51" i="6" s="1"/>
  <c r="F25" i="6"/>
  <c r="F51" i="6" s="1"/>
  <c r="G25" i="6"/>
  <c r="G51" i="6" s="1"/>
  <c r="H25" i="6"/>
  <c r="H51" i="6" s="1"/>
  <c r="I25" i="6"/>
  <c r="I51" i="6" s="1"/>
  <c r="J25" i="6"/>
  <c r="J51" i="6" s="1"/>
  <c r="K25" i="6"/>
  <c r="K51" i="6" s="1"/>
  <c r="M25" i="6"/>
  <c r="M51" i="6" s="1"/>
  <c r="N25" i="6"/>
  <c r="N51" i="6" s="1"/>
  <c r="C19" i="6"/>
  <c r="C38" i="6" s="1"/>
  <c r="C20" i="6"/>
  <c r="C30" i="6" s="1"/>
  <c r="C21" i="6"/>
  <c r="C49" i="6" s="1"/>
  <c r="C22" i="6"/>
  <c r="C39" i="6" s="1"/>
  <c r="C23" i="6"/>
  <c r="C31" i="6" s="1"/>
  <c r="C24" i="6"/>
  <c r="C50" i="6" s="1"/>
  <c r="C25" i="6"/>
  <c r="C51" i="6" s="1"/>
  <c r="C18" i="6"/>
  <c r="M20" i="6"/>
  <c r="M30" i="6" s="1"/>
  <c r="M22" i="6"/>
  <c r="M39" i="6" s="1"/>
  <c r="M23" i="6"/>
  <c r="M31" i="6" s="1"/>
  <c r="D23" i="6" l="1"/>
  <c r="D31" i="6" s="1"/>
  <c r="K23" i="6"/>
  <c r="K31" i="6" s="1"/>
  <c r="E23" i="6"/>
  <c r="E31" i="6" s="1"/>
  <c r="J23" i="6"/>
  <c r="J31" i="6" s="1"/>
  <c r="I23" i="6"/>
  <c r="I31" i="6" s="1"/>
  <c r="H23" i="6"/>
  <c r="H31" i="6" s="1"/>
  <c r="G23" i="6"/>
  <c r="G31" i="6" s="1"/>
  <c r="F23" i="6"/>
  <c r="F31" i="6" s="1"/>
  <c r="F22" i="6"/>
  <c r="F39" i="6" s="1"/>
  <c r="D22" i="6"/>
  <c r="D39" i="6" s="1"/>
  <c r="K22" i="6"/>
  <c r="K39" i="6" s="1"/>
  <c r="J22" i="6"/>
  <c r="J39" i="6" s="1"/>
  <c r="E22" i="6"/>
  <c r="E39" i="6" s="1"/>
  <c r="I22" i="6"/>
  <c r="I39" i="6" s="1"/>
  <c r="H22" i="6"/>
  <c r="H39" i="6" s="1"/>
  <c r="G22" i="6"/>
  <c r="G39" i="6" s="1"/>
  <c r="F20" i="6"/>
  <c r="F30" i="6" s="1"/>
  <c r="D20" i="6"/>
  <c r="D30" i="6" s="1"/>
  <c r="K20" i="6"/>
  <c r="K30" i="6" s="1"/>
  <c r="J20" i="6"/>
  <c r="J30" i="6" s="1"/>
  <c r="I20" i="6"/>
  <c r="I30" i="6" s="1"/>
  <c r="H20" i="6"/>
  <c r="H30" i="6" s="1"/>
  <c r="E20" i="6"/>
  <c r="E30" i="6" s="1"/>
  <c r="G20" i="6"/>
  <c r="G30" i="6" s="1"/>
  <c r="E32" i="15"/>
  <c r="E26" i="15"/>
  <c r="C7" i="14"/>
  <c r="C8" i="21" s="1"/>
  <c r="C17" i="21" l="1"/>
  <c r="K17" i="21"/>
  <c r="D32" i="15"/>
  <c r="D26" i="15"/>
  <c r="C26" i="15"/>
  <c r="C34" i="4"/>
  <c r="H33" i="4"/>
  <c r="H23" i="4"/>
  <c r="G23" i="4"/>
  <c r="F23" i="4"/>
  <c r="D23" i="4"/>
  <c r="H11" i="4"/>
  <c r="G11" i="4"/>
  <c r="F11" i="4"/>
  <c r="D11" i="4"/>
  <c r="I20" i="4" l="1"/>
  <c r="I53" i="4" s="1"/>
  <c r="I22" i="4"/>
  <c r="I55" i="4" s="1"/>
  <c r="I17" i="4"/>
  <c r="I50" i="4" s="1"/>
  <c r="I18" i="4"/>
  <c r="I51" i="4" s="1"/>
  <c r="I19" i="4"/>
  <c r="I52" i="4" s="1"/>
  <c r="I21" i="4"/>
  <c r="I54" i="4" s="1"/>
  <c r="J18" i="4"/>
  <c r="J51" i="4" s="1"/>
  <c r="J20" i="4"/>
  <c r="J53" i="4" s="1"/>
  <c r="J21" i="4"/>
  <c r="J54" i="4" s="1"/>
  <c r="J22" i="4"/>
  <c r="J55" i="4" s="1"/>
  <c r="J17" i="4"/>
  <c r="J50" i="4" s="1"/>
  <c r="J19" i="4"/>
  <c r="J52" i="4" s="1"/>
  <c r="I8" i="4"/>
  <c r="I44" i="4" s="1"/>
  <c r="I9" i="4"/>
  <c r="I45" i="4" s="1"/>
  <c r="I6" i="4"/>
  <c r="I42" i="4" s="1"/>
  <c r="I10" i="4"/>
  <c r="I46" i="4" s="1"/>
  <c r="I7" i="4"/>
  <c r="I43" i="4" s="1"/>
  <c r="I5" i="4"/>
  <c r="I41" i="4" s="1"/>
  <c r="J9" i="4"/>
  <c r="J45" i="4" s="1"/>
  <c r="J5" i="4"/>
  <c r="J41" i="4" s="1"/>
  <c r="J6" i="4"/>
  <c r="J42" i="4" s="1"/>
  <c r="J7" i="4"/>
  <c r="J43" i="4" s="1"/>
  <c r="J10" i="4"/>
  <c r="J46" i="4" s="1"/>
  <c r="J8" i="4"/>
  <c r="J44" i="4" s="1"/>
  <c r="C64" i="1"/>
  <c r="C43" i="6" s="1"/>
  <c r="C63" i="1"/>
  <c r="C42" i="6" s="1"/>
  <c r="C32" i="15"/>
  <c r="J56" i="4" l="1"/>
  <c r="J15" i="12" s="1"/>
  <c r="J47" i="4"/>
  <c r="J7" i="12" s="1"/>
  <c r="I56" i="4"/>
  <c r="I16" i="12" s="1"/>
  <c r="I47" i="4"/>
  <c r="I10" i="12" s="1"/>
  <c r="C55" i="1"/>
  <c r="C34" i="6" s="1"/>
  <c r="C56" i="1"/>
  <c r="C35" i="6" s="1"/>
  <c r="J10" i="12" l="1"/>
  <c r="J17" i="12"/>
  <c r="J16" i="12"/>
  <c r="J18" i="12"/>
  <c r="J20" i="12"/>
  <c r="J6" i="12"/>
  <c r="I11" i="12"/>
  <c r="I8" i="12"/>
  <c r="I19" i="12"/>
  <c r="I7" i="12"/>
  <c r="I18" i="12"/>
  <c r="J19" i="12"/>
  <c r="I15" i="12"/>
  <c r="J11" i="12"/>
  <c r="I6" i="12"/>
  <c r="I20" i="12"/>
  <c r="I9" i="12"/>
  <c r="J8" i="12"/>
  <c r="J9" i="12"/>
  <c r="I17" i="12"/>
  <c r="J21" i="12" l="1"/>
  <c r="I12" i="12"/>
  <c r="I21" i="12"/>
  <c r="J7" i="18" s="1"/>
  <c r="J12" i="12"/>
  <c r="K7" i="18" s="1"/>
  <c r="D18" i="1"/>
  <c r="O18" i="1"/>
  <c r="I18" i="1"/>
  <c r="H18" i="1"/>
  <c r="C18" i="1"/>
  <c r="J17" i="1"/>
  <c r="J15" i="1"/>
  <c r="E7" i="18" l="1"/>
  <c r="K15" i="1"/>
  <c r="K17" i="1"/>
  <c r="K18" i="1" s="1"/>
  <c r="J18" i="1"/>
  <c r="E18" i="1"/>
  <c r="F18" i="1"/>
  <c r="G18" i="1"/>
  <c r="M17" i="1" l="1"/>
  <c r="M15" i="1"/>
  <c r="D16" i="1"/>
  <c r="D33" i="1" s="1"/>
  <c r="E16" i="1"/>
  <c r="E33" i="1" s="1"/>
  <c r="F16" i="1"/>
  <c r="G16" i="1"/>
  <c r="H16" i="1"/>
  <c r="H33" i="1" s="1"/>
  <c r="I16" i="1"/>
  <c r="J16" i="1"/>
  <c r="K16" i="1"/>
  <c r="O16" i="1"/>
  <c r="C16" i="1"/>
  <c r="N15" i="1" l="1"/>
  <c r="M16" i="1"/>
  <c r="M33" i="1" s="1"/>
  <c r="N17" i="1"/>
  <c r="M18" i="1"/>
  <c r="E19" i="1"/>
  <c r="D19" i="1"/>
  <c r="I19" i="1"/>
  <c r="I33" i="1"/>
  <c r="C19" i="1"/>
  <c r="C6" i="10" s="1"/>
  <c r="C15" i="10" s="1"/>
  <c r="C33" i="1"/>
  <c r="G19" i="1"/>
  <c r="G33" i="1"/>
  <c r="K19" i="1"/>
  <c r="K33" i="1"/>
  <c r="H19" i="1"/>
  <c r="O19" i="1"/>
  <c r="O33" i="1"/>
  <c r="J19" i="1"/>
  <c r="J33" i="1"/>
  <c r="F19" i="1"/>
  <c r="F33" i="1"/>
  <c r="I6" i="10" l="1"/>
  <c r="I15" i="10" s="1"/>
  <c r="K7" i="21"/>
  <c r="K6" i="10"/>
  <c r="K15" i="10" s="1"/>
  <c r="G6" i="10"/>
  <c r="G15" i="10" s="1"/>
  <c r="F6" i="10"/>
  <c r="F15" i="10" s="1"/>
  <c r="O6" i="10"/>
  <c r="O15" i="10" s="1"/>
  <c r="D6" i="10"/>
  <c r="D15" i="10" s="1"/>
  <c r="E6" i="10"/>
  <c r="E15" i="10" s="1"/>
  <c r="J6" i="10"/>
  <c r="J15" i="10" s="1"/>
  <c r="H6" i="10"/>
  <c r="H15" i="10" s="1"/>
  <c r="F42" i="4"/>
  <c r="F46" i="4"/>
  <c r="F45" i="4"/>
  <c r="D63" i="1"/>
  <c r="D42" i="6" s="1"/>
  <c r="D64" i="1"/>
  <c r="E64" i="1"/>
  <c r="E43" i="6" s="1"/>
  <c r="M19" i="1"/>
  <c r="C7" i="21"/>
  <c r="F44" i="4"/>
  <c r="F43" i="4"/>
  <c r="E63" i="1"/>
  <c r="F41" i="4"/>
  <c r="N18" i="1"/>
  <c r="N16" i="1"/>
  <c r="K68" i="1"/>
  <c r="K67" i="1"/>
  <c r="H68" i="1"/>
  <c r="H47" i="6" s="1"/>
  <c r="J67" i="1"/>
  <c r="I67" i="1"/>
  <c r="I68" i="1"/>
  <c r="O63" i="1"/>
  <c r="O35" i="1"/>
  <c r="O64" i="1"/>
  <c r="C45" i="4"/>
  <c r="C42" i="4"/>
  <c r="C46" i="4"/>
  <c r="C41" i="4"/>
  <c r="C43" i="4"/>
  <c r="C44" i="4"/>
  <c r="F64" i="1"/>
  <c r="F63" i="1"/>
  <c r="M64" i="1"/>
  <c r="M63" i="1"/>
  <c r="I35" i="1"/>
  <c r="I63" i="1"/>
  <c r="I64" i="1"/>
  <c r="H35" i="1"/>
  <c r="H63" i="1"/>
  <c r="H64" i="1"/>
  <c r="J35" i="1"/>
  <c r="J64" i="1"/>
  <c r="J63" i="1"/>
  <c r="D42" i="4"/>
  <c r="D46" i="4"/>
  <c r="D41" i="4"/>
  <c r="D45" i="4"/>
  <c r="D44" i="4"/>
  <c r="D43" i="4"/>
  <c r="H41" i="4"/>
  <c r="H45" i="4"/>
  <c r="H44" i="4"/>
  <c r="H43" i="4"/>
  <c r="H46" i="4"/>
  <c r="H42" i="4"/>
  <c r="K35" i="1"/>
  <c r="K63" i="1"/>
  <c r="K64" i="1"/>
  <c r="G64" i="1"/>
  <c r="G63" i="1"/>
  <c r="K9" i="21" l="1"/>
  <c r="C9" i="21"/>
  <c r="C18" i="21" s="1"/>
  <c r="M6" i="10"/>
  <c r="M15" i="10" s="1"/>
  <c r="M35" i="1"/>
  <c r="M67" i="1"/>
  <c r="M46" i="6" s="1"/>
  <c r="C67" i="1"/>
  <c r="C46" i="6" s="1"/>
  <c r="F47" i="4"/>
  <c r="C35" i="1"/>
  <c r="C68" i="1"/>
  <c r="N19" i="1"/>
  <c r="N6" i="10" s="1"/>
  <c r="N15" i="10" s="1"/>
  <c r="N33" i="1"/>
  <c r="K47" i="6"/>
  <c r="O42" i="6"/>
  <c r="J68" i="1"/>
  <c r="J47" i="6" s="1"/>
  <c r="G42" i="6"/>
  <c r="I43" i="6"/>
  <c r="J46" i="6"/>
  <c r="G43" i="6"/>
  <c r="J42" i="6"/>
  <c r="I42" i="6"/>
  <c r="M68" i="1"/>
  <c r="M47" i="6" s="1"/>
  <c r="M42" i="6"/>
  <c r="H67" i="1"/>
  <c r="K43" i="6"/>
  <c r="K42" i="6"/>
  <c r="I47" i="6"/>
  <c r="J43" i="6"/>
  <c r="H42" i="6"/>
  <c r="O43" i="6"/>
  <c r="O56" i="1"/>
  <c r="O35" i="6" s="1"/>
  <c r="I46" i="6"/>
  <c r="I69" i="1"/>
  <c r="I48" i="6" s="1"/>
  <c r="K46" i="6"/>
  <c r="K69" i="1"/>
  <c r="K48" i="6" s="1"/>
  <c r="F43" i="6"/>
  <c r="F42" i="6"/>
  <c r="D55" i="1"/>
  <c r="D34" i="6" s="1"/>
  <c r="E42" i="6"/>
  <c r="D43" i="6"/>
  <c r="E55" i="1"/>
  <c r="D56" i="1"/>
  <c r="D35" i="6" s="1"/>
  <c r="E56" i="1"/>
  <c r="E35" i="6" s="1"/>
  <c r="H47" i="4"/>
  <c r="D35" i="1"/>
  <c r="D47" i="4"/>
  <c r="I34" i="1"/>
  <c r="H61" i="4"/>
  <c r="H60" i="4"/>
  <c r="H64" i="4"/>
  <c r="H63" i="4"/>
  <c r="H62" i="4"/>
  <c r="H59" i="4"/>
  <c r="O34" i="1"/>
  <c r="D62" i="4"/>
  <c r="D61" i="4"/>
  <c r="D60" i="4"/>
  <c r="D59" i="4"/>
  <c r="D64" i="4"/>
  <c r="D63" i="4"/>
  <c r="K34" i="1"/>
  <c r="K28" i="14" s="1"/>
  <c r="K49" i="14" s="1"/>
  <c r="H34" i="1"/>
  <c r="J34" i="1"/>
  <c r="J35" i="14" s="1"/>
  <c r="J55" i="14" s="1"/>
  <c r="C47" i="4"/>
  <c r="C11" i="16" s="1"/>
  <c r="F61" i="4"/>
  <c r="F60" i="4"/>
  <c r="K18" i="21" l="1"/>
  <c r="H27" i="14"/>
  <c r="H48" i="14" s="1"/>
  <c r="H34" i="14"/>
  <c r="H54" i="14" s="1"/>
  <c r="F63" i="4"/>
  <c r="F54" i="4" s="1"/>
  <c r="H28" i="14"/>
  <c r="H49" i="14" s="1"/>
  <c r="H28" i="15" s="1"/>
  <c r="H35" i="14"/>
  <c r="H55" i="14" s="1"/>
  <c r="H34" i="15" s="1"/>
  <c r="O34" i="14"/>
  <c r="J28" i="14"/>
  <c r="J49" i="14" s="1"/>
  <c r="J28" i="15" s="1"/>
  <c r="F59" i="4"/>
  <c r="F50" i="4" s="1"/>
  <c r="K34" i="15"/>
  <c r="K34" i="14"/>
  <c r="K54" i="14" s="1"/>
  <c r="K27" i="14"/>
  <c r="K48" i="14" s="1"/>
  <c r="O35" i="14"/>
  <c r="O55" i="14" s="1"/>
  <c r="O34" i="15" s="1"/>
  <c r="K35" i="14"/>
  <c r="K55" i="14" s="1"/>
  <c r="I27" i="14"/>
  <c r="I48" i="14" s="1"/>
  <c r="I34" i="14"/>
  <c r="I54" i="14" s="1"/>
  <c r="I28" i="14"/>
  <c r="I49" i="14" s="1"/>
  <c r="I28" i="15" s="1"/>
  <c r="J27" i="14"/>
  <c r="J48" i="14" s="1"/>
  <c r="J34" i="14"/>
  <c r="J54" i="14" s="1"/>
  <c r="M34" i="1"/>
  <c r="M35" i="14" s="1"/>
  <c r="M55" i="14" s="1"/>
  <c r="M34" i="15" s="1"/>
  <c r="F64" i="4"/>
  <c r="F55" i="4" s="1"/>
  <c r="I35" i="14"/>
  <c r="I55" i="14" s="1"/>
  <c r="I34" i="15" s="1"/>
  <c r="F62" i="4"/>
  <c r="C69" i="1"/>
  <c r="C48" i="6" s="1"/>
  <c r="C63" i="4"/>
  <c r="C61" i="4"/>
  <c r="C34" i="1"/>
  <c r="C59" i="4"/>
  <c r="C62" i="4"/>
  <c r="C64" i="4"/>
  <c r="C60" i="4"/>
  <c r="C47" i="6"/>
  <c r="J69" i="1"/>
  <c r="J48" i="6" s="1"/>
  <c r="J52" i="6" s="1"/>
  <c r="J43" i="1"/>
  <c r="D55" i="4"/>
  <c r="O36" i="1"/>
  <c r="O13" i="10" s="1"/>
  <c r="O14" i="11" s="1"/>
  <c r="I36" i="1"/>
  <c r="I13" i="10" s="1"/>
  <c r="I14" i="11" s="1"/>
  <c r="N68" i="1"/>
  <c r="N47" i="6" s="1"/>
  <c r="N35" i="1"/>
  <c r="C7" i="16"/>
  <c r="C9" i="16"/>
  <c r="F52" i="4"/>
  <c r="D53" i="4"/>
  <c r="H54" i="4"/>
  <c r="G46" i="4"/>
  <c r="G42" i="4"/>
  <c r="G43" i="4"/>
  <c r="G41" i="4"/>
  <c r="G44" i="4"/>
  <c r="G45" i="4"/>
  <c r="H55" i="4"/>
  <c r="K36" i="1"/>
  <c r="K13" i="10" s="1"/>
  <c r="K14" i="11" s="1"/>
  <c r="D51" i="4"/>
  <c r="H51" i="4"/>
  <c r="C10" i="16"/>
  <c r="F51" i="4"/>
  <c r="J36" i="1"/>
  <c r="J13" i="10" s="1"/>
  <c r="J14" i="11" s="1"/>
  <c r="H36" i="1"/>
  <c r="D54" i="4"/>
  <c r="D52" i="4"/>
  <c r="H53" i="4"/>
  <c r="H52" i="4"/>
  <c r="H43" i="1"/>
  <c r="C8" i="16"/>
  <c r="K28" i="15"/>
  <c r="C6" i="16"/>
  <c r="J34" i="15"/>
  <c r="I55" i="1"/>
  <c r="I34" i="6" s="1"/>
  <c r="K52" i="6"/>
  <c r="J56" i="1"/>
  <c r="J35" i="6" s="1"/>
  <c r="I52" i="6"/>
  <c r="O55" i="1"/>
  <c r="O34" i="6" s="1"/>
  <c r="K56" i="1"/>
  <c r="K35" i="6" s="1"/>
  <c r="G56" i="1"/>
  <c r="G35" i="6" s="1"/>
  <c r="I56" i="1"/>
  <c r="I35" i="6" s="1"/>
  <c r="K55" i="1"/>
  <c r="K34" i="6" s="1"/>
  <c r="I43" i="1"/>
  <c r="H46" i="6"/>
  <c r="H69" i="1"/>
  <c r="H48" i="6" s="1"/>
  <c r="J55" i="1"/>
  <c r="J34" i="6" s="1"/>
  <c r="M69" i="1"/>
  <c r="M48" i="6" s="1"/>
  <c r="M52" i="6" s="1"/>
  <c r="G55" i="1"/>
  <c r="G34" i="6" s="1"/>
  <c r="M43" i="1"/>
  <c r="F56" i="1"/>
  <c r="F35" i="6" s="1"/>
  <c r="I73" i="1"/>
  <c r="K43" i="1"/>
  <c r="H43" i="6"/>
  <c r="M43" i="6"/>
  <c r="K73" i="1"/>
  <c r="H56" i="1"/>
  <c r="H35" i="6" s="1"/>
  <c r="M56" i="1"/>
  <c r="M35" i="6" s="1"/>
  <c r="M55" i="1"/>
  <c r="M34" i="6" s="1"/>
  <c r="H55" i="1"/>
  <c r="H34" i="6" s="1"/>
  <c r="E34" i="6"/>
  <c r="F55" i="1"/>
  <c r="F34" i="6" s="1"/>
  <c r="D68" i="1"/>
  <c r="D47" i="6" s="1"/>
  <c r="D67" i="1"/>
  <c r="D65" i="4"/>
  <c r="D50" i="4"/>
  <c r="H65" i="4"/>
  <c r="H50" i="4"/>
  <c r="D34" i="1"/>
  <c r="D35" i="14" s="1"/>
  <c r="D55" i="14" s="1"/>
  <c r="M36" i="1" l="1"/>
  <c r="M12" i="10" s="1"/>
  <c r="M13" i="11" s="1"/>
  <c r="F11" i="12" s="1"/>
  <c r="M28" i="14"/>
  <c r="M49" i="14" s="1"/>
  <c r="D28" i="14"/>
  <c r="D49" i="14" s="1"/>
  <c r="K12" i="10"/>
  <c r="K13" i="11" s="1"/>
  <c r="K14" i="10"/>
  <c r="K15" i="11" s="1"/>
  <c r="D26" i="12" s="1"/>
  <c r="M27" i="14"/>
  <c r="M48" i="14" s="1"/>
  <c r="M34" i="14"/>
  <c r="M54" i="14" s="1"/>
  <c r="C34" i="14"/>
  <c r="C54" i="14" s="1"/>
  <c r="C27" i="14"/>
  <c r="C48" i="14" s="1"/>
  <c r="I12" i="10"/>
  <c r="I13" i="11" s="1"/>
  <c r="I14" i="10"/>
  <c r="I15" i="11" s="1"/>
  <c r="C28" i="14"/>
  <c r="C49" i="14" s="1"/>
  <c r="C28" i="15" s="1"/>
  <c r="H12" i="10"/>
  <c r="H13" i="11" s="1"/>
  <c r="H14" i="10"/>
  <c r="H15" i="11" s="1"/>
  <c r="O39" i="1"/>
  <c r="O38" i="1"/>
  <c r="O68" i="1" s="1"/>
  <c r="O47" i="6" s="1"/>
  <c r="O40" i="1"/>
  <c r="O37" i="1"/>
  <c r="O12" i="10"/>
  <c r="O13" i="11" s="1"/>
  <c r="O14" i="10"/>
  <c r="O15" i="11" s="1"/>
  <c r="H26" i="12" s="1"/>
  <c r="C35" i="14"/>
  <c r="C55" i="14" s="1"/>
  <c r="C34" i="15" s="1"/>
  <c r="H13" i="10"/>
  <c r="H14" i="11" s="1"/>
  <c r="D27" i="14"/>
  <c r="D48" i="14" s="1"/>
  <c r="D34" i="14"/>
  <c r="D54" i="14" s="1"/>
  <c r="J12" i="10"/>
  <c r="J13" i="11" s="1"/>
  <c r="J14" i="10"/>
  <c r="J15" i="11" s="1"/>
  <c r="O54" i="14"/>
  <c r="O56" i="14" s="1"/>
  <c r="O36" i="14"/>
  <c r="H28" i="12"/>
  <c r="F65" i="4"/>
  <c r="F27" i="7" s="1"/>
  <c r="P68" i="1"/>
  <c r="P47" i="6" s="1"/>
  <c r="Q68" i="1"/>
  <c r="Q47" i="6" s="1"/>
  <c r="F53" i="4"/>
  <c r="D24" i="16"/>
  <c r="C73" i="1"/>
  <c r="J73" i="1"/>
  <c r="N63" i="1"/>
  <c r="N42" i="6" s="1"/>
  <c r="N64" i="1"/>
  <c r="N43" i="6" s="1"/>
  <c r="C36" i="1"/>
  <c r="C52" i="6"/>
  <c r="C54" i="1"/>
  <c r="C62" i="1" s="1"/>
  <c r="C41" i="6" s="1"/>
  <c r="C65" i="4"/>
  <c r="C53" i="1"/>
  <c r="C61" i="1" s="1"/>
  <c r="C12" i="16"/>
  <c r="D29" i="16"/>
  <c r="N67" i="1"/>
  <c r="N43" i="1"/>
  <c r="H36" i="14"/>
  <c r="D27" i="16"/>
  <c r="D36" i="1"/>
  <c r="D34" i="15"/>
  <c r="D56" i="4"/>
  <c r="D16" i="12" s="1"/>
  <c r="D28" i="16"/>
  <c r="H29" i="14"/>
  <c r="G47" i="4"/>
  <c r="H56" i="4"/>
  <c r="H18" i="12" s="1"/>
  <c r="D27" i="7"/>
  <c r="D26" i="16"/>
  <c r="D28" i="15"/>
  <c r="D25" i="16"/>
  <c r="G63" i="4"/>
  <c r="G62" i="4"/>
  <c r="G64" i="4"/>
  <c r="G59" i="4"/>
  <c r="G60" i="4"/>
  <c r="G61" i="4"/>
  <c r="N34" i="1"/>
  <c r="N28" i="14" s="1"/>
  <c r="N49" i="14" s="1"/>
  <c r="D29" i="7"/>
  <c r="D26" i="7"/>
  <c r="D25" i="7"/>
  <c r="D24" i="7"/>
  <c r="D28" i="7"/>
  <c r="J53" i="1"/>
  <c r="J32" i="6" s="1"/>
  <c r="K53" i="1"/>
  <c r="K61" i="1" s="1"/>
  <c r="K40" i="6" s="1"/>
  <c r="J54" i="1"/>
  <c r="J33" i="6" s="1"/>
  <c r="H73" i="1"/>
  <c r="K54" i="1"/>
  <c r="K62" i="1" s="1"/>
  <c r="K41" i="6" s="1"/>
  <c r="D69" i="1"/>
  <c r="D48" i="6" s="1"/>
  <c r="M73" i="1"/>
  <c r="I53" i="1"/>
  <c r="I54" i="1"/>
  <c r="H52" i="6"/>
  <c r="H54" i="1"/>
  <c r="M54" i="1"/>
  <c r="H53" i="1"/>
  <c r="H61" i="1" s="1"/>
  <c r="M53" i="1"/>
  <c r="D46" i="6"/>
  <c r="E68" i="1"/>
  <c r="E67" i="1"/>
  <c r="E46" i="6" s="1"/>
  <c r="E35" i="1"/>
  <c r="F26" i="7" l="1"/>
  <c r="F25" i="7"/>
  <c r="H25" i="12"/>
  <c r="H27" i="12"/>
  <c r="H29" i="12"/>
  <c r="H24" i="12"/>
  <c r="F7" i="12"/>
  <c r="M13" i="10"/>
  <c r="M14" i="11" s="1"/>
  <c r="M14" i="10"/>
  <c r="M15" i="11" s="1"/>
  <c r="F28" i="12" s="1"/>
  <c r="F9" i="12"/>
  <c r="F8" i="12"/>
  <c r="F6" i="12"/>
  <c r="F10" i="12"/>
  <c r="D27" i="12"/>
  <c r="D12" i="10"/>
  <c r="D13" i="11" s="1"/>
  <c r="D14" i="10"/>
  <c r="D15" i="11" s="1"/>
  <c r="D29" i="12"/>
  <c r="I16" i="11"/>
  <c r="O16" i="11"/>
  <c r="H9" i="12"/>
  <c r="H10" i="12"/>
  <c r="H11" i="12"/>
  <c r="H8" i="12"/>
  <c r="H7" i="12"/>
  <c r="H6" i="12"/>
  <c r="N35" i="14"/>
  <c r="N55" i="14" s="1"/>
  <c r="D24" i="12"/>
  <c r="O67" i="1"/>
  <c r="O43" i="1"/>
  <c r="C12" i="10"/>
  <c r="C13" i="11" s="1"/>
  <c r="C14" i="10"/>
  <c r="C15" i="11" s="1"/>
  <c r="C25" i="12" s="1"/>
  <c r="K16" i="11"/>
  <c r="D8" i="12"/>
  <c r="D11" i="12"/>
  <c r="D7" i="12"/>
  <c r="D10" i="12"/>
  <c r="D6" i="12"/>
  <c r="D9" i="12"/>
  <c r="J16" i="11"/>
  <c r="C13" i="10"/>
  <c r="C14" i="11" s="1"/>
  <c r="D25" i="12"/>
  <c r="D28" i="12"/>
  <c r="N27" i="14"/>
  <c r="N48" i="14" s="1"/>
  <c r="N34" i="14"/>
  <c r="H15" i="12"/>
  <c r="D13" i="10"/>
  <c r="D14" i="11" s="1"/>
  <c r="H16" i="11"/>
  <c r="F24" i="7"/>
  <c r="F29" i="7"/>
  <c r="F28" i="7"/>
  <c r="D15" i="12"/>
  <c r="H17" i="12"/>
  <c r="D19" i="12"/>
  <c r="H16" i="12"/>
  <c r="D17" i="12"/>
  <c r="F29" i="12"/>
  <c r="D18" i="12"/>
  <c r="H19" i="12"/>
  <c r="H20" i="12"/>
  <c r="F56" i="4"/>
  <c r="D20" i="12"/>
  <c r="Q64" i="1"/>
  <c r="Q43" i="6" s="1"/>
  <c r="Q43" i="1"/>
  <c r="Q67" i="1"/>
  <c r="P63" i="1"/>
  <c r="P42" i="6" s="1"/>
  <c r="P64" i="1"/>
  <c r="P43" i="6" s="1"/>
  <c r="P43" i="1"/>
  <c r="P67" i="1"/>
  <c r="Q63" i="1"/>
  <c r="Q42" i="6" s="1"/>
  <c r="N34" i="15"/>
  <c r="C27" i="7"/>
  <c r="N56" i="1"/>
  <c r="N35" i="6" s="1"/>
  <c r="N55" i="1"/>
  <c r="N34" i="6" s="1"/>
  <c r="C24" i="16"/>
  <c r="D30" i="16"/>
  <c r="C26" i="7"/>
  <c r="C24" i="7"/>
  <c r="C25" i="7"/>
  <c r="C29" i="7"/>
  <c r="C33" i="6"/>
  <c r="C28" i="7"/>
  <c r="C29" i="14"/>
  <c r="C28" i="16"/>
  <c r="C27" i="16"/>
  <c r="C29" i="16"/>
  <c r="C26" i="16"/>
  <c r="C25" i="16"/>
  <c r="C36" i="14"/>
  <c r="C57" i="1"/>
  <c r="C32" i="6"/>
  <c r="I27" i="15"/>
  <c r="G65" i="4"/>
  <c r="G50" i="4"/>
  <c r="J27" i="15"/>
  <c r="D36" i="14"/>
  <c r="N46" i="6"/>
  <c r="N69" i="1"/>
  <c r="K27" i="15"/>
  <c r="I33" i="15"/>
  <c r="O33" i="15"/>
  <c r="O35" i="15" s="1"/>
  <c r="G52" i="4"/>
  <c r="G53" i="4"/>
  <c r="C33" i="15"/>
  <c r="C35" i="15" s="1"/>
  <c r="C56" i="14"/>
  <c r="J33" i="15"/>
  <c r="H33" i="15"/>
  <c r="H35" i="15" s="1"/>
  <c r="H56" i="14"/>
  <c r="K33" i="15"/>
  <c r="N36" i="1"/>
  <c r="N13" i="10" s="1"/>
  <c r="N14" i="11" s="1"/>
  <c r="G55" i="4"/>
  <c r="M33" i="15"/>
  <c r="H27" i="15"/>
  <c r="H50" i="14"/>
  <c r="C27" i="15"/>
  <c r="C50" i="14"/>
  <c r="G51" i="4"/>
  <c r="G54" i="4"/>
  <c r="D29" i="14"/>
  <c r="D73" i="1"/>
  <c r="J61" i="1"/>
  <c r="J40" i="6" s="1"/>
  <c r="D30" i="7"/>
  <c r="K32" i="6"/>
  <c r="K33" i="6"/>
  <c r="J62" i="1"/>
  <c r="J41" i="6" s="1"/>
  <c r="I57" i="1"/>
  <c r="J57" i="1"/>
  <c r="D52" i="6"/>
  <c r="K57" i="1"/>
  <c r="I32" i="6"/>
  <c r="I61" i="1"/>
  <c r="J36" i="6"/>
  <c r="I33" i="6"/>
  <c r="I62" i="1"/>
  <c r="I41" i="6" s="1"/>
  <c r="H40" i="6"/>
  <c r="K44" i="6"/>
  <c r="M57" i="1"/>
  <c r="M32" i="6"/>
  <c r="C40" i="6"/>
  <c r="C44" i="6" s="1"/>
  <c r="C65" i="1"/>
  <c r="M61" i="1"/>
  <c r="H33" i="6"/>
  <c r="H62" i="1"/>
  <c r="H41" i="6" s="1"/>
  <c r="H57" i="1"/>
  <c r="H32" i="6"/>
  <c r="M33" i="6"/>
  <c r="M62" i="1"/>
  <c r="M41" i="6" s="1"/>
  <c r="K65" i="1"/>
  <c r="E69" i="1"/>
  <c r="E48" i="6" s="1"/>
  <c r="E47" i="6"/>
  <c r="D54" i="1"/>
  <c r="D33" i="6" s="1"/>
  <c r="D53" i="1"/>
  <c r="D61" i="1" s="1"/>
  <c r="F67" i="1"/>
  <c r="F68" i="1"/>
  <c r="F47" i="6" s="1"/>
  <c r="G68" i="1"/>
  <c r="G67" i="1"/>
  <c r="D43" i="1"/>
  <c r="F35" i="1"/>
  <c r="E34" i="1"/>
  <c r="E28" i="14" s="1"/>
  <c r="E49" i="14" s="1"/>
  <c r="G35" i="1"/>
  <c r="F24" i="12" l="1"/>
  <c r="F26" i="12"/>
  <c r="F25" i="12"/>
  <c r="F27" i="12"/>
  <c r="F18" i="12"/>
  <c r="M16" i="11"/>
  <c r="C29" i="12"/>
  <c r="C27" i="12"/>
  <c r="F30" i="7"/>
  <c r="C28" i="12"/>
  <c r="N54" i="14"/>
  <c r="N36" i="14"/>
  <c r="E34" i="14"/>
  <c r="E54" i="14" s="1"/>
  <c r="E27" i="14"/>
  <c r="E48" i="14" s="1"/>
  <c r="P56" i="1"/>
  <c r="P35" i="6" s="1"/>
  <c r="D16" i="11"/>
  <c r="C16" i="11"/>
  <c r="C10" i="12"/>
  <c r="C7" i="12"/>
  <c r="C9" i="12"/>
  <c r="C8" i="12"/>
  <c r="C11" i="12"/>
  <c r="C6" i="12"/>
  <c r="C24" i="12"/>
  <c r="C26" i="12"/>
  <c r="O46" i="6"/>
  <c r="O69" i="1"/>
  <c r="O73" i="1"/>
  <c r="N12" i="10"/>
  <c r="N13" i="11" s="1"/>
  <c r="N14" i="10"/>
  <c r="N15" i="11" s="1"/>
  <c r="G29" i="12" s="1"/>
  <c r="E35" i="14"/>
  <c r="E55" i="14" s="1"/>
  <c r="E34" i="15" s="1"/>
  <c r="F15" i="12"/>
  <c r="F17" i="12"/>
  <c r="F20" i="12"/>
  <c r="F19" i="12"/>
  <c r="F16" i="12"/>
  <c r="Q56" i="1"/>
  <c r="Q35" i="6" s="1"/>
  <c r="Q55" i="1"/>
  <c r="P55" i="1"/>
  <c r="P46" i="6"/>
  <c r="P69" i="1"/>
  <c r="Q69" i="1"/>
  <c r="Q73" i="1" s="1"/>
  <c r="Q46" i="6"/>
  <c r="C30" i="7"/>
  <c r="C36" i="6"/>
  <c r="C7" i="7" s="1"/>
  <c r="C30" i="16"/>
  <c r="D19" i="16"/>
  <c r="D17" i="16"/>
  <c r="E36" i="1"/>
  <c r="H29" i="15"/>
  <c r="D20" i="16"/>
  <c r="N48" i="6"/>
  <c r="N52" i="6" s="1"/>
  <c r="N53" i="1"/>
  <c r="N54" i="1"/>
  <c r="N73" i="1"/>
  <c r="D16" i="16"/>
  <c r="D15" i="16"/>
  <c r="G56" i="4"/>
  <c r="G16" i="12" s="1"/>
  <c r="D33" i="15"/>
  <c r="D35" i="15" s="1"/>
  <c r="D56" i="14"/>
  <c r="D27" i="15"/>
  <c r="D29" i="15" s="1"/>
  <c r="D50" i="14"/>
  <c r="E28" i="15"/>
  <c r="C29" i="15"/>
  <c r="N29" i="14"/>
  <c r="D18" i="16"/>
  <c r="J44" i="6"/>
  <c r="K36" i="6"/>
  <c r="D7" i="7" s="1"/>
  <c r="J65" i="1"/>
  <c r="C74" i="1"/>
  <c r="M36" i="6"/>
  <c r="F11" i="7" s="1"/>
  <c r="H44" i="6"/>
  <c r="H36" i="6"/>
  <c r="I40" i="6"/>
  <c r="I44" i="6" s="1"/>
  <c r="I65" i="1"/>
  <c r="I36" i="6"/>
  <c r="D15" i="7"/>
  <c r="D19" i="7"/>
  <c r="D17" i="7"/>
  <c r="D18" i="7"/>
  <c r="D20" i="7"/>
  <c r="D16" i="7"/>
  <c r="G47" i="6"/>
  <c r="K74" i="1"/>
  <c r="M40" i="6"/>
  <c r="M44" i="6" s="1"/>
  <c r="M65" i="1"/>
  <c r="G46" i="6"/>
  <c r="G69" i="1"/>
  <c r="G48" i="6" s="1"/>
  <c r="H65" i="1"/>
  <c r="E52" i="6"/>
  <c r="E73" i="1"/>
  <c r="F69" i="1"/>
  <c r="F48" i="6" s="1"/>
  <c r="D62" i="1"/>
  <c r="D41" i="6" s="1"/>
  <c r="F46" i="6"/>
  <c r="D40" i="6"/>
  <c r="E53" i="1"/>
  <c r="D32" i="6"/>
  <c r="D36" i="6" s="1"/>
  <c r="D57" i="1"/>
  <c r="E54" i="1"/>
  <c r="E33" i="6" s="1"/>
  <c r="E43" i="1"/>
  <c r="G34" i="1"/>
  <c r="F34" i="1"/>
  <c r="F28" i="14" s="1"/>
  <c r="F49" i="14" s="1"/>
  <c r="G25" i="12" l="1"/>
  <c r="G27" i="12"/>
  <c r="G24" i="12"/>
  <c r="G28" i="12"/>
  <c r="G26" i="12"/>
  <c r="N16" i="11"/>
  <c r="G8" i="12"/>
  <c r="G10" i="12"/>
  <c r="G11" i="12"/>
  <c r="G9" i="12"/>
  <c r="G7" i="12"/>
  <c r="G6" i="12"/>
  <c r="F35" i="14"/>
  <c r="F55" i="14" s="1"/>
  <c r="F34" i="15" s="1"/>
  <c r="E12" i="10"/>
  <c r="E13" i="11" s="1"/>
  <c r="E14" i="10"/>
  <c r="E15" i="11" s="1"/>
  <c r="O48" i="6"/>
  <c r="O52" i="6" s="1"/>
  <c r="O54" i="1"/>
  <c r="O53" i="1"/>
  <c r="G27" i="14"/>
  <c r="G48" i="14" s="1"/>
  <c r="G34" i="14"/>
  <c r="G54" i="14" s="1"/>
  <c r="E13" i="10"/>
  <c r="E14" i="11" s="1"/>
  <c r="G28" i="14"/>
  <c r="G49" i="14" s="1"/>
  <c r="G28" i="15" s="1"/>
  <c r="G35" i="14"/>
  <c r="G55" i="14" s="1"/>
  <c r="G34" i="15" s="1"/>
  <c r="F34" i="14"/>
  <c r="F54" i="14" s="1"/>
  <c r="F27" i="14"/>
  <c r="F48" i="14" s="1"/>
  <c r="G15" i="12"/>
  <c r="G18" i="12"/>
  <c r="G20" i="12"/>
  <c r="G17" i="12"/>
  <c r="G19" i="12"/>
  <c r="P73" i="1"/>
  <c r="P48" i="6"/>
  <c r="P52" i="6" s="1"/>
  <c r="P34" i="6"/>
  <c r="P53" i="1"/>
  <c r="P61" i="1" s="1"/>
  <c r="P54" i="1"/>
  <c r="Q34" i="6"/>
  <c r="Q53" i="1"/>
  <c r="Q54" i="1"/>
  <c r="Q48" i="6"/>
  <c r="Q52" i="6" s="1"/>
  <c r="C8" i="7"/>
  <c r="C53" i="6"/>
  <c r="C11" i="7"/>
  <c r="C6" i="7"/>
  <c r="C10" i="7"/>
  <c r="C9" i="7"/>
  <c r="F28" i="15"/>
  <c r="G25" i="7"/>
  <c r="G27" i="7"/>
  <c r="G24" i="7"/>
  <c r="G26" i="7"/>
  <c r="G29" i="7"/>
  <c r="G28" i="7"/>
  <c r="G36" i="1"/>
  <c r="E36" i="14"/>
  <c r="E29" i="14"/>
  <c r="K53" i="6"/>
  <c r="N32" i="6"/>
  <c r="N57" i="1"/>
  <c r="N61" i="1"/>
  <c r="N33" i="15"/>
  <c r="N35" i="15" s="1"/>
  <c r="N56" i="14"/>
  <c r="N50" i="14"/>
  <c r="D21" i="16"/>
  <c r="F36" i="1"/>
  <c r="F13" i="10" s="1"/>
  <c r="F14" i="11" s="1"/>
  <c r="D11" i="7"/>
  <c r="N33" i="6"/>
  <c r="N62" i="1"/>
  <c r="N41" i="6" s="1"/>
  <c r="D10" i="7"/>
  <c r="D9" i="7"/>
  <c r="D8" i="7"/>
  <c r="D6" i="7"/>
  <c r="J53" i="6"/>
  <c r="J74" i="1"/>
  <c r="F10" i="7"/>
  <c r="F9" i="7"/>
  <c r="F7" i="7"/>
  <c r="F8" i="7"/>
  <c r="F6" i="7"/>
  <c r="H53" i="6"/>
  <c r="G54" i="1"/>
  <c r="G33" i="6" s="1"/>
  <c r="I53" i="6"/>
  <c r="G73" i="1"/>
  <c r="G43" i="1"/>
  <c r="I74" i="1"/>
  <c r="H74" i="1"/>
  <c r="D44" i="6"/>
  <c r="G52" i="6"/>
  <c r="M74" i="1"/>
  <c r="D21" i="7"/>
  <c r="G53" i="1"/>
  <c r="M53" i="6"/>
  <c r="F15" i="7"/>
  <c r="F20" i="7"/>
  <c r="F17" i="7"/>
  <c r="F18" i="7"/>
  <c r="F19" i="7"/>
  <c r="F16" i="7"/>
  <c r="F73" i="1"/>
  <c r="F52" i="6"/>
  <c r="E62" i="1"/>
  <c r="E41" i="6" s="1"/>
  <c r="D65" i="1"/>
  <c r="E32" i="6"/>
  <c r="E36" i="6" s="1"/>
  <c r="E57" i="1"/>
  <c r="E61" i="1"/>
  <c r="F53" i="1"/>
  <c r="F54" i="1"/>
  <c r="F43" i="1"/>
  <c r="H27" i="7" l="1"/>
  <c r="H28" i="7"/>
  <c r="H29" i="7"/>
  <c r="H25" i="7"/>
  <c r="H26" i="7"/>
  <c r="H24" i="7"/>
  <c r="O33" i="6"/>
  <c r="O62" i="1"/>
  <c r="O41" i="6" s="1"/>
  <c r="E16" i="11"/>
  <c r="F12" i="10"/>
  <c r="F13" i="11" s="1"/>
  <c r="F14" i="10"/>
  <c r="F15" i="11" s="1"/>
  <c r="G12" i="10"/>
  <c r="G13" i="11" s="1"/>
  <c r="G14" i="10"/>
  <c r="G15" i="11" s="1"/>
  <c r="G13" i="10"/>
  <c r="G14" i="11" s="1"/>
  <c r="O61" i="1"/>
  <c r="O57" i="1"/>
  <c r="O32" i="6"/>
  <c r="P40" i="6"/>
  <c r="J26" i="7"/>
  <c r="J29" i="7"/>
  <c r="J28" i="7"/>
  <c r="J27" i="7"/>
  <c r="J24" i="7"/>
  <c r="J25" i="7"/>
  <c r="P33" i="6"/>
  <c r="P62" i="1"/>
  <c r="P41" i="6" s="1"/>
  <c r="Q32" i="6"/>
  <c r="Q57" i="1"/>
  <c r="Q61" i="1"/>
  <c r="I28" i="7"/>
  <c r="I27" i="7"/>
  <c r="I25" i="7"/>
  <c r="I29" i="7"/>
  <c r="I24" i="7"/>
  <c r="I26" i="7"/>
  <c r="P32" i="6"/>
  <c r="P57" i="1"/>
  <c r="Q33" i="6"/>
  <c r="Q62" i="1"/>
  <c r="Q41" i="6" s="1"/>
  <c r="C12" i="7"/>
  <c r="N36" i="6"/>
  <c r="G11" i="7" s="1"/>
  <c r="G30" i="7"/>
  <c r="N40" i="6"/>
  <c r="N44" i="6" s="1"/>
  <c r="N65" i="1"/>
  <c r="E33" i="15"/>
  <c r="E35" i="15" s="1"/>
  <c r="E56" i="14"/>
  <c r="F29" i="14"/>
  <c r="E27" i="15"/>
  <c r="E29" i="15" s="1"/>
  <c r="E50" i="14"/>
  <c r="G36" i="14"/>
  <c r="F36" i="14"/>
  <c r="G29" i="14"/>
  <c r="D12" i="7"/>
  <c r="D5" i="18" s="1"/>
  <c r="F12" i="7"/>
  <c r="D53" i="6"/>
  <c r="G62" i="1"/>
  <c r="G41" i="6" s="1"/>
  <c r="F21" i="7"/>
  <c r="G61" i="1"/>
  <c r="G32" i="6"/>
  <c r="G36" i="6" s="1"/>
  <c r="G57" i="1"/>
  <c r="D74" i="1"/>
  <c r="F62" i="1"/>
  <c r="F41" i="6" s="1"/>
  <c r="F33" i="6"/>
  <c r="F57" i="1"/>
  <c r="F32" i="6"/>
  <c r="F61" i="1"/>
  <c r="E40" i="6"/>
  <c r="E44" i="6" s="1"/>
  <c r="E65" i="1"/>
  <c r="C43" i="1"/>
  <c r="H30" i="7" l="1"/>
  <c r="G16" i="11"/>
  <c r="F16" i="11"/>
  <c r="O36" i="6"/>
  <c r="O40" i="6"/>
  <c r="O44" i="6" s="1"/>
  <c r="O65" i="1"/>
  <c r="O74" i="1" s="1"/>
  <c r="I30" i="7"/>
  <c r="J30" i="7"/>
  <c r="Q40" i="6"/>
  <c r="Q44" i="6" s="1"/>
  <c r="Q65" i="1"/>
  <c r="Q74" i="1" s="1"/>
  <c r="Q36" i="6"/>
  <c r="P36" i="6"/>
  <c r="P44" i="6"/>
  <c r="P65" i="1"/>
  <c r="P74" i="1" s="1"/>
  <c r="G6" i="7"/>
  <c r="G7" i="7"/>
  <c r="G10" i="7"/>
  <c r="G9" i="7"/>
  <c r="G8" i="7"/>
  <c r="G27" i="15"/>
  <c r="G50" i="14"/>
  <c r="F33" i="15"/>
  <c r="F35" i="15" s="1"/>
  <c r="F56" i="14"/>
  <c r="G16" i="7"/>
  <c r="G20" i="7"/>
  <c r="G17" i="7"/>
  <c r="G15" i="7"/>
  <c r="G19" i="7"/>
  <c r="G18" i="7"/>
  <c r="G33" i="15"/>
  <c r="G35" i="15" s="1"/>
  <c r="G56" i="14"/>
  <c r="F27" i="15"/>
  <c r="F50" i="14"/>
  <c r="N74" i="1"/>
  <c r="N53" i="6"/>
  <c r="G5" i="18"/>
  <c r="G40" i="6"/>
  <c r="G44" i="6" s="1"/>
  <c r="G53" i="6" s="1"/>
  <c r="G65" i="1"/>
  <c r="F36" i="6"/>
  <c r="F40" i="6"/>
  <c r="F44" i="6" s="1"/>
  <c r="F65" i="1"/>
  <c r="E74" i="1"/>
  <c r="E53" i="6"/>
  <c r="H19" i="7" l="1"/>
  <c r="H17" i="7"/>
  <c r="H16" i="7"/>
  <c r="H20" i="7"/>
  <c r="H18" i="7"/>
  <c r="H15" i="7"/>
  <c r="H11" i="7"/>
  <c r="H9" i="7"/>
  <c r="H6" i="7"/>
  <c r="H10" i="7"/>
  <c r="H8" i="7"/>
  <c r="H7" i="7"/>
  <c r="O53" i="6"/>
  <c r="J19" i="7"/>
  <c r="J16" i="7"/>
  <c r="J18" i="7"/>
  <c r="J17" i="7"/>
  <c r="J20" i="7"/>
  <c r="J15" i="7"/>
  <c r="J11" i="7"/>
  <c r="J10" i="7"/>
  <c r="J7" i="7"/>
  <c r="J8" i="7"/>
  <c r="Q53" i="6"/>
  <c r="J6" i="7"/>
  <c r="J9" i="7"/>
  <c r="I15" i="7"/>
  <c r="I20" i="7"/>
  <c r="I19" i="7"/>
  <c r="I17" i="7"/>
  <c r="I18" i="7"/>
  <c r="I16" i="7"/>
  <c r="I8" i="7"/>
  <c r="I7" i="7"/>
  <c r="I6" i="7"/>
  <c r="P53" i="6"/>
  <c r="I11" i="7"/>
  <c r="I10" i="7"/>
  <c r="I9" i="7"/>
  <c r="G12" i="7"/>
  <c r="G29" i="15"/>
  <c r="F29" i="15"/>
  <c r="G21" i="7"/>
  <c r="F53" i="6"/>
  <c r="G74" i="1"/>
  <c r="F74" i="1"/>
  <c r="H21" i="7" l="1"/>
  <c r="H12" i="7"/>
  <c r="J21" i="7"/>
  <c r="I12" i="7"/>
  <c r="I21" i="7"/>
  <c r="J12" i="7"/>
  <c r="H5" i="18"/>
  <c r="I5" i="18" l="1"/>
  <c r="K5" i="18"/>
  <c r="J5" i="18"/>
  <c r="H30" i="12"/>
  <c r="D18" i="17"/>
  <c r="C26" i="17"/>
  <c r="C25" i="17"/>
  <c r="C27" i="17"/>
  <c r="C24" i="17"/>
  <c r="C28" i="17"/>
  <c r="D27" i="17"/>
  <c r="D24" i="17"/>
  <c r="D28" i="17"/>
  <c r="D26" i="17"/>
  <c r="D25" i="17"/>
  <c r="E5" i="18" l="1"/>
  <c r="D16" i="17"/>
  <c r="D17" i="17"/>
  <c r="D15" i="17"/>
  <c r="D14" i="17"/>
  <c r="D19" i="17"/>
  <c r="H21" i="12"/>
  <c r="C23" i="17"/>
  <c r="C29" i="17" s="1"/>
  <c r="C30" i="12"/>
  <c r="D30" i="12"/>
  <c r="D23" i="17"/>
  <c r="D29" i="17" s="1"/>
  <c r="H12" i="12" l="1"/>
  <c r="I7" i="18" s="1"/>
  <c r="D21" i="12"/>
  <c r="D20" i="17"/>
  <c r="C10" i="17"/>
  <c r="C7" i="19"/>
  <c r="F30" i="12"/>
  <c r="D7" i="19"/>
  <c r="D12" i="12"/>
  <c r="D6" i="19" l="1"/>
  <c r="C12" i="12"/>
  <c r="F21" i="12"/>
  <c r="F12" i="12"/>
  <c r="D7" i="18"/>
  <c r="G30" i="12" l="1"/>
  <c r="G7" i="18"/>
  <c r="G12" i="12" l="1"/>
  <c r="G21" i="12"/>
  <c r="H7" i="18" l="1"/>
  <c r="C5" i="17" l="1"/>
  <c r="C6" i="17"/>
  <c r="C7" i="17"/>
  <c r="C8" i="17"/>
  <c r="C9" i="17"/>
  <c r="C11" i="17" l="1"/>
  <c r="C5" i="19" l="1"/>
  <c r="I17" i="14" l="1"/>
  <c r="J17" i="14" l="1"/>
  <c r="I26" i="14"/>
  <c r="I47" i="14" s="1"/>
  <c r="I33" i="14"/>
  <c r="I53" i="14" s="1"/>
  <c r="I29" i="14" l="1"/>
  <c r="I36" i="14"/>
  <c r="K17" i="14"/>
  <c r="J26" i="14"/>
  <c r="J47" i="14" s="1"/>
  <c r="J33" i="14"/>
  <c r="J53" i="14" s="1"/>
  <c r="J29" i="14" l="1"/>
  <c r="J36" i="14"/>
  <c r="M17" i="14"/>
  <c r="K33" i="14"/>
  <c r="K53" i="14" s="1"/>
  <c r="K26" i="14"/>
  <c r="K47" i="14" s="1"/>
  <c r="I32" i="15"/>
  <c r="I35" i="15" s="1"/>
  <c r="I56" i="14"/>
  <c r="I26" i="15"/>
  <c r="I50" i="14"/>
  <c r="I29" i="15" l="1"/>
  <c r="K36" i="14"/>
  <c r="K29" i="14"/>
  <c r="M33" i="14"/>
  <c r="M53" i="14" s="1"/>
  <c r="M26" i="14"/>
  <c r="M47" i="14" s="1"/>
  <c r="J32" i="15"/>
  <c r="J35" i="15" s="1"/>
  <c r="J56" i="14"/>
  <c r="J26" i="15"/>
  <c r="J50" i="14"/>
  <c r="M36" i="14" l="1"/>
  <c r="K26" i="15"/>
  <c r="K50" i="14"/>
  <c r="J29" i="15"/>
  <c r="K32" i="15"/>
  <c r="K35" i="15" s="1"/>
  <c r="K56" i="14"/>
  <c r="M29" i="14"/>
  <c r="M50" i="14" l="1"/>
  <c r="D11" i="16"/>
  <c r="D10" i="17" s="1"/>
  <c r="D10" i="20" s="1"/>
  <c r="D18" i="20" s="1"/>
  <c r="D7" i="16"/>
  <c r="D6" i="17" s="1"/>
  <c r="D6" i="20" s="1"/>
  <c r="D6" i="16"/>
  <c r="D9" i="16"/>
  <c r="D8" i="17" s="1"/>
  <c r="D8" i="20" s="1"/>
  <c r="D8" i="16"/>
  <c r="D7" i="17" s="1"/>
  <c r="D7" i="20" s="1"/>
  <c r="D10" i="16"/>
  <c r="D9" i="17" s="1"/>
  <c r="D9" i="20" s="1"/>
  <c r="D17" i="20" s="1"/>
  <c r="K29" i="15"/>
  <c r="M32" i="15"/>
  <c r="M35" i="15" s="1"/>
  <c r="M56" i="14"/>
  <c r="D16" i="20" l="1"/>
  <c r="D12" i="16"/>
  <c r="D5" i="17"/>
  <c r="D11" i="17" s="1"/>
  <c r="D8" i="18" s="1"/>
  <c r="D5" i="20" l="1"/>
  <c r="D15" i="20" s="1"/>
  <c r="D19" i="20" s="1"/>
  <c r="D6" i="18"/>
  <c r="D5" i="19"/>
  <c r="D11" i="20" l="1"/>
  <c r="K10" i="21"/>
  <c r="D9" i="18"/>
  <c r="D8" i="19"/>
  <c r="K11" i="21" l="1"/>
  <c r="O28" i="14" l="1"/>
  <c r="O49" i="14" s="1"/>
  <c r="O27" i="14"/>
  <c r="O48" i="14" s="1"/>
  <c r="O26" i="14"/>
  <c r="O47" i="14" s="1"/>
  <c r="O7" i="14"/>
  <c r="R7" i="14" l="1"/>
  <c r="O50" i="14"/>
  <c r="O29" i="14"/>
  <c r="P7" i="14"/>
  <c r="Q7" i="14" l="1"/>
  <c r="P5" i="14"/>
  <c r="P6" i="14"/>
  <c r="P28" i="14" l="1"/>
  <c r="P49" i="14" s="1"/>
  <c r="P26" i="14"/>
  <c r="P27" i="14"/>
  <c r="P48" i="14" s="1"/>
  <c r="P33" i="14"/>
  <c r="P34" i="14"/>
  <c r="P54" i="14" s="1"/>
  <c r="P33" i="15" s="1"/>
  <c r="P35" i="14"/>
  <c r="P55" i="14" s="1"/>
  <c r="P34" i="15" s="1"/>
  <c r="Q6" i="14"/>
  <c r="Q5" i="14"/>
  <c r="P53" i="14" l="1"/>
  <c r="P36" i="14"/>
  <c r="P47" i="14"/>
  <c r="P50" i="14" s="1"/>
  <c r="P29" i="14"/>
  <c r="Q27" i="14"/>
  <c r="Q48" i="14" s="1"/>
  <c r="Q26" i="14"/>
  <c r="Q28" i="14"/>
  <c r="Q49" i="14" s="1"/>
  <c r="Q33" i="14"/>
  <c r="Q34" i="14"/>
  <c r="Q54" i="14" s="1"/>
  <c r="Q33" i="15" s="1"/>
  <c r="Q35" i="14"/>
  <c r="Q55" i="14" s="1"/>
  <c r="Q34" i="15" s="1"/>
  <c r="M28" i="15"/>
  <c r="F26" i="16" s="1"/>
  <c r="F25" i="17" s="1"/>
  <c r="N28" i="15"/>
  <c r="G26" i="16" s="1"/>
  <c r="G25" i="17" s="1"/>
  <c r="M27" i="15"/>
  <c r="F18" i="16" s="1"/>
  <c r="F17" i="17" s="1"/>
  <c r="M26" i="15"/>
  <c r="F7" i="16" s="1"/>
  <c r="N27" i="15"/>
  <c r="P32" i="15" l="1"/>
  <c r="P35" i="15" s="1"/>
  <c r="P56" i="14"/>
  <c r="Q53" i="14"/>
  <c r="Q36" i="14"/>
  <c r="Q29" i="14"/>
  <c r="Q47" i="14"/>
  <c r="Q50" i="14" s="1"/>
  <c r="N26" i="15"/>
  <c r="G10" i="16" s="1"/>
  <c r="G9" i="17" s="1"/>
  <c r="F25" i="16"/>
  <c r="F24" i="17" s="1"/>
  <c r="F28" i="16"/>
  <c r="F27" i="17" s="1"/>
  <c r="F29" i="16"/>
  <c r="F28" i="17" s="1"/>
  <c r="G17" i="16"/>
  <c r="G16" i="17" s="1"/>
  <c r="G20" i="16"/>
  <c r="G19" i="17" s="1"/>
  <c r="G15" i="16"/>
  <c r="G18" i="16"/>
  <c r="G17" i="17" s="1"/>
  <c r="G19" i="16"/>
  <c r="G18" i="17" s="1"/>
  <c r="G16" i="16"/>
  <c r="G15" i="17" s="1"/>
  <c r="F6" i="17"/>
  <c r="G25" i="16"/>
  <c r="G24" i="17" s="1"/>
  <c r="F11" i="16"/>
  <c r="G28" i="16"/>
  <c r="G27" i="17" s="1"/>
  <c r="F15" i="16"/>
  <c r="G11" i="16"/>
  <c r="F16" i="16"/>
  <c r="F15" i="17" s="1"/>
  <c r="F17" i="16"/>
  <c r="F16" i="17" s="1"/>
  <c r="F27" i="16"/>
  <c r="F26" i="17" s="1"/>
  <c r="F10" i="16"/>
  <c r="F24" i="16"/>
  <c r="G24" i="16"/>
  <c r="G27" i="16"/>
  <c r="G26" i="17" s="1"/>
  <c r="G29" i="16"/>
  <c r="G28" i="17" s="1"/>
  <c r="F20" i="16"/>
  <c r="F19" i="17" s="1"/>
  <c r="F8" i="16"/>
  <c r="F19" i="16"/>
  <c r="F18" i="17" s="1"/>
  <c r="M29" i="15"/>
  <c r="F6" i="16"/>
  <c r="F9" i="16"/>
  <c r="G8" i="16" l="1"/>
  <c r="G6" i="20"/>
  <c r="Q32" i="15"/>
  <c r="Q35" i="15" s="1"/>
  <c r="Q56" i="14"/>
  <c r="G7" i="16"/>
  <c r="G6" i="17" s="1"/>
  <c r="H6" i="20" s="1"/>
  <c r="G6" i="16"/>
  <c r="G9" i="16"/>
  <c r="G8" i="17" s="1"/>
  <c r="H8" i="20" s="1"/>
  <c r="N29" i="15"/>
  <c r="O27" i="15"/>
  <c r="O26" i="15"/>
  <c r="O28" i="15"/>
  <c r="G14" i="17"/>
  <c r="G20" i="17" s="1"/>
  <c r="G21" i="16"/>
  <c r="F23" i="17"/>
  <c r="F29" i="17" s="1"/>
  <c r="F30" i="16"/>
  <c r="F21" i="16"/>
  <c r="F14" i="17"/>
  <c r="F20" i="17" s="1"/>
  <c r="F7" i="17"/>
  <c r="G7" i="20" s="1"/>
  <c r="F10" i="17"/>
  <c r="G10" i="20" s="1"/>
  <c r="G18" i="20" s="1"/>
  <c r="G7" i="17"/>
  <c r="H7" i="20" s="1"/>
  <c r="G23" i="17"/>
  <c r="G29" i="17" s="1"/>
  <c r="G30" i="16"/>
  <c r="G10" i="17"/>
  <c r="H10" i="20" s="1"/>
  <c r="H18" i="20" s="1"/>
  <c r="F8" i="17"/>
  <c r="G8" i="20" s="1"/>
  <c r="H9" i="20"/>
  <c r="H17" i="20" s="1"/>
  <c r="F9" i="17"/>
  <c r="G9" i="20" s="1"/>
  <c r="G17" i="20" s="1"/>
  <c r="F5" i="17"/>
  <c r="F12" i="16"/>
  <c r="G12" i="16" l="1"/>
  <c r="H6" i="18" s="1"/>
  <c r="G5" i="17"/>
  <c r="H6" i="19"/>
  <c r="H16" i="20"/>
  <c r="H7" i="19"/>
  <c r="G7" i="19"/>
  <c r="H27" i="16"/>
  <c r="H26" i="17" s="1"/>
  <c r="H25" i="16"/>
  <c r="H24" i="17" s="1"/>
  <c r="H28" i="16"/>
  <c r="H27" i="17" s="1"/>
  <c r="H26" i="16"/>
  <c r="H25" i="17" s="1"/>
  <c r="H24" i="16"/>
  <c r="H29" i="16"/>
  <c r="H28" i="17" s="1"/>
  <c r="H7" i="16"/>
  <c r="H11" i="16"/>
  <c r="H10" i="17" s="1"/>
  <c r="H10" i="16"/>
  <c r="H9" i="17" s="1"/>
  <c r="H8" i="16"/>
  <c r="H7" i="17" s="1"/>
  <c r="O29" i="15"/>
  <c r="H9" i="16"/>
  <c r="H8" i="17" s="1"/>
  <c r="H6" i="16"/>
  <c r="P28" i="15"/>
  <c r="P26" i="15"/>
  <c r="P27" i="15"/>
  <c r="G6" i="19"/>
  <c r="H17" i="16"/>
  <c r="H16" i="17" s="1"/>
  <c r="H20" i="16"/>
  <c r="H19" i="17" s="1"/>
  <c r="H15" i="16"/>
  <c r="H16" i="16"/>
  <c r="H15" i="17" s="1"/>
  <c r="H19" i="16"/>
  <c r="H18" i="17" s="1"/>
  <c r="H18" i="16"/>
  <c r="H17" i="17" s="1"/>
  <c r="G16" i="20"/>
  <c r="G6" i="18"/>
  <c r="F11" i="17"/>
  <c r="G8" i="18" s="1"/>
  <c r="G11" i="17"/>
  <c r="H8" i="18" s="1"/>
  <c r="G5" i="20"/>
  <c r="H5" i="20"/>
  <c r="G5" i="19" l="1"/>
  <c r="G8" i="19" s="1"/>
  <c r="I7" i="20"/>
  <c r="H6" i="17"/>
  <c r="I6" i="20" s="1"/>
  <c r="I15" i="16"/>
  <c r="I17" i="16"/>
  <c r="I16" i="17" s="1"/>
  <c r="I19" i="16"/>
  <c r="I18" i="17" s="1"/>
  <c r="I16" i="16"/>
  <c r="I15" i="17" s="1"/>
  <c r="I20" i="16"/>
  <c r="I19" i="17" s="1"/>
  <c r="I18" i="16"/>
  <c r="I17" i="17" s="1"/>
  <c r="H30" i="16"/>
  <c r="H23" i="17"/>
  <c r="H29" i="17" s="1"/>
  <c r="I9" i="20"/>
  <c r="I17" i="20" s="1"/>
  <c r="P29" i="15"/>
  <c r="I7" i="16"/>
  <c r="I10" i="16"/>
  <c r="I8" i="16"/>
  <c r="I11" i="16"/>
  <c r="I6" i="16"/>
  <c r="I9" i="16"/>
  <c r="I10" i="20"/>
  <c r="I18" i="20" s="1"/>
  <c r="I24" i="16"/>
  <c r="I29" i="16"/>
  <c r="I28" i="17" s="1"/>
  <c r="I28" i="16"/>
  <c r="I27" i="17" s="1"/>
  <c r="I25" i="16"/>
  <c r="I24" i="17" s="1"/>
  <c r="I27" i="16"/>
  <c r="I26" i="17" s="1"/>
  <c r="I26" i="16"/>
  <c r="I25" i="17" s="1"/>
  <c r="Q27" i="15"/>
  <c r="Q26" i="15"/>
  <c r="Q28" i="15"/>
  <c r="H12" i="16"/>
  <c r="H5" i="17"/>
  <c r="H11" i="17" s="1"/>
  <c r="H14" i="17"/>
  <c r="H20" i="17" s="1"/>
  <c r="H21" i="16"/>
  <c r="I8" i="20"/>
  <c r="G15" i="20"/>
  <c r="G19" i="20" s="1"/>
  <c r="G11" i="20"/>
  <c r="G9" i="18"/>
  <c r="H15" i="20"/>
  <c r="H19" i="20" s="1"/>
  <c r="H11" i="20"/>
  <c r="H5" i="19"/>
  <c r="H8" i="19" s="1"/>
  <c r="H9" i="18"/>
  <c r="I8" i="18" l="1"/>
  <c r="I30" i="16"/>
  <c r="I23" i="17"/>
  <c r="I29" i="17" s="1"/>
  <c r="I6" i="18"/>
  <c r="I8" i="17"/>
  <c r="J8" i="20" s="1"/>
  <c r="J29" i="16"/>
  <c r="J28" i="17" s="1"/>
  <c r="J26" i="16"/>
  <c r="J25" i="17" s="1"/>
  <c r="J24" i="16"/>
  <c r="J25" i="16"/>
  <c r="J24" i="17" s="1"/>
  <c r="J27" i="16"/>
  <c r="J26" i="17" s="1"/>
  <c r="J28" i="16"/>
  <c r="J27" i="17" s="1"/>
  <c r="I12" i="16"/>
  <c r="I5" i="17"/>
  <c r="I5" i="20"/>
  <c r="I10" i="17"/>
  <c r="J10" i="20" s="1"/>
  <c r="J18" i="20" s="1"/>
  <c r="I7" i="19"/>
  <c r="J16" i="16"/>
  <c r="J15" i="17" s="1"/>
  <c r="J20" i="16"/>
  <c r="J19" i="17" s="1"/>
  <c r="J18" i="16"/>
  <c r="J17" i="17" s="1"/>
  <c r="J19" i="16"/>
  <c r="J18" i="17" s="1"/>
  <c r="J15" i="16"/>
  <c r="J17" i="16"/>
  <c r="J16" i="17" s="1"/>
  <c r="I7" i="17"/>
  <c r="J7" i="20" s="1"/>
  <c r="I21" i="16"/>
  <c r="I14" i="17"/>
  <c r="I20" i="17" s="1"/>
  <c r="J11" i="16"/>
  <c r="J10" i="16"/>
  <c r="J9" i="16"/>
  <c r="J7" i="16"/>
  <c r="J6" i="17" s="1"/>
  <c r="J6" i="16"/>
  <c r="Q29" i="15"/>
  <c r="J8" i="16"/>
  <c r="I9" i="17"/>
  <c r="J9" i="20" s="1"/>
  <c r="J17" i="20" s="1"/>
  <c r="I16" i="20"/>
  <c r="I6" i="19"/>
  <c r="I5" i="19"/>
  <c r="I6" i="17"/>
  <c r="J6" i="20" s="1"/>
  <c r="J5" i="20" l="1"/>
  <c r="J15" i="20" s="1"/>
  <c r="I8" i="19"/>
  <c r="J16" i="20"/>
  <c r="K6" i="20"/>
  <c r="E6" i="20" s="1"/>
  <c r="J7" i="17"/>
  <c r="K7" i="20" s="1"/>
  <c r="J14" i="17"/>
  <c r="J20" i="17" s="1"/>
  <c r="J21" i="16"/>
  <c r="J12" i="16"/>
  <c r="J5" i="17"/>
  <c r="J23" i="17"/>
  <c r="J29" i="17" s="1"/>
  <c r="J30" i="16"/>
  <c r="J10" i="17"/>
  <c r="K10" i="20" s="1"/>
  <c r="J8" i="17"/>
  <c r="K8" i="20" s="1"/>
  <c r="E8" i="20" s="1"/>
  <c r="J9" i="17"/>
  <c r="K9" i="20" s="1"/>
  <c r="J6" i="19"/>
  <c r="I11" i="17"/>
  <c r="J8" i="18" s="1"/>
  <c r="J7" i="19"/>
  <c r="I11" i="20"/>
  <c r="I15" i="20"/>
  <c r="I19" i="20" s="1"/>
  <c r="J6" i="18"/>
  <c r="I9" i="18"/>
  <c r="J19" i="20" l="1"/>
  <c r="J11" i="20"/>
  <c r="J9" i="18"/>
  <c r="K7" i="19"/>
  <c r="E7" i="19" s="1"/>
  <c r="K6" i="19"/>
  <c r="E6" i="19" s="1"/>
  <c r="K5" i="20"/>
  <c r="K11" i="20" s="1"/>
  <c r="E9" i="20"/>
  <c r="E17" i="20" s="1"/>
  <c r="K17" i="20"/>
  <c r="E7" i="20"/>
  <c r="E16" i="20" s="1"/>
  <c r="K16" i="20"/>
  <c r="K18" i="20"/>
  <c r="E10" i="20"/>
  <c r="E18" i="20" s="1"/>
  <c r="J11" i="17"/>
  <c r="K8" i="18" s="1"/>
  <c r="E8" i="18" s="1"/>
  <c r="K6" i="18"/>
  <c r="J5" i="19"/>
  <c r="J8" i="19" s="1"/>
  <c r="E5" i="20" l="1"/>
  <c r="E15" i="20" s="1"/>
  <c r="E19" i="20" s="1"/>
  <c r="K15" i="20"/>
  <c r="K19" i="20" s="1"/>
  <c r="K5" i="19"/>
  <c r="K8" i="19" s="1"/>
  <c r="E8" i="19" s="1"/>
  <c r="K9" i="18"/>
  <c r="E6" i="18"/>
  <c r="E9" i="18" s="1"/>
  <c r="E11" i="20" l="1"/>
  <c r="E5" i="19"/>
  <c r="C54" i="4"/>
  <c r="C52" i="4"/>
  <c r="C51" i="4"/>
  <c r="C55" i="4" l="1"/>
  <c r="C50" i="4"/>
  <c r="C53" i="4"/>
  <c r="C56" i="4" l="1"/>
  <c r="C18" i="7" s="1"/>
  <c r="C16" i="12" l="1"/>
  <c r="C17" i="7"/>
  <c r="C16" i="16"/>
  <c r="C17" i="12"/>
  <c r="C17" i="16"/>
  <c r="C19" i="7"/>
  <c r="C16" i="7"/>
  <c r="C19" i="12"/>
  <c r="C19" i="16"/>
  <c r="C15" i="12"/>
  <c r="C21" i="12" s="1"/>
  <c r="C7" i="18" s="1"/>
  <c r="C15" i="16"/>
  <c r="C15" i="7"/>
  <c r="C18" i="16"/>
  <c r="C18" i="12"/>
  <c r="C20" i="12"/>
  <c r="C20" i="7"/>
  <c r="C20" i="16"/>
  <c r="C17" i="17" l="1"/>
  <c r="C8" i="20"/>
  <c r="C15" i="17"/>
  <c r="C6" i="20" s="1"/>
  <c r="C18" i="17"/>
  <c r="C9" i="20" s="1"/>
  <c r="C17" i="20" s="1"/>
  <c r="C19" i="17"/>
  <c r="C10" i="20" s="1"/>
  <c r="C18" i="20" s="1"/>
  <c r="C16" i="17"/>
  <c r="C7" i="20" s="1"/>
  <c r="C14" i="17"/>
  <c r="C5" i="20" s="1"/>
  <c r="C21" i="7"/>
  <c r="C21" i="16"/>
  <c r="C6" i="18" s="1"/>
  <c r="C10" i="21" s="1"/>
  <c r="C20" i="21" l="1"/>
  <c r="K20" i="21"/>
  <c r="C20" i="17"/>
  <c r="C8" i="18" s="1"/>
  <c r="C5" i="18"/>
  <c r="C15" i="20"/>
  <c r="C11" i="20"/>
  <c r="C16" i="20"/>
  <c r="C6" i="19" l="1"/>
  <c r="C8" i="19" s="1"/>
  <c r="C19" i="20"/>
  <c r="C9" i="18"/>
  <c r="C11" i="21" s="1"/>
  <c r="C21" i="21" l="1"/>
  <c r="K21" i="21"/>
</calcChain>
</file>

<file path=xl/sharedStrings.xml><?xml version="1.0" encoding="utf-8"?>
<sst xmlns="http://schemas.openxmlformats.org/spreadsheetml/2006/main" count="643" uniqueCount="302">
  <si>
    <t>Source:</t>
  </si>
  <si>
    <t>References</t>
  </si>
  <si>
    <t>Koomey, J.G., (2008). Worldwide Electricity Used in Datacenters. Environmental Research Letters 3 (2008) 034008 (8pp) doi:10.1088/1748-9326/3/3/034008</t>
  </si>
  <si>
    <t>Mid-range (thousands)</t>
  </si>
  <si>
    <t>High-end (thousands)</t>
  </si>
  <si>
    <t>Traditional data center workloads (millions)</t>
  </si>
  <si>
    <t>Cloud data center workloads (millions)</t>
  </si>
  <si>
    <t>Traditional data center workloads/server</t>
  </si>
  <si>
    <t>Traditional data center servers (thousands)</t>
  </si>
  <si>
    <t>Cloud data center workloads/server</t>
  </si>
  <si>
    <t>Cloud data center servers (thousands)</t>
  </si>
  <si>
    <t>Total servers (thousands)</t>
  </si>
  <si>
    <t>Cisco Global Cloud Index: Forecast and Methodology, 2015–2020: White Paper, 2016, http://www.cisco.com/c/dam/en/us/solutions/collateral/service-provider/global-cloud-index-gci/white-paper-c11-738085.pdf</t>
  </si>
  <si>
    <t>Cisco Global Cloud Index: Forecast and Methodology, 2013–2018: White Paper, 2014, https://www.terena.org/mail-archives/storage/pdfVVqL9tLHLH.pdf</t>
  </si>
  <si>
    <t>Cisco Global Cloud Index 2014–2019: 2015 Update. https://www.cisco.com/c/dam/m/en_us/service-provider/ciscoknowledgenetwork/files/547_11_10-15-DocumentsCisco_GCI_Deck_2014-2019_for_CKN__10NOV2015_.pdf</t>
  </si>
  <si>
    <t>Cisco Global Cloud Index: Forecast and Methodology, 2012–2017: White Paper, 2013, https://www.cisco.com/web/mobile/tomorrow-starts-here/files/pdfs/Cisco_CGI_Forecast.pdf</t>
  </si>
  <si>
    <t>Cisco Global Cloud Index: Forecast and Methodology, 2011–2016: White Paper, 2012, http://www.webtorials.com/main/resource/papers/cisco/paper228/Cloud_Index.pdf</t>
  </si>
  <si>
    <t>Cisco Global Cloud Index: Forecast and Methodology, 2010–2015 : White Paper, 2011, http://www.webtorials.com/main/resource/papers/cisco/paper197/global_cloud_index.pdf</t>
  </si>
  <si>
    <t>Shehabi, A., Smith, S.J., Horner, N., Azevedo, I., Brown, R., Koomey, J., Masanet, E., Sartor, D., Herrlin, M., Lintner, W. 2016. United States Data Center Energy Usage Report. Lawrence Berkeley National Laboratory, Berkeley, California. LBNL-1005775</t>
  </si>
  <si>
    <t>Cisco Global Cloud Index: Forecast and Methodology, 2016-2021: White Paper, 2018, https://www.cisco.com/c/en/us/solutions/collateral/service-provider/global-cloud-index-gci/white-paper-c11-738085.html</t>
  </si>
  <si>
    <t>Note:</t>
  </si>
  <si>
    <t>Synergy Research Group (2019). Hyperscale Cloud Market Tracker.  Reno, NV.</t>
  </si>
  <si>
    <t>% of global servers in hyperscale data centers</t>
  </si>
  <si>
    <t>Cloud (non-hyperscale) servers (thousands)</t>
  </si>
  <si>
    <t>Hyperscale data center servers (thousands)</t>
  </si>
  <si>
    <t>Asia Pacific</t>
  </si>
  <si>
    <t>Central and Eastern Europe</t>
  </si>
  <si>
    <t>Latin America</t>
  </si>
  <si>
    <t>Middle East and Africa</t>
  </si>
  <si>
    <t>North America</t>
  </si>
  <si>
    <t>Western Europe</t>
  </si>
  <si>
    <t>Total</t>
  </si>
  <si>
    <t>Unbranded volume 2+ socket (thousands)</t>
  </si>
  <si>
    <t>Unbranded volume 1 socket (thousands)</t>
  </si>
  <si>
    <t>Branded volume 2+ socket (thousands)</t>
  </si>
  <si>
    <t>Branded volume 1 socket (thousands)</t>
  </si>
  <si>
    <t>Mid-range</t>
  </si>
  <si>
    <t>High-end</t>
  </si>
  <si>
    <t>Traditional data centers</t>
  </si>
  <si>
    <t>Cloud (non-hyperscale) data centers</t>
  </si>
  <si>
    <t>Hyperscale data centers</t>
  </si>
  <si>
    <t>1 socket (internal)</t>
  </si>
  <si>
    <t>1 socket (service provider)</t>
  </si>
  <si>
    <t>1 socket (hyperscale)</t>
  </si>
  <si>
    <t>2+ socket (internal)</t>
  </si>
  <si>
    <t>2+ socket (service provider)</t>
  </si>
  <si>
    <t>2+ socket (hyperscale)</t>
  </si>
  <si>
    <t>2. Average energy use by server type and space type (kWh/yr)</t>
  </si>
  <si>
    <t>3. Estimated server energy use (global)</t>
  </si>
  <si>
    <t>Unbranded volume 2+ socket (TWh)</t>
  </si>
  <si>
    <t>Unbranded volume 1 socket (TWh)</t>
  </si>
  <si>
    <t>Branded volume 2+ socket (TWh)</t>
  </si>
  <si>
    <t>Branded volume 1 socket (TWh)</t>
  </si>
  <si>
    <t>Mid-range (TWh)</t>
  </si>
  <si>
    <t>High-end (TWh)</t>
  </si>
  <si>
    <t>Total (TWh)</t>
  </si>
  <si>
    <t>Grand total (TWh)</t>
  </si>
  <si>
    <t>1. Traditional data center server energy use by region (TWh)</t>
  </si>
  <si>
    <t>3. Hyperscale server energy use by region (TWh)</t>
  </si>
  <si>
    <t>2. Cloud (non-hyperscale) server energy use by region (TWh)</t>
  </si>
  <si>
    <t>Solid state drives (EB)</t>
  </si>
  <si>
    <t>Hard disk drives (EB)</t>
  </si>
  <si>
    <t>Notes:</t>
  </si>
  <si>
    <t>David Reinsel, John Gantz, and John Rydning (2018). Data Age 2025: The Digitization of the World- From Edge to Core. IDC White Paper – #US44413318.</t>
  </si>
  <si>
    <t>Total (EB)</t>
  </si>
  <si>
    <t>Solid state drives</t>
  </si>
  <si>
    <t>Hard disk drives</t>
  </si>
  <si>
    <t>Total (million drives)</t>
  </si>
  <si>
    <t>Percent of storage that is external</t>
  </si>
  <si>
    <t>1. Traditional data center storage energy use by region (TWh)</t>
  </si>
  <si>
    <t>2. Cloud (non-hyperscale) storage energy use by region (TWh)</t>
  </si>
  <si>
    <t>3. Hyperscale storage energy use by region (TWh)</t>
  </si>
  <si>
    <t>1. Traditional data center infrastructure energy use by region (TWh)</t>
  </si>
  <si>
    <t>2. Cloud (non-hyperscale) infrastructure energy use by region (TWh)</t>
  </si>
  <si>
    <t>3. Hyperscale infrastructure energy use by region (TWh)</t>
  </si>
  <si>
    <t>Global data center energy use</t>
  </si>
  <si>
    <t>Servers</t>
  </si>
  <si>
    <t>Storage</t>
  </si>
  <si>
    <t>Network</t>
  </si>
  <si>
    <t>Infrastructure</t>
  </si>
  <si>
    <t>Traditional</t>
  </si>
  <si>
    <t>Cloud (non-hyperscale)</t>
  </si>
  <si>
    <t>Hyperscale</t>
  </si>
  <si>
    <t>David Reinsel (2010). A Plateau in Sight for the Rising Costs to Power and Cool the World's External Storage?  Framington, MA. IDC #225016.</t>
  </si>
  <si>
    <t>Additional energy use factor (non-HDD energy/drive energy)</t>
  </si>
  <si>
    <t>1. Absolute trend values</t>
  </si>
  <si>
    <t>Macro-level data center trends analysis</t>
  </si>
  <si>
    <t>Average PUE</t>
  </si>
  <si>
    <t>Average storage drive energy use (kWh/TB)</t>
  </si>
  <si>
    <t>2. Indexed trend values (2010=1)</t>
  </si>
  <si>
    <t>Average number of servers per workload</t>
  </si>
  <si>
    <t>CEE, LA &amp; MEA</t>
  </si>
  <si>
    <t>Maria Avgerinou, Paolo Bertoldi and Luca Castellazzi (2017). Trends in Data Centre Energy Consumption under the European Code of Conduct for Data Centre Energy Efficiency. Energies 2017, 10(10), 1470; https://doi.org/10.3390/en10101470</t>
  </si>
  <si>
    <t>Google (2019). Quarterly reported PUE values for Google data centers. https://www.google.com/about/datacenters/efficiency/internal/#measuring-efficiency</t>
  </si>
  <si>
    <t>3. Cloud (non-hyperscale) data center PUE</t>
  </si>
  <si>
    <t>4. Hyperscale data center PUE</t>
  </si>
  <si>
    <t>CAGR</t>
  </si>
  <si>
    <t>Dell (2018). Intergenerational Energy Efficiency of Dell EMC PowerEdge Servers. White Paper (Bruce Wagner).  https://downloads.dell.com/solutions/general-solution-resources/White%20Papers/PE_intergenerational_energy_efficiency.pdf</t>
  </si>
  <si>
    <t>Typical server power intensity (W/computation)</t>
  </si>
  <si>
    <t>Data center workloads and compute instances (millions)</t>
  </si>
  <si>
    <t>2011-2013 and 2017-2020 workloads/server values are based on linear interpolation between reported Cisco values in 2010, 2014, 2016, and 2021</t>
  </si>
  <si>
    <t>8,9</t>
  </si>
  <si>
    <t>Global server stock estimates</t>
  </si>
  <si>
    <t>1. Average power by server type and space type (W)</t>
  </si>
  <si>
    <t>Total workloads (millions)</t>
  </si>
  <si>
    <t>1. Global workloads</t>
  </si>
  <si>
    <t>2. Global installed servers (all types)</t>
  </si>
  <si>
    <t>3. Global hyperscale servers</t>
  </si>
  <si>
    <t>Relative to 2018</t>
  </si>
  <si>
    <t>4. Global totals by data center and server type</t>
  </si>
  <si>
    <t>5. Global server stock distribution</t>
  </si>
  <si>
    <t>Historical estimates</t>
  </si>
  <si>
    <t>9,11</t>
  </si>
  <si>
    <t>Fuchs, H., Shehabi, A., Ganeshalingam, M., Desroches, L. B., Lim, B., Roth, K., &amp; Tsao, A. (2019). Comparing datasets of volume servers to illuminate their energy use in data centers. Energy Efficiency, 1-14.</t>
  </si>
  <si>
    <t>Assumes 24 hours of operation, 7 days per week</t>
  </si>
  <si>
    <t>1. Traditional data center workloads by region (millions)</t>
  </si>
  <si>
    <t>2. Cloud data center workloads by region (millions)</t>
  </si>
  <si>
    <t>Global server energy use estimates</t>
  </si>
  <si>
    <t>Regional server stock estimates</t>
  </si>
  <si>
    <t>2010 regional workloads assume same proportions as 2011 due to lack of 2010 regional data</t>
  </si>
  <si>
    <t>Cloud (non-hyperscale) data center servers (thousands)</t>
  </si>
  <si>
    <t>3. Hyperscale data center regional distribution</t>
  </si>
  <si>
    <t>4. Traditional data center servers by region (thousands)</t>
  </si>
  <si>
    <t>5. Cloud (non-hyperscale) servers by region (thousands)</t>
  </si>
  <si>
    <t>6. Hyperscale servers by region (thousands)</t>
  </si>
  <si>
    <t>Regional server energy use estimates</t>
  </si>
  <si>
    <t>Global server energy use in each data center type is distributed to regions proportional to the number of servers in each region</t>
  </si>
  <si>
    <t>Global storage stock estimates</t>
  </si>
  <si>
    <t>1. Global data center installed storage capacity (EB)</t>
  </si>
  <si>
    <t>Not included are external achival media such as tape drives</t>
  </si>
  <si>
    <t>2. Distribution of global installed storage capacity</t>
  </si>
  <si>
    <t>Cloud data centers</t>
  </si>
  <si>
    <t>Sources:</t>
  </si>
  <si>
    <t>2016-2019 values based on linear interpolation</t>
  </si>
  <si>
    <t>2011-2014 values based on linear interpolation</t>
  </si>
  <si>
    <t>3. Global installed SSD capacity by space type (EB)</t>
  </si>
  <si>
    <t>4. Global installed HDD capacity by space type (EB)</t>
  </si>
  <si>
    <t>Installed cloud capacity distributed to cloud (non-hyperscale) and hyperscale data centers proportional to installed servers</t>
  </si>
  <si>
    <t>6. Global installed SSD capacity (million drives)</t>
  </si>
  <si>
    <t>7. Global installed HDD capacity (million drives)</t>
  </si>
  <si>
    <t>5. Average installed drive capacity (TB/drive)</t>
  </si>
  <si>
    <t>1. Average power per drive (W)</t>
  </si>
  <si>
    <t>Global storage energy use estimates</t>
  </si>
  <si>
    <t>Non-HDD energy use refers to energy consumption of the controller and associated components required to operate external storage systems.</t>
  </si>
  <si>
    <t>2. Non-HDD energy needed for external drives</t>
  </si>
  <si>
    <t>3. External share of installed storage capacity</t>
  </si>
  <si>
    <t>4. Global installed capacity of SSD energy use (TWh)</t>
  </si>
  <si>
    <t>5. Global installed capacity of HDD energy use (TWh)</t>
  </si>
  <si>
    <t>Regional storage energy use estimates</t>
  </si>
  <si>
    <t>Global storage energy use in each data center type is distributed to regions proportional to the number of servers in each region</t>
  </si>
  <si>
    <t>M.T. Kief and R.H. Victora (2018). Materials for heat-assisted magnetic recording. MRS Bulletin, Volume 43, Issue 2, pp. 87-92</t>
  </si>
  <si>
    <t xml:space="preserve">Denis C. Daly, Laura C. Fujino, and Kenneth C. Smith (2018). Through the Looking Glass—The 2018 Edition: Trends in solid-state circuits from the 65th ISSCC. IEEE SOLID-STATE CIRCUITS MAGAZINE. Winter 2018. 1943-0582/18. </t>
  </si>
  <si>
    <t>Global network port stock estimates</t>
  </si>
  <si>
    <t>1. Global network port installed base</t>
  </si>
  <si>
    <t>Average number of ports per server</t>
  </si>
  <si>
    <t>Global network port installed base (millions)</t>
  </si>
  <si>
    <t>2. Global network port installed base by space type (millions)</t>
  </si>
  <si>
    <t>Global network port energy use estimates</t>
  </si>
  <si>
    <t>1. Average network port energy use by space type (W/port)</t>
  </si>
  <si>
    <t>No further decrease in average W/port considered post-2020</t>
  </si>
  <si>
    <t>2. Global network port energy use by space type (TWh)</t>
  </si>
  <si>
    <t>Regional network port energy use estimates</t>
  </si>
  <si>
    <t>Global network port energy use in each data center type is distributed to regions proportional to the number of servers in each region</t>
  </si>
  <si>
    <t>1. Traditional data center network port energy use by region (TWh)</t>
  </si>
  <si>
    <t>2. Cloud (non-hyperscale) network port energy use by region (TWh)</t>
  </si>
  <si>
    <t>3. Hyperscale network port energy use by region (TWh)</t>
  </si>
  <si>
    <t>Estimated power utilization effectiveness (PUE) values</t>
  </si>
  <si>
    <t>Assumes no regional differences in PUE values for traditional data centers</t>
  </si>
  <si>
    <t>Regional infrastructure energy use estimates</t>
  </si>
  <si>
    <t>Introduction</t>
  </si>
  <si>
    <t>This file contains the model structure, input values, results, figures, and data sources associated with the global data center energy use analysis.</t>
  </si>
  <si>
    <t>Data centers are defined as global server deployments in server closets, server rooms, and localized, mid-tier, high-end, and hyperscale data centers [9].</t>
  </si>
  <si>
    <t>This analysis does not include computing equipment associated with cryptocurrency mining, which is typically not associated with conventional data centers.</t>
  </si>
  <si>
    <t>1) Historical estimates, which assess the energy use evolution of global data centers over the period 2010-2018.</t>
  </si>
  <si>
    <t>Workloads = workloads and compute instances as reported by Cisco in [1]-[7]</t>
  </si>
  <si>
    <t>CAGR based on latest Cisco projections 2016-2021 in [7]</t>
  </si>
  <si>
    <t>2022-2023 values projected using 2016-2021 CAGR</t>
  </si>
  <si>
    <t>These data center types are organized under the meta-categories of traditional and cloud data centers per Cisco market analysis conventions [7].</t>
  </si>
  <si>
    <t>Model parameter(s)</t>
  </si>
  <si>
    <t>Data sources and key analysis assumptions are listed below data tables in each worksheet.</t>
  </si>
  <si>
    <t>Server virtualization</t>
  </si>
  <si>
    <t>Total installed storage capacity</t>
  </si>
  <si>
    <t>Average storage density</t>
  </si>
  <si>
    <t>Average server power use</t>
  </si>
  <si>
    <t>Average storage drive power use</t>
  </si>
  <si>
    <t>Hyperscale server fraction</t>
  </si>
  <si>
    <t>External storage fraction</t>
  </si>
  <si>
    <t>Average network port power use</t>
  </si>
  <si>
    <t>Regional storage distribution</t>
  </si>
  <si>
    <t>Regional server distribution</t>
  </si>
  <si>
    <t>Regional port distribution</t>
  </si>
  <si>
    <t>Power utilization effectiveness (PUE)</t>
  </si>
  <si>
    <t>Key assumptions and data sources</t>
  </si>
  <si>
    <t>Growth in workloads and compute instances within traditional and cloud data centers proceeds at 2016-2021 compound annual growth rates (CAGR) estimated by Cisco [7] through 2023.</t>
  </si>
  <si>
    <t>Service demand growth</t>
  </si>
  <si>
    <t>Average workloads per server in traditional and cloud data centers increase to 3.8 and 13.2, respectively, in 2021 based on projections by Cisco [7].  Workloads per server continue to grow at 2016-2021 CAGR until 2023 [7].</t>
  </si>
  <si>
    <t>Virtualization CAGRs based on latest Cisco projections 2016-2021 [7]</t>
  </si>
  <si>
    <t>2010-2014 values estimated using proprietary hyperscale data center count data in source 8 combined with typical hyperscale data center server densities derived from [9]</t>
  </si>
  <si>
    <t>2022-2023 values estimated using 2015-2021 CAGRs for hyperscale data center counts and average hyperscale server densities derived from [6]-[9]</t>
  </si>
  <si>
    <t>2010-2020 numbers of servers by type derived from proprietary US server class shipment data in [9], extrapolated to global shipments</t>
  </si>
  <si>
    <t>Mid-range and high-end server values in 2010 from [10]</t>
  </si>
  <si>
    <t>2021-2023 values for volume servers distributed proportional to 2020 shares</t>
  </si>
  <si>
    <t>2021-2023 values for mid-range and high-end servers based on 2010-2020 CAGRs</t>
  </si>
  <si>
    <t>Server types from Table 4 (above) were assigned to data center categories following the distrubition rubric in [9], Table 3</t>
  </si>
  <si>
    <t>Here traditional data centers are equated to server closets, server rooms, localized (internal), mid-tier (internal), and high-end (internal) data centers in [9]</t>
  </si>
  <si>
    <t>Cloud (non-hyperscale) data centers are equated to localized (SP), mid-tier (SP), and high-end data centers (SP) in [9]</t>
  </si>
  <si>
    <t>Hyperscale data centers are equated to hyperscale data centers in [9]</t>
  </si>
  <si>
    <t>Fraction of global servers located in hyperscale data centers grows to 54% in 2021, as projected by Cisco [7].  This fraction continues to grow to 56% by 2023, assuming a 2015-2021 CAGR in global hyperscale data center counts and average hyperscale server density trends derived from [6]-[9].</t>
  </si>
  <si>
    <t>2022-2023 values assume 2021 regional distribution</t>
  </si>
  <si>
    <t>2021-2023 values extrapolated from 2020 using 2010-2020 CAGR to reflect historical efficiency and utilization level trends</t>
  </si>
  <si>
    <t>Here storage capacity is defined as external storage drives plus internal storage drives on servers with more than 2 installed drives, consistent with the definition in [9]</t>
  </si>
  <si>
    <t>2015-2021 values estimated based on total external and internal storage estimates from Cisco in [6, 7], with internal storage adjusted to reflect only internal storage on 2+ drive servers using assumptions from [9]</t>
  </si>
  <si>
    <t>Global installed storage capacity of solid state drives (SSDs) and hard disk drives (HDDs) in data centers grows to 2534 EB by 2021, based on Cisco projections in [7] and assumptions on fractions of installed storage capacity meeting LBNL's definition in [9] to avoid double-counting the energy use of internal storage on servers with less than two installed drives.  Global storage capacity increases to 4153 EB by 2023 based on Cisco's 2016-2021 storage capacity CAGR [7].</t>
  </si>
  <si>
    <t>2010-2014 values estimated from [6, 7] assuming global storage growth trends followed US growth trends as documented in [9]</t>
  </si>
  <si>
    <t>2010-2020 shares of SSDs and HHDs based on US distribution in [9]</t>
  </si>
  <si>
    <t>Total storage capacity CAGR based on latest Cisco projections 2016-2021 in [7]</t>
  </si>
  <si>
    <t>2021-2023 ratio of SSDs to HDDs held constant at 2020 ratio, reflecting prevalance of HDD storage predicted in [12]</t>
  </si>
  <si>
    <t>2010 cloud value estimated from public cloud data in [12], scaled to all cloud using proportion of public to private cloud in 2015 in [6]</t>
  </si>
  <si>
    <t>2021-2023 values estimated based on 2010-2020 average installed capacity trends per server</t>
  </si>
  <si>
    <t>2021-2023 projections assume the areal density of installed capacity increases by 25% each year, based on [13, 14]</t>
  </si>
  <si>
    <t>Average storage capacities per installed drive (TB/drive) for SSDs and HDDs increase to 5 and 10, respectively, in 2020 based on current trends in [9].  Average storage capacities per installed drive continue to grow until 2023 assuming a 25% annual increase in storage density based on current trends in [13, 14].</t>
  </si>
  <si>
    <t>2021-2023 HDD power values based on 2010-2020 power reduction CAGR in [9]</t>
  </si>
  <si>
    <t>2019-2023 SDD power values based on linear transition to best practice SSD power in 2023 from [9]</t>
  </si>
  <si>
    <t>Assumed constant for all years based on data in [15]</t>
  </si>
  <si>
    <t>2021-2023 values based on 2010-2020 CAGR from [9]</t>
  </si>
  <si>
    <t xml:space="preserve">The fraction of installed storage capacity that is external to servers increases slightly to 78% by 2023, based on a 2010-2020 external storage share CAGR derived from [9]. </t>
  </si>
  <si>
    <t>Total installed storage capacity in each region 2019-2023 follows regional distribution of servers in each data center type over the same time period.</t>
  </si>
  <si>
    <t>2021-2023 installed base values based on 2015-2020 port/server CAGR</t>
  </si>
  <si>
    <t>Installed base of ports allocated to data center space types proportional to installed servers, following methodology in [9]</t>
  </si>
  <si>
    <t>Average number of network ports per installed server increases to 4.8 by 2020, based on current trends in [9].  Average number of network ports per installed server continues to increase to 5 by 2023, based on the 2015-2020 CAGR derived from [9].</t>
  </si>
  <si>
    <t>Average network ports per server</t>
  </si>
  <si>
    <t>Total installed network ports in each region 2019-2023 follows regional distribution of servers in each data center type over the same time period.</t>
  </si>
  <si>
    <t>Average W/port values based on the evolution of port speed distributions and power use within each data center type in [9]</t>
  </si>
  <si>
    <t>Global average PUE values for traditional, cloud (non-hyperscale), and hyperscale data centers decrease to 1.77, 1.47, and 1.17, respectively, by 2023.  Traditional and cloud (non-hyperscale) data center PUE values improve at an annual rate consistent with the improved management scenario in [9], which reflects readily-achievable and low-cost airflow management and set-point changes.  Hyperscale data center PUE values improve at an annual rate of -0.5%, based on 2010-2018 CAGR derived from annual reported PUE data for Google data centers [15].</t>
  </si>
  <si>
    <t>Current trends analysis</t>
  </si>
  <si>
    <t>Current trends analysis assumptions</t>
  </si>
  <si>
    <t xml:space="preserve"> Cloud is further subdivided in this analysis into hyperscale and cloud (non-hyperscale) data centers.</t>
  </si>
  <si>
    <t>The key assumptions associated with the current trends analysis are summarized in a table on the Current Trends Analysis worksheet.</t>
  </si>
  <si>
    <t>Key analysis assumptions are summarized in the table below for major independent variables in the model.   Associated modeling inputs and results can be seen on subsequent worksheets.</t>
  </si>
  <si>
    <t>Average power use per installed port (W/port) decreases to 1.3, 1.6, and 2.3 in traditional, cloud (non-hyperscale), and hyperscale data centers, respectfully, in 2020.  These reductions follow combined current trends in port efficiency improvements and shifts to higher-speed ports in each data center type in [9].  No further reductions assumed post-2020, reflecting the potential for shifts to higher-speed ports counteracting efficiency gains.</t>
  </si>
  <si>
    <t>Historical</t>
  </si>
  <si>
    <t>2x demand</t>
  </si>
  <si>
    <t>Workloads/compute instances (millions)</t>
  </si>
  <si>
    <t>Workloads relative to 2018</t>
  </si>
  <si>
    <t>Global data center energy use estimates</t>
  </si>
  <si>
    <t>Global energy use by end use (TWh)</t>
  </si>
  <si>
    <t>Gobal energy use by data center type (TWh)</t>
  </si>
  <si>
    <t>Global energy use by region (TWh)</t>
  </si>
  <si>
    <t>Regions are defined by Cisco [7].  Total server stocks in each region estimated from global totals for each data center type proportional to regional workoads [7] and hyperscale data center counts [7, 8] until 2021, after which regional server distributions remain constant.</t>
  </si>
  <si>
    <t>Average power use per installed drive (W/drive) for HDDs decreases to 6.5 in 2020 based on current trends in [9], and continues decreasing to 5.5 in 2023 assuming 2010-2020 average power use CAGR in [9].  Average power use per installed drive (W/drive) for SSDs decreases linearly to 4.9 in 2023 following best practice scenario reductions in [9].</t>
  </si>
  <si>
    <t>Global values are analyzed for all years in the historical and current trends analysis time periods.</t>
  </si>
  <si>
    <t>1, 2</t>
  </si>
  <si>
    <t>2018-2020 values based on linear interpolation between 2016 and 2021 values in [7]</t>
  </si>
  <si>
    <t>2010 values estimated using proprietary hyperscale data center count data in [8] and continuity with post-2014 regional trends in [6, 7]</t>
  </si>
  <si>
    <t>6, 7, 8</t>
  </si>
  <si>
    <t>2010 cloud workload shares estimated using 2010 hyperscale distribution as a proxy, based on calibration to North American data in [9].</t>
  </si>
  <si>
    <t>1, 9</t>
  </si>
  <si>
    <t>2010 and 2018 North American values derived by assuming a -1% annual CAGR for traditional data center PUE from [9]</t>
  </si>
  <si>
    <t>1. Traditional data center PUE</t>
  </si>
  <si>
    <t>Historical values estimated based on industry-vetted 2014 average PUE value of 2.14 for North America [9]</t>
  </si>
  <si>
    <t>2019-2022 values assume linear progress to a 2023 global average PUE of 1.77, consistent with improved management trends in [9]</t>
  </si>
  <si>
    <t>Historical values for North America estimated based on industry-vetted 2014 average value of 1.71 in [9]</t>
  </si>
  <si>
    <t>Historical values for Western Europe estimated based on 2016 mid-sized data center average of 1.65 reported in [17]</t>
  </si>
  <si>
    <t>2010 and 2018 North American values derived by assuming a -1% CAGR for cloud data center PUE from [9]</t>
  </si>
  <si>
    <t>2010 and 2018 Western Europe values derived by assuming a -1% CAGR for cloud data center PUE from [9]</t>
  </si>
  <si>
    <t>All other regions in 2010 and 2018 use average of North America and Western Europe PUE values</t>
  </si>
  <si>
    <t>2019-2022 values assume linear progress to a 2023 global average PUE of 1.47, consistent with improved management trends in [9]</t>
  </si>
  <si>
    <t>Historical values for North America estimated based on industry-vetted 2014 average value of 1.2 in [9]</t>
  </si>
  <si>
    <t>For all other regions: 2010 and 2018 hyperscale PUE scaled from North American value based on regional differences in reported PUE values from Google in [16]</t>
  </si>
  <si>
    <t>2010 and 2018 North American values derived by assuming a -0.5% CAGR for hyperscale data center PUE, consistent with 2010-2018 PUE CAGR of Google's global data centers [16]</t>
  </si>
  <si>
    <t>2019-2023 values based on 2010-2018 PUE CAGR of -0.5% for Google's global data centers [16]</t>
  </si>
  <si>
    <t>Traditional data centers are equated to server closets, server rooms, localized (internal), mid-tier (internal), and high-end (internal) data centers in [9]</t>
  </si>
  <si>
    <t>1, 7</t>
  </si>
  <si>
    <t>Source(s)</t>
  </si>
  <si>
    <t>Global installed base of servers (millions)</t>
  </si>
  <si>
    <t>Global data center IP traffic (ZB/year)</t>
  </si>
  <si>
    <t>Global installed storage capacity (EB)</t>
  </si>
  <si>
    <t>Typical server power intensity trends based on Dell PowerEdge intergenerational peformance data in [18], figure 4, with 2017 data used as proxy for 2018</t>
  </si>
  <si>
    <t>Average power use per server decreases very slightly through 2023, reflecting trends in increased computational capacity, increased computational energy efficiency, improved voltage scaling, and increasing utilization levels through 2020 derived from [9].  2010-2020 power use trends are extended to 2023 using 2010-2020 CAGR values [9] for each server and space type.</t>
  </si>
  <si>
    <t>2) A current trends analysis, which explores the energy implications of a doubling of compute instance demand if current efficiency trends can be maintained by strong policy actions</t>
  </si>
  <si>
    <t>This analysis explores the energy use implications of a doubling in demand for global workloads and compute instances if current energy efficiency trends can be maintained through strong policy actions.</t>
  </si>
  <si>
    <t>Note: 2x demand column refers to doubling of workloads/compute instances</t>
  </si>
  <si>
    <t>Average power usage effectiveness (PUE)</t>
  </si>
  <si>
    <t>Masanet, E., Shehabi, A., Lei, N., Smith, S., and J.G. Koomey (2020). "Recalibrating global data center energy use estimates." Science, Vol 367, Iss 6481.</t>
  </si>
  <si>
    <t>2010-2020 server power values based on typical server configurations and utilization levels by space type from [9] (Figure 10) and [11]</t>
  </si>
  <si>
    <t>2010-2020 values from Figure 13 in [9]</t>
  </si>
  <si>
    <t>2010-2018 values from Figure 15 in [9]</t>
  </si>
  <si>
    <t>Average number of ports (all speeds) per server (all types) derived from Figures 17 and 6 in [9]</t>
  </si>
  <si>
    <t>Please cite the model and/or data as follows:</t>
  </si>
  <si>
    <t>Uncertainties</t>
  </si>
  <si>
    <t>To maximize confidence in the current modeled estimates and trends, the following approaches were employed:</t>
  </si>
  <si>
    <t>- Whenever possible, the authors selected reported means that were derived from parameter distributions in the original source</t>
  </si>
  <si>
    <t>- Whenever possible, the authors selected parameter values that were based on direct measurement or could be independently verified by the research team</t>
  </si>
  <si>
    <t>With better data availability in the future, researchers should consider conducting parameter uncertainty and sensitivity analyses to improve the robustness of the analysis.</t>
  </si>
  <si>
    <t>- Consistent methods were used across all years of the analysis, to improve confidence in observed year-over-year trends</t>
  </si>
  <si>
    <t>- The model's structure and key technology datasets have been subjected to substantial peer review and industry vetting, improving confidence they are sufficiently accurate for the intended purpose</t>
  </si>
  <si>
    <t>- All data sources, input values, and methodological decisions have been documented clearly in subsequent worksheets, giving full transparency</t>
  </si>
  <si>
    <t>and identification of policy actions that are most important) were designed to be robust to inherent underlying data uncertainties.</t>
  </si>
  <si>
    <t>Lastly, key messages stemming from the analysis (i.e., that energy use has been decoupled from service demand growth, that substantial yet limited efficiency potential remains under current trends,</t>
  </si>
  <si>
    <t>Two time-series analyses are presented:</t>
  </si>
  <si>
    <t>Historical regional analyses are conducted only for 2010 and 2018, due to a lack of consistent historical time-series data at the regional level.</t>
  </si>
  <si>
    <t>Model inputs are based on best available point values reported in the literature, due to lack of publicly-available time-series data on parameter ranges and/or distributions.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</si>
</sst>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
    <numFmt numFmtId="165" formatCode="0.0%"/>
    <numFmt numFmtId="166" formatCode="_(&quot;¥&quot;* #,##0.00_);_(&quot;¥&quot;* \(#,##0.00\);_(&quot;¥&quot;* &quot;-&quot;??_);_(@_)"/>
    <numFmt numFmtId="167" formatCode="0.000"/>
    <numFmt numFmtId="168" formatCode="0.0000"/>
    <numFmt numFmtId="169" formatCode="_(* #,##0.0_);_(* \(#,##0.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2"/>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43" fontId="1" fillId="0" borderId="0" applyFont="0" applyFill="0" applyBorder="0" applyAlignment="0" applyProtection="0"/>
  </cellStyleXfs>
  <cellXfs count="109">
    <xf numFmtId="0" fontId="0" fillId="0" borderId="0" xfId="0"/>
    <xf numFmtId="0" fontId="0" fillId="0" borderId="1" xfId="0" applyBorder="1"/>
    <xf numFmtId="164" fontId="0" fillId="0" borderId="0" xfId="0" applyNumberFormat="1"/>
    <xf numFmtId="0" fontId="2" fillId="0" borderId="0" xfId="0" applyFont="1"/>
    <xf numFmtId="0" fontId="3" fillId="0" borderId="0" xfId="0" applyFont="1" applyAlignment="1">
      <alignment horizontal="right"/>
    </xf>
    <xf numFmtId="0" fontId="3" fillId="0" borderId="0" xfId="0" applyFont="1"/>
    <xf numFmtId="1" fontId="0" fillId="0" borderId="0" xfId="0" applyNumberFormat="1"/>
    <xf numFmtId="0" fontId="2" fillId="0" borderId="2" xfId="0" applyFont="1" applyBorder="1"/>
    <xf numFmtId="0" fontId="2" fillId="0" borderId="1" xfId="0" applyFont="1" applyBorder="1"/>
    <xf numFmtId="0" fontId="2" fillId="0" borderId="0" xfId="0" applyFont="1" applyBorder="1"/>
    <xf numFmtId="0" fontId="2" fillId="0" borderId="2" xfId="0" applyFont="1" applyFill="1" applyBorder="1"/>
    <xf numFmtId="0" fontId="0" fillId="0" borderId="0" xfId="0" applyFill="1"/>
    <xf numFmtId="1" fontId="2" fillId="0" borderId="2" xfId="0" applyNumberFormat="1" applyFont="1" applyBorder="1"/>
    <xf numFmtId="0" fontId="0" fillId="0" borderId="0" xfId="0" applyBorder="1"/>
    <xf numFmtId="0" fontId="2" fillId="0" borderId="1" xfId="0" applyFont="1" applyBorder="1" applyAlignment="1">
      <alignment wrapText="1"/>
    </xf>
    <xf numFmtId="0" fontId="2" fillId="0" borderId="1" xfId="0" applyFont="1" applyFill="1" applyBorder="1"/>
    <xf numFmtId="0" fontId="0" fillId="0" borderId="3" xfId="0" applyBorder="1"/>
    <xf numFmtId="1" fontId="0" fillId="0" borderId="0" xfId="0" applyNumberFormat="1" applyBorder="1"/>
    <xf numFmtId="1" fontId="0" fillId="0" borderId="0" xfId="0" applyNumberFormat="1" applyFill="1"/>
    <xf numFmtId="165" fontId="0" fillId="0" borderId="3" xfId="1" applyNumberFormat="1" applyFont="1" applyFill="1" applyBorder="1"/>
    <xf numFmtId="0" fontId="0" fillId="0" borderId="0" xfId="0" applyAlignment="1">
      <alignment wrapText="1"/>
    </xf>
    <xf numFmtId="164" fontId="2" fillId="0" borderId="2" xfId="0" applyNumberFormat="1" applyFont="1" applyBorder="1"/>
    <xf numFmtId="165" fontId="0" fillId="0" borderId="0" xfId="0" applyNumberFormat="1" applyFill="1" applyAlignment="1">
      <alignment wrapText="1"/>
    </xf>
    <xf numFmtId="165" fontId="0" fillId="0" borderId="1" xfId="0" applyNumberFormat="1" applyFill="1" applyBorder="1" applyAlignment="1">
      <alignment wrapText="1"/>
    </xf>
    <xf numFmtId="165" fontId="0" fillId="0" borderId="0" xfId="0" applyNumberFormat="1" applyFill="1"/>
    <xf numFmtId="165" fontId="0" fillId="0" borderId="1" xfId="0" applyNumberFormat="1" applyFill="1" applyBorder="1"/>
    <xf numFmtId="0" fontId="3" fillId="0" borderId="0" xfId="0" applyFont="1" applyFill="1" applyAlignment="1">
      <alignment horizontal="right"/>
    </xf>
    <xf numFmtId="0" fontId="0" fillId="0" borderId="0" xfId="0" applyFont="1" applyFill="1" applyBorder="1"/>
    <xf numFmtId="1" fontId="0" fillId="0" borderId="0" xfId="0" applyNumberFormat="1" applyFill="1" applyBorder="1"/>
    <xf numFmtId="1" fontId="0" fillId="0" borderId="1" xfId="0" applyNumberFormat="1" applyFill="1" applyBorder="1"/>
    <xf numFmtId="0" fontId="3" fillId="0" borderId="0" xfId="0" applyFont="1" applyFill="1" applyBorder="1" applyAlignment="1">
      <alignment horizontal="right"/>
    </xf>
    <xf numFmtId="1" fontId="3" fillId="0" borderId="0" xfId="0" applyNumberFormat="1" applyFont="1" applyFill="1" applyBorder="1"/>
    <xf numFmtId="0" fontId="3" fillId="0" borderId="0" xfId="0" applyFont="1" applyFill="1"/>
    <xf numFmtId="1" fontId="0" fillId="0" borderId="3" xfId="0" applyNumberFormat="1" applyFill="1" applyBorder="1"/>
    <xf numFmtId="0" fontId="2" fillId="0" borderId="1" xfId="0" applyFont="1" applyFill="1" applyBorder="1" applyAlignment="1">
      <alignment wrapText="1"/>
    </xf>
    <xf numFmtId="1" fontId="2" fillId="0" borderId="1" xfId="0" applyNumberFormat="1" applyFont="1" applyFill="1" applyBorder="1"/>
    <xf numFmtId="164" fontId="0" fillId="0" borderId="0" xfId="0" applyNumberFormat="1" applyFill="1"/>
    <xf numFmtId="2" fontId="0" fillId="0" borderId="2" xfId="0" applyNumberFormat="1" applyFill="1" applyBorder="1"/>
    <xf numFmtId="0" fontId="2" fillId="0" borderId="0" xfId="0" applyFont="1" applyFill="1" applyBorder="1"/>
    <xf numFmtId="164" fontId="2" fillId="0" borderId="2" xfId="0" applyNumberFormat="1" applyFont="1" applyFill="1" applyBorder="1"/>
    <xf numFmtId="164" fontId="0" fillId="0" borderId="0" xfId="0" applyNumberFormat="1" applyBorder="1"/>
    <xf numFmtId="2" fontId="0" fillId="0" borderId="1" xfId="0" applyNumberFormat="1" applyBorder="1"/>
    <xf numFmtId="2" fontId="0" fillId="0" borderId="0" xfId="0" applyNumberFormat="1" applyBorder="1"/>
    <xf numFmtId="0" fontId="0" fillId="0" borderId="0" xfId="0" applyFill="1" applyBorder="1"/>
    <xf numFmtId="0" fontId="2" fillId="0" borderId="0" xfId="0" applyFont="1" applyFill="1" applyBorder="1" applyAlignment="1">
      <alignment wrapText="1"/>
    </xf>
    <xf numFmtId="2" fontId="0" fillId="0" borderId="0" xfId="0" applyNumberFormat="1" applyFill="1" applyBorder="1"/>
    <xf numFmtId="2" fontId="0" fillId="0" borderId="1" xfId="0" applyNumberFormat="1" applyFill="1" applyBorder="1"/>
    <xf numFmtId="2" fontId="0" fillId="0" borderId="3" xfId="0" applyNumberFormat="1" applyFill="1" applyBorder="1"/>
    <xf numFmtId="1" fontId="2" fillId="0" borderId="2" xfId="0" applyNumberFormat="1" applyFont="1" applyFill="1" applyBorder="1"/>
    <xf numFmtId="0" fontId="3" fillId="0" borderId="0" xfId="0" applyFont="1" applyFill="1" applyAlignment="1">
      <alignment horizontal="left"/>
    </xf>
    <xf numFmtId="9" fontId="0" fillId="0" borderId="0" xfId="1" applyFont="1"/>
    <xf numFmtId="165" fontId="0" fillId="0" borderId="0" xfId="1" applyNumberFormat="1" applyFont="1"/>
    <xf numFmtId="0" fontId="2" fillId="0" borderId="1" xfId="0" applyFont="1" applyBorder="1" applyAlignment="1">
      <alignment horizontal="left"/>
    </xf>
    <xf numFmtId="164" fontId="0" fillId="0" borderId="0" xfId="0" applyNumberFormat="1" applyFill="1" applyAlignment="1">
      <alignment wrapText="1"/>
    </xf>
    <xf numFmtId="1" fontId="0" fillId="0" borderId="2" xfId="0" applyNumberFormat="1" applyFill="1" applyBorder="1"/>
    <xf numFmtId="9" fontId="0" fillId="0" borderId="2" xfId="1" applyNumberFormat="1" applyFont="1" applyFill="1" applyBorder="1"/>
    <xf numFmtId="0" fontId="3" fillId="0" borderId="0" xfId="0" applyFont="1" applyAlignment="1"/>
    <xf numFmtId="1" fontId="3" fillId="0" borderId="0" xfId="0" applyNumberFormat="1" applyFont="1" applyFill="1" applyBorder="1" applyAlignment="1">
      <alignment horizontal="right"/>
    </xf>
    <xf numFmtId="165" fontId="0" fillId="0" borderId="0" xfId="1" applyNumberFormat="1" applyFont="1" applyFill="1"/>
    <xf numFmtId="165" fontId="0" fillId="0" borderId="1" xfId="1" applyNumberFormat="1" applyFont="1" applyFill="1" applyBorder="1"/>
    <xf numFmtId="0" fontId="0" fillId="0" borderId="1" xfId="0" applyFont="1" applyFill="1" applyBorder="1"/>
    <xf numFmtId="1" fontId="0" fillId="0" borderId="0" xfId="0" applyNumberFormat="1" applyFont="1" applyFill="1" applyBorder="1"/>
    <xf numFmtId="0" fontId="0" fillId="0" borderId="0" xfId="0" applyFont="1" applyFill="1"/>
    <xf numFmtId="164" fontId="0" fillId="0" borderId="1" xfId="0" applyNumberFormat="1" applyFill="1" applyBorder="1"/>
    <xf numFmtId="9" fontId="0" fillId="0" borderId="2" xfId="1" applyFont="1" applyFill="1" applyBorder="1"/>
    <xf numFmtId="9" fontId="1" fillId="0" borderId="0" xfId="1" applyFont="1" applyFill="1" applyBorder="1"/>
    <xf numFmtId="0" fontId="2" fillId="0" borderId="4" xfId="0" applyFont="1" applyBorder="1" applyAlignment="1">
      <alignment horizontal="left" vertical="top"/>
    </xf>
    <xf numFmtId="0" fontId="2" fillId="0" borderId="4" xfId="0" applyFont="1" applyBorder="1" applyAlignment="1">
      <alignment horizontal="left" vertical="top" wrapText="1"/>
    </xf>
    <xf numFmtId="0" fontId="0" fillId="0" borderId="4" xfId="0" applyBorder="1" applyAlignment="1">
      <alignment horizontal="left" vertical="top" wrapText="1"/>
    </xf>
    <xf numFmtId="0" fontId="3" fillId="0" borderId="0" xfId="0" applyFont="1" applyFill="1" applyAlignment="1"/>
    <xf numFmtId="164" fontId="2" fillId="0" borderId="0" xfId="0" applyNumberFormat="1" applyFont="1" applyFill="1" applyBorder="1"/>
    <xf numFmtId="164" fontId="2" fillId="0" borderId="1" xfId="0" applyNumberFormat="1" applyFont="1" applyFill="1" applyBorder="1"/>
    <xf numFmtId="2" fontId="2" fillId="0" borderId="1" xfId="0" applyNumberFormat="1" applyFont="1" applyFill="1" applyBorder="1"/>
    <xf numFmtId="0" fontId="2" fillId="0" borderId="3" xfId="0" applyFont="1" applyBorder="1"/>
    <xf numFmtId="1" fontId="2" fillId="0" borderId="3" xfId="0" applyNumberFormat="1" applyFont="1" applyFill="1" applyBorder="1"/>
    <xf numFmtId="1" fontId="2" fillId="0" borderId="3" xfId="0" applyNumberFormat="1" applyFont="1" applyBorder="1"/>
    <xf numFmtId="169" fontId="0" fillId="0" borderId="0" xfId="5" applyNumberFormat="1" applyFont="1" applyFill="1"/>
    <xf numFmtId="0" fontId="3" fillId="0" borderId="0" xfId="0" applyFont="1" applyFill="1" applyBorder="1" applyAlignment="1">
      <alignment horizontal="left"/>
    </xf>
    <xf numFmtId="9" fontId="0" fillId="0" borderId="0" xfId="1" applyNumberFormat="1" applyFont="1"/>
    <xf numFmtId="0" fontId="2" fillId="0" borderId="0" xfId="0" applyFont="1" applyFill="1"/>
    <xf numFmtId="0" fontId="0" fillId="0" borderId="1" xfId="0" applyFill="1" applyBorder="1"/>
    <xf numFmtId="2" fontId="0" fillId="0" borderId="0" xfId="1" applyNumberFormat="1" applyFont="1" applyFill="1"/>
    <xf numFmtId="0" fontId="0" fillId="0" borderId="2" xfId="0" applyFill="1" applyBorder="1"/>
    <xf numFmtId="10" fontId="3" fillId="0" borderId="0" xfId="1" applyNumberFormat="1" applyFont="1" applyFill="1"/>
    <xf numFmtId="9" fontId="0" fillId="0" borderId="2" xfId="0" applyNumberFormat="1" applyFill="1" applyBorder="1"/>
    <xf numFmtId="0" fontId="0" fillId="0" borderId="3" xfId="0" applyFill="1" applyBorder="1"/>
    <xf numFmtId="0" fontId="0" fillId="0" borderId="2" xfId="0" applyFont="1" applyFill="1" applyBorder="1"/>
    <xf numFmtId="1" fontId="2" fillId="0" borderId="0" xfId="0" applyNumberFormat="1" applyFont="1" applyFill="1" applyBorder="1"/>
    <xf numFmtId="0" fontId="0" fillId="0" borderId="0" xfId="0" applyFill="1" applyAlignment="1">
      <alignment horizontal="right"/>
    </xf>
    <xf numFmtId="0" fontId="0" fillId="0" borderId="1" xfId="0" applyFill="1" applyBorder="1" applyAlignment="1">
      <alignment horizontal="right"/>
    </xf>
    <xf numFmtId="0" fontId="0" fillId="0" borderId="0" xfId="0" applyFill="1" applyAlignment="1">
      <alignment wrapText="1"/>
    </xf>
    <xf numFmtId="9" fontId="0" fillId="0" borderId="0" xfId="1" applyFont="1" applyFill="1"/>
    <xf numFmtId="43" fontId="0" fillId="0" borderId="0" xfId="5" applyFont="1" applyFill="1"/>
    <xf numFmtId="0" fontId="0" fillId="0" borderId="1" xfId="0" applyFill="1" applyBorder="1" applyAlignment="1">
      <alignment wrapText="1"/>
    </xf>
    <xf numFmtId="0" fontId="3" fillId="0" borderId="0" xfId="0" applyFont="1" applyFill="1" applyAlignment="1">
      <alignment horizontal="right" wrapText="1"/>
    </xf>
    <xf numFmtId="2" fontId="0" fillId="0" borderId="0" xfId="0" applyNumberFormat="1" applyFill="1"/>
    <xf numFmtId="1" fontId="3" fillId="0" borderId="0" xfId="0" applyNumberFormat="1" applyFont="1" applyFill="1" applyBorder="1" applyAlignment="1">
      <alignment horizontal="left"/>
    </xf>
    <xf numFmtId="168" fontId="3" fillId="0" borderId="0" xfId="0" applyNumberFormat="1" applyFont="1" applyFill="1" applyBorder="1"/>
    <xf numFmtId="167" fontId="0" fillId="0" borderId="0" xfId="0" applyNumberFormat="1" applyFont="1" applyFill="1" applyBorder="1"/>
    <xf numFmtId="9" fontId="0" fillId="0" borderId="0" xfId="0" applyNumberFormat="1" applyFill="1"/>
    <xf numFmtId="9" fontId="0" fillId="0" borderId="1" xfId="1" applyFont="1" applyFill="1" applyBorder="1"/>
    <xf numFmtId="9" fontId="0" fillId="0" borderId="1" xfId="0" applyNumberFormat="1" applyFill="1" applyBorder="1"/>
    <xf numFmtId="9" fontId="0" fillId="0" borderId="0" xfId="1" applyFont="1" applyFill="1" applyBorder="1"/>
    <xf numFmtId="9" fontId="3" fillId="0" borderId="0" xfId="1" applyNumberFormat="1" applyFont="1" applyFill="1"/>
    <xf numFmtId="0" fontId="2" fillId="0" borderId="2" xfId="0" applyFont="1" applyFill="1" applyBorder="1" applyAlignment="1">
      <alignment wrapText="1"/>
    </xf>
    <xf numFmtId="0" fontId="2" fillId="0" borderId="1" xfId="0" applyFont="1" applyBorder="1" applyAlignment="1">
      <alignment horizontal="right"/>
    </xf>
    <xf numFmtId="164" fontId="0" fillId="0" borderId="0" xfId="0" applyNumberFormat="1" applyFill="1" applyBorder="1"/>
    <xf numFmtId="0" fontId="3" fillId="0" borderId="0" xfId="0" applyFont="1" applyAlignment="1">
      <alignment horizontal="left" vertical="top" wrapText="1"/>
    </xf>
    <xf numFmtId="0" fontId="0" fillId="0" borderId="0" xfId="0" quotePrefix="1"/>
  </cellXfs>
  <cellStyles count="6">
    <cellStyle name="Comma" xfId="5" builtinId="3"/>
    <cellStyle name="Currency 2" xfId="4"/>
    <cellStyle name="Normal" xfId="0" builtinId="0"/>
    <cellStyle name="Normal 2" xfId="2"/>
    <cellStyle name="Percent" xfId="1" builtinId="5"/>
    <cellStyle name="Percent 2" xfId="3"/>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84657456740062"/>
          <c:y val="8.120915450137195E-2"/>
          <c:w val="0.31224431997546698"/>
          <c:h val="0.76039487601363265"/>
        </c:manualLayout>
      </c:layout>
      <c:barChart>
        <c:barDir val="col"/>
        <c:grouping val="clustered"/>
        <c:varyColors val="0"/>
        <c:ser>
          <c:idx val="3"/>
          <c:order val="0"/>
          <c:tx>
            <c:strRef>
              <c:f>'Figure 1'!$B$17</c:f>
              <c:strCache>
                <c:ptCount val="1"/>
                <c:pt idx="0">
                  <c:v>Global installed storage capacity (EB)</c:v>
                </c:pt>
              </c:strCache>
            </c:strRef>
          </c:tx>
          <c:spPr>
            <a:solidFill>
              <a:schemeClr val="accent4"/>
            </a:solidFill>
            <a:ln>
              <a:noFill/>
            </a:ln>
            <a:effectLst/>
          </c:spPr>
          <c:invertIfNegative val="0"/>
          <c:dLbls>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9-9161-4E47-ACD4-866465A9AF68}"/>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1'!$K$17</c:f>
              <c:numCache>
                <c:formatCode>0.0</c:formatCode>
                <c:ptCount val="1"/>
                <c:pt idx="0">
                  <c:v>25.751480750246795</c:v>
                </c:pt>
              </c:numCache>
            </c:numRef>
          </c:val>
          <c:extLst>
            <c:ext xmlns:c16="http://schemas.microsoft.com/office/drawing/2014/chart" uri="{C3380CC4-5D6E-409C-BE32-E72D297353CC}">
              <c16:uniqueId val="{00000004-9161-4E47-ACD4-866465A9AF68}"/>
            </c:ext>
          </c:extLst>
        </c:ser>
        <c:ser>
          <c:idx val="0"/>
          <c:order val="1"/>
          <c:tx>
            <c:strRef>
              <c:f>'Figure 1'!$B$14</c:f>
              <c:strCache>
                <c:ptCount val="1"/>
                <c:pt idx="0">
                  <c:v>Global data center IP traffic (ZB/year)</c:v>
                </c:pt>
              </c:strCache>
            </c:strRef>
          </c:tx>
          <c:spPr>
            <a:solidFill>
              <a:schemeClr val="accent1"/>
            </a:solidFill>
            <a:ln>
              <a:noFill/>
            </a:ln>
            <a:effectLst/>
          </c:spPr>
          <c:invertIfNegative val="0"/>
          <c:dLbls>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A-9161-4E47-ACD4-866465A9AF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1'!$K$14</c:f>
              <c:numCache>
                <c:formatCode>0.0</c:formatCode>
                <c:ptCount val="1"/>
                <c:pt idx="0">
                  <c:v>10.545454545454545</c:v>
                </c:pt>
              </c:numCache>
            </c:numRef>
          </c:val>
          <c:extLst>
            <c:ext xmlns:c16="http://schemas.microsoft.com/office/drawing/2014/chart" uri="{C3380CC4-5D6E-409C-BE32-E72D297353CC}">
              <c16:uniqueId val="{00000001-9161-4E47-ACD4-866465A9AF68}"/>
            </c:ext>
          </c:extLst>
        </c:ser>
        <c:ser>
          <c:idx val="1"/>
          <c:order val="2"/>
          <c:tx>
            <c:strRef>
              <c:f>'Figure 1'!$B$15</c:f>
              <c:strCache>
                <c:ptCount val="1"/>
                <c:pt idx="0">
                  <c:v>Data center workloads and compute instances (millions)</c:v>
                </c:pt>
              </c:strCache>
            </c:strRef>
          </c:tx>
          <c:spPr>
            <a:solidFill>
              <a:schemeClr val="accent2"/>
            </a:solidFill>
            <a:ln>
              <a:noFill/>
            </a:ln>
            <a:effectLst/>
          </c:spPr>
          <c:invertIfNegative val="0"/>
          <c:dLbls>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B-9161-4E47-ACD4-866465A9AF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1'!$K$15</c:f>
              <c:numCache>
                <c:formatCode>0.0</c:formatCode>
                <c:ptCount val="1"/>
                <c:pt idx="0">
                  <c:v>6.4660869565217389</c:v>
                </c:pt>
              </c:numCache>
            </c:numRef>
          </c:val>
          <c:extLst>
            <c:ext xmlns:c16="http://schemas.microsoft.com/office/drawing/2014/chart" uri="{C3380CC4-5D6E-409C-BE32-E72D297353CC}">
              <c16:uniqueId val="{00000002-9161-4E47-ACD4-866465A9AF68}"/>
            </c:ext>
          </c:extLst>
        </c:ser>
        <c:ser>
          <c:idx val="2"/>
          <c:order val="3"/>
          <c:tx>
            <c:strRef>
              <c:f>'Figure 1'!$B$16</c:f>
              <c:strCache>
                <c:ptCount val="1"/>
                <c:pt idx="0">
                  <c:v>Global installed base of servers (millions)</c:v>
                </c:pt>
              </c:strCache>
            </c:strRef>
          </c:tx>
          <c:spPr>
            <a:solidFill>
              <a:schemeClr val="accent3"/>
            </a:solidFill>
            <a:ln>
              <a:noFill/>
            </a:ln>
            <a:effectLst/>
          </c:spPr>
          <c:invertIfNegative val="0"/>
          <c:dLbls>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C-9161-4E47-ACD4-866465A9AF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1'!$K$16</c:f>
              <c:numCache>
                <c:formatCode>0.0</c:formatCode>
                <c:ptCount val="1"/>
                <c:pt idx="0">
                  <c:v>1.2590648277176779</c:v>
                </c:pt>
              </c:numCache>
            </c:numRef>
          </c:val>
          <c:extLst>
            <c:ext xmlns:c16="http://schemas.microsoft.com/office/drawing/2014/chart" uri="{C3380CC4-5D6E-409C-BE32-E72D297353CC}">
              <c16:uniqueId val="{00000003-9161-4E47-ACD4-866465A9AF68}"/>
            </c:ext>
          </c:extLst>
        </c:ser>
        <c:ser>
          <c:idx val="7"/>
          <c:order val="4"/>
          <c:tx>
            <c:strRef>
              <c:f>'Figure 1'!$B$21</c:f>
              <c:strCache>
                <c:ptCount val="1"/>
                <c:pt idx="0">
                  <c:v>Average power usage effectiveness (PUE)</c:v>
                </c:pt>
              </c:strCache>
            </c:strRef>
          </c:tx>
          <c:spPr>
            <a:solidFill>
              <a:schemeClr val="accent2">
                <a:lumMod val="60000"/>
              </a:schemeClr>
            </a:solidFill>
            <a:ln>
              <a:noFill/>
            </a:ln>
            <a:effectLst/>
          </c:spPr>
          <c:invertIfNegative val="0"/>
          <c:dLbls>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D-9161-4E47-ACD4-866465A9AF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1'!$K$21</c:f>
              <c:numCache>
                <c:formatCode>0.00</c:formatCode>
                <c:ptCount val="1"/>
                <c:pt idx="0">
                  <c:v>0.7533475293293731</c:v>
                </c:pt>
              </c:numCache>
            </c:numRef>
          </c:val>
          <c:extLst>
            <c:ext xmlns:c16="http://schemas.microsoft.com/office/drawing/2014/chart" uri="{C3380CC4-5D6E-409C-BE32-E72D297353CC}">
              <c16:uniqueId val="{00000008-9161-4E47-ACD4-866465A9AF68}"/>
            </c:ext>
          </c:extLst>
        </c:ser>
        <c:ser>
          <c:idx val="5"/>
          <c:order val="5"/>
          <c:tx>
            <c:strRef>
              <c:f>'Figure 1'!$B$19</c:f>
              <c:strCache>
                <c:ptCount val="1"/>
                <c:pt idx="0">
                  <c:v>Typical server power intensity (W/computation)</c:v>
                </c:pt>
              </c:strCache>
            </c:strRef>
          </c:tx>
          <c:spPr>
            <a:solidFill>
              <a:schemeClr val="accent6"/>
            </a:solidFill>
            <a:ln>
              <a:noFill/>
            </a:ln>
            <a:effectLst/>
          </c:spPr>
          <c:invertIfNegative val="0"/>
          <c:dLbls>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E-9161-4E47-ACD4-866465A9AF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1'!$K$19</c:f>
              <c:numCache>
                <c:formatCode>0.00</c:formatCode>
                <c:ptCount val="1"/>
                <c:pt idx="0">
                  <c:v>0.23771313941825475</c:v>
                </c:pt>
              </c:numCache>
            </c:numRef>
          </c:val>
          <c:extLst>
            <c:ext xmlns:c16="http://schemas.microsoft.com/office/drawing/2014/chart" uri="{C3380CC4-5D6E-409C-BE32-E72D297353CC}">
              <c16:uniqueId val="{00000006-9161-4E47-ACD4-866465A9AF68}"/>
            </c:ext>
          </c:extLst>
        </c:ser>
        <c:ser>
          <c:idx val="4"/>
          <c:order val="6"/>
          <c:tx>
            <c:strRef>
              <c:f>'Figure 1'!$B$18</c:f>
              <c:strCache>
                <c:ptCount val="1"/>
                <c:pt idx="0">
                  <c:v>Average number of servers per workload</c:v>
                </c:pt>
              </c:strCache>
            </c:strRef>
          </c:tx>
          <c:spPr>
            <a:solidFill>
              <a:schemeClr val="accent5"/>
            </a:solidFill>
            <a:ln>
              <a:noFill/>
            </a:ln>
            <a:effectLst/>
          </c:spPr>
          <c:invertIfNegative val="0"/>
          <c:dLbls>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F-9161-4E47-ACD4-866465A9AF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1'!$K$18</c:f>
              <c:numCache>
                <c:formatCode>0.00</c:formatCode>
                <c:ptCount val="1"/>
                <c:pt idx="0">
                  <c:v>0.19471820224251338</c:v>
                </c:pt>
              </c:numCache>
            </c:numRef>
          </c:val>
          <c:extLst>
            <c:ext xmlns:c16="http://schemas.microsoft.com/office/drawing/2014/chart" uri="{C3380CC4-5D6E-409C-BE32-E72D297353CC}">
              <c16:uniqueId val="{00000005-9161-4E47-ACD4-866465A9AF68}"/>
            </c:ext>
          </c:extLst>
        </c:ser>
        <c:ser>
          <c:idx val="6"/>
          <c:order val="7"/>
          <c:tx>
            <c:strRef>
              <c:f>'Figure 1'!$B$20</c:f>
              <c:strCache>
                <c:ptCount val="1"/>
                <c:pt idx="0">
                  <c:v>Average storage drive energy use (kWh/TB)</c:v>
                </c:pt>
              </c:strCache>
            </c:strRef>
          </c:tx>
          <c:spPr>
            <a:solidFill>
              <a:schemeClr val="accent1">
                <a:lumMod val="60000"/>
              </a:schemeClr>
            </a:solidFill>
            <a:ln>
              <a:noFill/>
            </a:ln>
            <a:effectLst/>
          </c:spPr>
          <c:invertIfNegative val="0"/>
          <c:dLbls>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10-9161-4E47-ACD4-866465A9AF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1'!$K$20</c:f>
              <c:numCache>
                <c:formatCode>0.00</c:formatCode>
                <c:ptCount val="1"/>
                <c:pt idx="0">
                  <c:v>0.11146311874925505</c:v>
                </c:pt>
              </c:numCache>
            </c:numRef>
          </c:val>
          <c:extLst>
            <c:ext xmlns:c16="http://schemas.microsoft.com/office/drawing/2014/chart" uri="{C3380CC4-5D6E-409C-BE32-E72D297353CC}">
              <c16:uniqueId val="{00000007-9161-4E47-ACD4-866465A9AF68}"/>
            </c:ext>
          </c:extLst>
        </c:ser>
        <c:dLbls>
          <c:showLegendKey val="0"/>
          <c:showVal val="0"/>
          <c:showCatName val="0"/>
          <c:showSerName val="0"/>
          <c:showPercent val="0"/>
          <c:showBubbleSize val="0"/>
        </c:dLbls>
        <c:gapWidth val="219"/>
        <c:overlap val="-27"/>
        <c:axId val="844800800"/>
        <c:axId val="844803712"/>
      </c:barChart>
      <c:catAx>
        <c:axId val="844800800"/>
        <c:scaling>
          <c:orientation val="minMax"/>
        </c:scaling>
        <c:delete val="1"/>
        <c:axPos val="b"/>
        <c:majorTickMark val="none"/>
        <c:minorTickMark val="none"/>
        <c:tickLblPos val="nextTo"/>
        <c:crossAx val="844803712"/>
        <c:crosses val="autoZero"/>
        <c:auto val="1"/>
        <c:lblAlgn val="ctr"/>
        <c:lblOffset val="100"/>
        <c:noMultiLvlLbl val="0"/>
      </c:catAx>
      <c:valAx>
        <c:axId val="844803712"/>
        <c:scaling>
          <c:logBase val="10"/>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 change 2010-2018 (2010=1)</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in"/>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00800"/>
        <c:crosses val="autoZero"/>
        <c:crossBetween val="between"/>
      </c:valAx>
      <c:spPr>
        <a:noFill/>
        <a:ln>
          <a:noFill/>
        </a:ln>
        <a:effectLst/>
      </c:spPr>
    </c:plotArea>
    <c:legend>
      <c:legendPos val="r"/>
      <c:layout>
        <c:manualLayout>
          <c:xMode val="edge"/>
          <c:yMode val="edge"/>
          <c:x val="0.5916944917967728"/>
          <c:y val="6.1501462219883125E-2"/>
          <c:w val="0.35248856779500498"/>
          <c:h val="0.885649806428317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40823046956532"/>
          <c:y val="5.4781098282574422E-2"/>
          <c:w val="0.66613505549689378"/>
          <c:h val="0.72814171374567715"/>
        </c:manualLayout>
      </c:layout>
      <c:barChart>
        <c:barDir val="col"/>
        <c:grouping val="stacked"/>
        <c:varyColors val="0"/>
        <c:ser>
          <c:idx val="0"/>
          <c:order val="0"/>
          <c:tx>
            <c:strRef>
              <c:f>'Figure 2a'!$B$5</c:f>
              <c:strCache>
                <c:ptCount val="1"/>
                <c:pt idx="0">
                  <c:v>Servers</c:v>
                </c:pt>
              </c:strCache>
            </c:strRef>
          </c:tx>
          <c:spPr>
            <a:solidFill>
              <a:schemeClr val="accent1"/>
            </a:solidFill>
            <a:ln>
              <a:noFill/>
            </a:ln>
            <a:effectLst/>
          </c:spPr>
          <c:invertIfNegative val="0"/>
          <c:cat>
            <c:strRef>
              <c:f>'Figure 2a'!$C$4:$E$4</c:f>
              <c:strCache>
                <c:ptCount val="3"/>
                <c:pt idx="0">
                  <c:v>2010</c:v>
                </c:pt>
                <c:pt idx="1">
                  <c:v>2018</c:v>
                </c:pt>
                <c:pt idx="2">
                  <c:v>2x demand</c:v>
                </c:pt>
              </c:strCache>
            </c:strRef>
          </c:cat>
          <c:val>
            <c:numRef>
              <c:f>'Figure 2a'!$C$5:$E$5</c:f>
              <c:numCache>
                <c:formatCode>0.0</c:formatCode>
                <c:ptCount val="3"/>
                <c:pt idx="0">
                  <c:v>82.044901569027047</c:v>
                </c:pt>
                <c:pt idx="1">
                  <c:v>103.04508117148445</c:v>
                </c:pt>
                <c:pt idx="2">
                  <c:v>123.76780725196758</c:v>
                </c:pt>
              </c:numCache>
            </c:numRef>
          </c:val>
          <c:extLst>
            <c:ext xmlns:c16="http://schemas.microsoft.com/office/drawing/2014/chart" uri="{C3380CC4-5D6E-409C-BE32-E72D297353CC}">
              <c16:uniqueId val="{00000001-F8E4-4FAE-B174-BCFAC8410168}"/>
            </c:ext>
          </c:extLst>
        </c:ser>
        <c:ser>
          <c:idx val="1"/>
          <c:order val="1"/>
          <c:tx>
            <c:strRef>
              <c:f>'Figure 2a'!$B$6</c:f>
              <c:strCache>
                <c:ptCount val="1"/>
                <c:pt idx="0">
                  <c:v>Storage</c:v>
                </c:pt>
              </c:strCache>
            </c:strRef>
          </c:tx>
          <c:spPr>
            <a:solidFill>
              <a:schemeClr val="accent2"/>
            </a:solidFill>
            <a:ln>
              <a:noFill/>
            </a:ln>
            <a:effectLst/>
          </c:spPr>
          <c:invertIfNegative val="0"/>
          <c:cat>
            <c:strRef>
              <c:f>'Figure 2a'!$C$4:$E$4</c:f>
              <c:strCache>
                <c:ptCount val="3"/>
                <c:pt idx="0">
                  <c:v>2010</c:v>
                </c:pt>
                <c:pt idx="1">
                  <c:v>2018</c:v>
                </c:pt>
                <c:pt idx="2">
                  <c:v>2x demand</c:v>
                </c:pt>
              </c:strCache>
            </c:strRef>
          </c:cat>
          <c:val>
            <c:numRef>
              <c:f>'Figure 2a'!$C$6:$E$6</c:f>
              <c:numCache>
                <c:formatCode>0.0</c:formatCode>
                <c:ptCount val="3"/>
                <c:pt idx="0">
                  <c:v>7.9966633753636334</c:v>
                </c:pt>
                <c:pt idx="1">
                  <c:v>22.953145606321943</c:v>
                </c:pt>
                <c:pt idx="2">
                  <c:v>22.528932573280571</c:v>
                </c:pt>
              </c:numCache>
            </c:numRef>
          </c:val>
          <c:extLst>
            <c:ext xmlns:c16="http://schemas.microsoft.com/office/drawing/2014/chart" uri="{C3380CC4-5D6E-409C-BE32-E72D297353CC}">
              <c16:uniqueId val="{00000002-F8E4-4FAE-B174-BCFAC8410168}"/>
            </c:ext>
          </c:extLst>
        </c:ser>
        <c:ser>
          <c:idx val="2"/>
          <c:order val="2"/>
          <c:tx>
            <c:strRef>
              <c:f>'Figure 2a'!$B$7</c:f>
              <c:strCache>
                <c:ptCount val="1"/>
                <c:pt idx="0">
                  <c:v>Network</c:v>
                </c:pt>
              </c:strCache>
            </c:strRef>
          </c:tx>
          <c:spPr>
            <a:solidFill>
              <a:schemeClr val="accent3"/>
            </a:solidFill>
            <a:ln>
              <a:noFill/>
            </a:ln>
            <a:effectLst/>
          </c:spPr>
          <c:invertIfNegative val="0"/>
          <c:cat>
            <c:strRef>
              <c:f>'Figure 2a'!$C$4:$E$4</c:f>
              <c:strCache>
                <c:ptCount val="3"/>
                <c:pt idx="0">
                  <c:v>2010</c:v>
                </c:pt>
                <c:pt idx="1">
                  <c:v>2018</c:v>
                </c:pt>
                <c:pt idx="2">
                  <c:v>2x demand</c:v>
                </c:pt>
              </c:strCache>
            </c:strRef>
          </c:cat>
          <c:val>
            <c:numRef>
              <c:f>'Figure 2a'!$C$7:$E$7</c:f>
              <c:numCache>
                <c:formatCode>0.0</c:formatCode>
                <c:ptCount val="3"/>
                <c:pt idx="0">
                  <c:v>2.3918363972186389</c:v>
                </c:pt>
                <c:pt idx="1">
                  <c:v>3.9922503603538071</c:v>
                </c:pt>
                <c:pt idx="2">
                  <c:v>4.5978029990631235</c:v>
                </c:pt>
              </c:numCache>
            </c:numRef>
          </c:val>
          <c:extLst>
            <c:ext xmlns:c16="http://schemas.microsoft.com/office/drawing/2014/chart" uri="{C3380CC4-5D6E-409C-BE32-E72D297353CC}">
              <c16:uniqueId val="{00000003-F8E4-4FAE-B174-BCFAC8410168}"/>
            </c:ext>
          </c:extLst>
        </c:ser>
        <c:ser>
          <c:idx val="4"/>
          <c:order val="3"/>
          <c:tx>
            <c:strRef>
              <c:f>'Figure 2a'!$B$8</c:f>
              <c:strCache>
                <c:ptCount val="1"/>
                <c:pt idx="0">
                  <c:v>Infrastructure</c:v>
                </c:pt>
              </c:strCache>
            </c:strRef>
          </c:tx>
          <c:spPr>
            <a:solidFill>
              <a:schemeClr val="accent5"/>
            </a:solidFill>
            <a:ln>
              <a:noFill/>
            </a:ln>
            <a:effectLst/>
          </c:spPr>
          <c:invertIfNegative val="0"/>
          <c:cat>
            <c:strRef>
              <c:f>'Figure 2a'!$C$4:$E$4</c:f>
              <c:strCache>
                <c:ptCount val="3"/>
                <c:pt idx="0">
                  <c:v>2010</c:v>
                </c:pt>
                <c:pt idx="1">
                  <c:v>2018</c:v>
                </c:pt>
                <c:pt idx="2">
                  <c:v>2x demand</c:v>
                </c:pt>
              </c:strCache>
            </c:strRef>
          </c:cat>
          <c:val>
            <c:numRef>
              <c:f>'Figure 2a'!$C$8:$E$8</c:f>
              <c:numCache>
                <c:formatCode>0.0</c:formatCode>
                <c:ptCount val="3"/>
                <c:pt idx="0">
                  <c:v>101.27107826310589</c:v>
                </c:pt>
                <c:pt idx="1">
                  <c:v>75.22855549438728</c:v>
                </c:pt>
                <c:pt idx="2">
                  <c:v>54.559091710189676</c:v>
                </c:pt>
              </c:numCache>
            </c:numRef>
          </c:val>
          <c:extLst>
            <c:ext xmlns:c16="http://schemas.microsoft.com/office/drawing/2014/chart" uri="{C3380CC4-5D6E-409C-BE32-E72D297353CC}">
              <c16:uniqueId val="{00000005-F8E4-4FAE-B174-BCFAC8410168}"/>
            </c:ext>
          </c:extLst>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125634095"/>
        <c:axId val="125635759"/>
      </c:barChart>
      <c:barChart>
        <c:barDir val="col"/>
        <c:grouping val="stacked"/>
        <c:varyColors val="0"/>
        <c:ser>
          <c:idx val="3"/>
          <c:order val="4"/>
          <c:tx>
            <c:v>Compute instances</c:v>
          </c:tx>
          <c:spPr>
            <a:solidFill>
              <a:schemeClr val="tx1"/>
            </a:solidFill>
            <a:ln>
              <a:noFill/>
            </a:ln>
            <a:effectLst/>
          </c:spPr>
          <c:invertIfNegative val="0"/>
          <c:val>
            <c:numRef>
              <c:f>'Figure 2a'!$C$11:$E$11</c:f>
              <c:numCache>
                <c:formatCode>0</c:formatCode>
                <c:ptCount val="3"/>
                <c:pt idx="0">
                  <c:v>57.5</c:v>
                </c:pt>
                <c:pt idx="1">
                  <c:v>371.8</c:v>
                </c:pt>
                <c:pt idx="2">
                  <c:v>751.12350109438853</c:v>
                </c:pt>
              </c:numCache>
            </c:numRef>
          </c:val>
          <c:extLst>
            <c:ext xmlns:c16="http://schemas.microsoft.com/office/drawing/2014/chart" uri="{C3380CC4-5D6E-409C-BE32-E72D297353CC}">
              <c16:uniqueId val="{00000000-89C5-4F9E-875A-F3A8362FCC67}"/>
            </c:ext>
          </c:extLst>
        </c:ser>
        <c:dLbls>
          <c:showLegendKey val="0"/>
          <c:showVal val="0"/>
          <c:showCatName val="0"/>
          <c:showSerName val="0"/>
          <c:showPercent val="0"/>
          <c:showBubbleSize val="0"/>
        </c:dLbls>
        <c:gapWidth val="500"/>
        <c:overlap val="100"/>
        <c:axId val="1152425392"/>
        <c:axId val="979937904"/>
      </c:barChart>
      <c:catAx>
        <c:axId val="12563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5635759"/>
        <c:crosses val="autoZero"/>
        <c:auto val="1"/>
        <c:lblAlgn val="ctr"/>
        <c:lblOffset val="100"/>
        <c:noMultiLvlLbl val="0"/>
      </c:catAx>
      <c:valAx>
        <c:axId val="125635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Electricity Use (TWh/year)</a:t>
                </a:r>
              </a:p>
            </c:rich>
          </c:tx>
          <c:layout>
            <c:manualLayout>
              <c:xMode val="edge"/>
              <c:yMode val="edge"/>
              <c:x val="1.7234212502543655E-2"/>
              <c:y val="0.27642392227049772"/>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in"/>
        <c:minorTickMark val="in"/>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5634095"/>
        <c:crosses val="autoZero"/>
        <c:crossBetween val="between"/>
        <c:minorUnit val="25"/>
      </c:valAx>
      <c:valAx>
        <c:axId val="979937904"/>
        <c:scaling>
          <c:orientation val="minMax"/>
          <c:max val="1000"/>
        </c:scaling>
        <c:delete val="0"/>
        <c:axPos val="r"/>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Global compute instances (millions)</a:t>
                </a:r>
              </a:p>
            </c:rich>
          </c:tx>
          <c:layout>
            <c:manualLayout>
              <c:xMode val="edge"/>
              <c:yMode val="edge"/>
              <c:x val="0.92284394220642063"/>
              <c:y val="0.17493842441780236"/>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52425392"/>
        <c:crosses val="max"/>
        <c:crossBetween val="between"/>
      </c:valAx>
      <c:catAx>
        <c:axId val="1152425392"/>
        <c:scaling>
          <c:orientation val="minMax"/>
        </c:scaling>
        <c:delete val="1"/>
        <c:axPos val="b"/>
        <c:majorTickMark val="out"/>
        <c:minorTickMark val="none"/>
        <c:tickLblPos val="nextTo"/>
        <c:crossAx val="979937904"/>
        <c:crosses val="autoZero"/>
        <c:auto val="1"/>
        <c:lblAlgn val="ctr"/>
        <c:lblOffset val="100"/>
        <c:noMultiLvlLbl val="0"/>
      </c:catAx>
      <c:spPr>
        <a:noFill/>
        <a:ln w="25400">
          <a:noFill/>
        </a:ln>
        <a:effectLst/>
      </c:spPr>
    </c:plotArea>
    <c:legend>
      <c:legendPos val="b"/>
      <c:layout>
        <c:manualLayout>
          <c:xMode val="edge"/>
          <c:yMode val="edge"/>
          <c:x val="0.17408223462098865"/>
          <c:y val="0.86100697508122948"/>
          <c:w val="0.6764523454851844"/>
          <c:h val="0.1264058364034005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91404275742724"/>
          <c:y val="5.146198830409357E-2"/>
          <c:w val="0.75629432994391566"/>
          <c:h val="0.7513762080317995"/>
        </c:manualLayout>
      </c:layout>
      <c:barChart>
        <c:barDir val="col"/>
        <c:grouping val="stacked"/>
        <c:varyColors val="0"/>
        <c:ser>
          <c:idx val="0"/>
          <c:order val="0"/>
          <c:tx>
            <c:strRef>
              <c:f>'Figure 2b'!$B$5</c:f>
              <c:strCache>
                <c:ptCount val="1"/>
                <c:pt idx="0">
                  <c:v>Traditional</c:v>
                </c:pt>
              </c:strCache>
            </c:strRef>
          </c:tx>
          <c:spPr>
            <a:solidFill>
              <a:schemeClr val="accent1"/>
            </a:solidFill>
            <a:ln>
              <a:noFill/>
            </a:ln>
            <a:effectLst/>
          </c:spPr>
          <c:invertIfNegative val="0"/>
          <c:cat>
            <c:strRef>
              <c:f>'Figure 2b'!$C$4:$E$4</c:f>
              <c:strCache>
                <c:ptCount val="3"/>
                <c:pt idx="0">
                  <c:v>2010</c:v>
                </c:pt>
                <c:pt idx="1">
                  <c:v>2018</c:v>
                </c:pt>
                <c:pt idx="2">
                  <c:v>2x demand</c:v>
                </c:pt>
              </c:strCache>
            </c:strRef>
          </c:cat>
          <c:val>
            <c:numRef>
              <c:f>'Figure 2b'!$C$5:$E$5</c:f>
              <c:numCache>
                <c:formatCode>0.0</c:formatCode>
                <c:ptCount val="3"/>
                <c:pt idx="0">
                  <c:v>166.28377497056408</c:v>
                </c:pt>
                <c:pt idx="1">
                  <c:v>71.358186226306273</c:v>
                </c:pt>
                <c:pt idx="2">
                  <c:v>37.652914083906865</c:v>
                </c:pt>
              </c:numCache>
            </c:numRef>
          </c:val>
          <c:extLst>
            <c:ext xmlns:c16="http://schemas.microsoft.com/office/drawing/2014/chart" uri="{C3380CC4-5D6E-409C-BE32-E72D297353CC}">
              <c16:uniqueId val="{00000000-A847-4F29-921D-25F26180A1E7}"/>
            </c:ext>
          </c:extLst>
        </c:ser>
        <c:ser>
          <c:idx val="1"/>
          <c:order val="1"/>
          <c:tx>
            <c:strRef>
              <c:f>'Figure 2b'!$B$6</c:f>
              <c:strCache>
                <c:ptCount val="1"/>
                <c:pt idx="0">
                  <c:v>Cloud (non-hyperscale)</c:v>
                </c:pt>
              </c:strCache>
            </c:strRef>
          </c:tx>
          <c:spPr>
            <a:solidFill>
              <a:schemeClr val="accent2"/>
            </a:solidFill>
            <a:ln>
              <a:noFill/>
            </a:ln>
            <a:effectLst/>
          </c:spPr>
          <c:invertIfNegative val="0"/>
          <c:cat>
            <c:strRef>
              <c:f>'Figure 2b'!$C$4:$E$4</c:f>
              <c:strCache>
                <c:ptCount val="3"/>
                <c:pt idx="0">
                  <c:v>2010</c:v>
                </c:pt>
                <c:pt idx="1">
                  <c:v>2018</c:v>
                </c:pt>
                <c:pt idx="2">
                  <c:v>2x demand</c:v>
                </c:pt>
              </c:strCache>
            </c:strRef>
          </c:cat>
          <c:val>
            <c:numRef>
              <c:f>'Figure 2b'!$C$6:$E$6</c:f>
              <c:numCache>
                <c:formatCode>0.0</c:formatCode>
                <c:ptCount val="3"/>
                <c:pt idx="0">
                  <c:v>17.766777896762029</c:v>
                </c:pt>
                <c:pt idx="1">
                  <c:v>73.474378662780509</c:v>
                </c:pt>
                <c:pt idx="2">
                  <c:v>71.377729297248294</c:v>
                </c:pt>
              </c:numCache>
            </c:numRef>
          </c:val>
          <c:extLst>
            <c:ext xmlns:c16="http://schemas.microsoft.com/office/drawing/2014/chart" uri="{C3380CC4-5D6E-409C-BE32-E72D297353CC}">
              <c16:uniqueId val="{00000001-A847-4F29-921D-25F26180A1E7}"/>
            </c:ext>
          </c:extLst>
        </c:ser>
        <c:ser>
          <c:idx val="2"/>
          <c:order val="2"/>
          <c:tx>
            <c:strRef>
              <c:f>'Figure 2b'!$B$7</c:f>
              <c:strCache>
                <c:ptCount val="1"/>
                <c:pt idx="0">
                  <c:v>Hyperscale</c:v>
                </c:pt>
              </c:strCache>
            </c:strRef>
          </c:tx>
          <c:spPr>
            <a:solidFill>
              <a:schemeClr val="accent3"/>
            </a:solidFill>
            <a:ln>
              <a:noFill/>
            </a:ln>
            <a:effectLst/>
          </c:spPr>
          <c:invertIfNegative val="0"/>
          <c:cat>
            <c:strRef>
              <c:f>'Figure 2b'!$C$4:$E$4</c:f>
              <c:strCache>
                <c:ptCount val="3"/>
                <c:pt idx="0">
                  <c:v>2010</c:v>
                </c:pt>
                <c:pt idx="1">
                  <c:v>2018</c:v>
                </c:pt>
                <c:pt idx="2">
                  <c:v>2x demand</c:v>
                </c:pt>
              </c:strCache>
            </c:strRef>
          </c:cat>
          <c:val>
            <c:numRef>
              <c:f>'Figure 2b'!$C$7:$E$7</c:f>
              <c:numCache>
                <c:formatCode>0.0</c:formatCode>
                <c:ptCount val="3"/>
                <c:pt idx="0">
                  <c:v>9.6539267373891136</c:v>
                </c:pt>
                <c:pt idx="1">
                  <c:v>60.386467743460713</c:v>
                </c:pt>
                <c:pt idx="2">
                  <c:v>96.422991153345805</c:v>
                </c:pt>
              </c:numCache>
            </c:numRef>
          </c:val>
          <c:extLst>
            <c:ext xmlns:c16="http://schemas.microsoft.com/office/drawing/2014/chart" uri="{C3380CC4-5D6E-409C-BE32-E72D297353CC}">
              <c16:uniqueId val="{00000002-A847-4F29-921D-25F26180A1E7}"/>
            </c:ext>
          </c:extLst>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125634095"/>
        <c:axId val="125635759"/>
      </c:barChart>
      <c:catAx>
        <c:axId val="12563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5635759"/>
        <c:crosses val="autoZero"/>
        <c:auto val="1"/>
        <c:lblAlgn val="ctr"/>
        <c:lblOffset val="100"/>
        <c:noMultiLvlLbl val="0"/>
      </c:catAx>
      <c:valAx>
        <c:axId val="125635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Electricity Use (TWh/year)</a:t>
                </a:r>
              </a:p>
            </c:rich>
          </c:tx>
          <c:layout>
            <c:manualLayout>
              <c:xMode val="edge"/>
              <c:yMode val="edge"/>
              <c:x val="1.5003135024013766E-2"/>
              <c:y val="0.26675173324029505"/>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in"/>
        <c:minorTickMark val="in"/>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5634095"/>
        <c:crosses val="autoZero"/>
        <c:crossBetween val="between"/>
        <c:minorUnit val="25"/>
      </c:valAx>
      <c:spPr>
        <a:noFill/>
        <a:ln>
          <a:noFill/>
        </a:ln>
        <a:effectLst/>
      </c:spPr>
    </c:plotArea>
    <c:legend>
      <c:legendPos val="b"/>
      <c:layout>
        <c:manualLayout>
          <c:xMode val="edge"/>
          <c:yMode val="edge"/>
          <c:x val="0.13826728693267124"/>
          <c:y val="0.90593057685393796"/>
          <c:w val="0.75622587100408012"/>
          <c:h val="5.694801435006843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396816588249832"/>
          <c:y val="5.1462096029460773E-2"/>
          <c:w val="0.78147476901375212"/>
          <c:h val="0.7513762080317995"/>
        </c:manualLayout>
      </c:layout>
      <c:barChart>
        <c:barDir val="col"/>
        <c:grouping val="stacked"/>
        <c:varyColors val="0"/>
        <c:ser>
          <c:idx val="0"/>
          <c:order val="0"/>
          <c:tx>
            <c:strRef>
              <c:f>'Figure 2c'!$B$15</c:f>
              <c:strCache>
                <c:ptCount val="1"/>
                <c:pt idx="0">
                  <c:v>Asia Pacific</c:v>
                </c:pt>
              </c:strCache>
            </c:strRef>
          </c:tx>
          <c:spPr>
            <a:solidFill>
              <a:schemeClr val="accent1"/>
            </a:solidFill>
            <a:ln>
              <a:noFill/>
            </a:ln>
            <a:effectLst/>
          </c:spPr>
          <c:invertIfNegative val="0"/>
          <c:cat>
            <c:strRef>
              <c:f>'Figure 2c'!$C$14:$E$14</c:f>
              <c:strCache>
                <c:ptCount val="3"/>
                <c:pt idx="0">
                  <c:v>2010</c:v>
                </c:pt>
                <c:pt idx="1">
                  <c:v>2018</c:v>
                </c:pt>
                <c:pt idx="2">
                  <c:v>2x demand</c:v>
                </c:pt>
              </c:strCache>
            </c:strRef>
          </c:cat>
          <c:val>
            <c:numRef>
              <c:f>'Figure 2c'!$C$15:$E$15</c:f>
              <c:numCache>
                <c:formatCode>0.0</c:formatCode>
                <c:ptCount val="3"/>
                <c:pt idx="0">
                  <c:v>60.711805742050061</c:v>
                </c:pt>
                <c:pt idx="1">
                  <c:v>65.036004136596389</c:v>
                </c:pt>
                <c:pt idx="2">
                  <c:v>73.442050178135858</c:v>
                </c:pt>
              </c:numCache>
            </c:numRef>
          </c:val>
          <c:extLst>
            <c:ext xmlns:c16="http://schemas.microsoft.com/office/drawing/2014/chart" uri="{C3380CC4-5D6E-409C-BE32-E72D297353CC}">
              <c16:uniqueId val="{00000000-6E2F-4669-B8C2-2EDEBA32E207}"/>
            </c:ext>
          </c:extLst>
        </c:ser>
        <c:ser>
          <c:idx val="1"/>
          <c:order val="1"/>
          <c:tx>
            <c:strRef>
              <c:f>'Figure 2c'!$B$16</c:f>
              <c:strCache>
                <c:ptCount val="1"/>
                <c:pt idx="0">
                  <c:v>CEE, LA &amp; MEA</c:v>
                </c:pt>
              </c:strCache>
            </c:strRef>
          </c:tx>
          <c:spPr>
            <a:solidFill>
              <a:schemeClr val="accent2"/>
            </a:solidFill>
            <a:ln>
              <a:noFill/>
            </a:ln>
            <a:effectLst/>
          </c:spPr>
          <c:invertIfNegative val="0"/>
          <c:cat>
            <c:strRef>
              <c:f>'Figure 2c'!$C$14:$E$14</c:f>
              <c:strCache>
                <c:ptCount val="3"/>
                <c:pt idx="0">
                  <c:v>2010</c:v>
                </c:pt>
                <c:pt idx="1">
                  <c:v>2018</c:v>
                </c:pt>
                <c:pt idx="2">
                  <c:v>2x demand</c:v>
                </c:pt>
              </c:strCache>
            </c:strRef>
          </c:cat>
          <c:val>
            <c:numRef>
              <c:f>'Figure 2c'!$C$16:$E$16</c:f>
              <c:numCache>
                <c:formatCode>0.0</c:formatCode>
                <c:ptCount val="3"/>
                <c:pt idx="0">
                  <c:v>13.009738201058624</c:v>
                </c:pt>
                <c:pt idx="1">
                  <c:v>16.896952679086407</c:v>
                </c:pt>
                <c:pt idx="2">
                  <c:v>16.488234840986593</c:v>
                </c:pt>
              </c:numCache>
            </c:numRef>
          </c:val>
          <c:extLst>
            <c:ext xmlns:c16="http://schemas.microsoft.com/office/drawing/2014/chart" uri="{C3380CC4-5D6E-409C-BE32-E72D297353CC}">
              <c16:uniqueId val="{00000001-6E2F-4669-B8C2-2EDEBA32E207}"/>
            </c:ext>
          </c:extLst>
        </c:ser>
        <c:ser>
          <c:idx val="2"/>
          <c:order val="2"/>
          <c:tx>
            <c:strRef>
              <c:f>'Figure 2c'!$B$17</c:f>
              <c:strCache>
                <c:ptCount val="1"/>
                <c:pt idx="0">
                  <c:v>North America</c:v>
                </c:pt>
              </c:strCache>
            </c:strRef>
          </c:tx>
          <c:spPr>
            <a:solidFill>
              <a:schemeClr val="accent3"/>
            </a:solidFill>
            <a:ln>
              <a:noFill/>
            </a:ln>
            <a:effectLst/>
          </c:spPr>
          <c:invertIfNegative val="0"/>
          <c:cat>
            <c:strRef>
              <c:f>'Figure 2c'!$C$14:$E$14</c:f>
              <c:strCache>
                <c:ptCount val="3"/>
                <c:pt idx="0">
                  <c:v>2010</c:v>
                </c:pt>
                <c:pt idx="1">
                  <c:v>2018</c:v>
                </c:pt>
                <c:pt idx="2">
                  <c:v>2x demand</c:v>
                </c:pt>
              </c:strCache>
            </c:strRef>
          </c:cat>
          <c:val>
            <c:numRef>
              <c:f>'Figure 2c'!$C$17:$E$17</c:f>
              <c:numCache>
                <c:formatCode>0.0</c:formatCode>
                <c:ptCount val="3"/>
                <c:pt idx="0">
                  <c:v>77.697727634754358</c:v>
                </c:pt>
                <c:pt idx="1">
                  <c:v>83.860548727005749</c:v>
                </c:pt>
                <c:pt idx="2">
                  <c:v>76.889142151375069</c:v>
                </c:pt>
              </c:numCache>
            </c:numRef>
          </c:val>
          <c:extLst>
            <c:ext xmlns:c16="http://schemas.microsoft.com/office/drawing/2014/chart" uri="{C3380CC4-5D6E-409C-BE32-E72D297353CC}">
              <c16:uniqueId val="{00000002-6E2F-4669-B8C2-2EDEBA32E207}"/>
            </c:ext>
          </c:extLst>
        </c:ser>
        <c:ser>
          <c:idx val="3"/>
          <c:order val="3"/>
          <c:tx>
            <c:strRef>
              <c:f>'Figure 2c'!$B$18</c:f>
              <c:strCache>
                <c:ptCount val="1"/>
                <c:pt idx="0">
                  <c:v>Western Europe</c:v>
                </c:pt>
              </c:strCache>
            </c:strRef>
          </c:tx>
          <c:spPr>
            <a:solidFill>
              <a:schemeClr val="accent4"/>
            </a:solidFill>
            <a:ln>
              <a:noFill/>
            </a:ln>
            <a:effectLst/>
          </c:spPr>
          <c:invertIfNegative val="0"/>
          <c:cat>
            <c:strRef>
              <c:f>'Figure 2c'!$C$14:$E$14</c:f>
              <c:strCache>
                <c:ptCount val="3"/>
                <c:pt idx="0">
                  <c:v>2010</c:v>
                </c:pt>
                <c:pt idx="1">
                  <c:v>2018</c:v>
                </c:pt>
                <c:pt idx="2">
                  <c:v>2x demand</c:v>
                </c:pt>
              </c:strCache>
            </c:strRef>
          </c:cat>
          <c:val>
            <c:numRef>
              <c:f>'Figure 2c'!$C$18:$E$18</c:f>
              <c:numCache>
                <c:formatCode>0.0</c:formatCode>
                <c:ptCount val="3"/>
                <c:pt idx="0">
                  <c:v>42.285208026852189</c:v>
                </c:pt>
                <c:pt idx="1">
                  <c:v>39.425527089858939</c:v>
                </c:pt>
                <c:pt idx="2">
                  <c:v>38.63420736400343</c:v>
                </c:pt>
              </c:numCache>
            </c:numRef>
          </c:val>
          <c:extLst>
            <c:ext xmlns:c16="http://schemas.microsoft.com/office/drawing/2014/chart" uri="{C3380CC4-5D6E-409C-BE32-E72D297353CC}">
              <c16:uniqueId val="{00000003-6E2F-4669-B8C2-2EDEBA32E207}"/>
            </c:ext>
          </c:extLst>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125634095"/>
        <c:axId val="125635759"/>
      </c:barChart>
      <c:catAx>
        <c:axId val="12563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5759"/>
        <c:crosses val="autoZero"/>
        <c:auto val="1"/>
        <c:lblAlgn val="ctr"/>
        <c:lblOffset val="100"/>
        <c:noMultiLvlLbl val="0"/>
      </c:catAx>
      <c:valAx>
        <c:axId val="125635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Electricity Use (TWh/year)</a:t>
                </a:r>
              </a:p>
            </c:rich>
          </c:tx>
          <c:layout>
            <c:manualLayout>
              <c:xMode val="edge"/>
              <c:yMode val="edge"/>
              <c:x val="2.3159945436356435E-2"/>
              <c:y val="0.27228791169072636"/>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in"/>
        <c:minorTickMark val="in"/>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5634095"/>
        <c:crosses val="autoZero"/>
        <c:crossBetween val="between"/>
        <c:minorUnit val="25"/>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228600</xdr:colOff>
      <xdr:row>3</xdr:row>
      <xdr:rowOff>74294</xdr:rowOff>
    </xdr:from>
    <xdr:to>
      <xdr:col>22</xdr:col>
      <xdr:colOff>563880</xdr:colOff>
      <xdr:row>22</xdr:row>
      <xdr:rowOff>400050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0.13398</cdr:x>
      <cdr:y>0.58728</cdr:y>
    </cdr:from>
    <cdr:to>
      <cdr:x>0.47835</cdr:x>
      <cdr:y>0.58988</cdr:y>
    </cdr:to>
    <cdr:cxnSp macro="">
      <cdr:nvCxnSpPr>
        <cdr:cNvPr id="5" name="Straight Connector 4"/>
        <cdr:cNvCxnSpPr/>
      </cdr:nvCxnSpPr>
      <cdr:spPr>
        <a:xfrm xmlns:a="http://schemas.openxmlformats.org/drawingml/2006/main">
          <a:off x="742736" y="1724026"/>
          <a:ext cx="1909024" cy="762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0.44902</cdr:x>
      <cdr:y>0.17456</cdr:y>
    </cdr:from>
    <cdr:to>
      <cdr:x>0.54708</cdr:x>
      <cdr:y>0.54705</cdr:y>
    </cdr:to>
    <cdr:sp macro="" textlink="">
      <cdr:nvSpPr>
        <cdr:cNvPr id="6" name="TextBox 5"/>
        <cdr:cNvSpPr txBox="1"/>
      </cdr:nvSpPr>
      <cdr:spPr>
        <a:xfrm xmlns:a="http://schemas.openxmlformats.org/drawingml/2006/main">
          <a:off x="2489153" y="512446"/>
          <a:ext cx="543607" cy="109347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US" sz="900"/>
            <a:t>Increasing service demand</a:t>
          </a:r>
        </a:p>
      </cdr:txBody>
    </cdr:sp>
  </cdr:relSizeAnchor>
  <cdr:relSizeAnchor xmlns:cdr="http://schemas.openxmlformats.org/drawingml/2006/chartDrawing">
    <cdr:from>
      <cdr:x>0.44812</cdr:x>
      <cdr:y>0.61194</cdr:y>
    </cdr:from>
    <cdr:to>
      <cdr:x>0.65021</cdr:x>
      <cdr:y>0.939</cdr:y>
    </cdr:to>
    <cdr:sp macro="" textlink="">
      <cdr:nvSpPr>
        <cdr:cNvPr id="7" name="TextBox 6"/>
        <cdr:cNvSpPr txBox="1"/>
      </cdr:nvSpPr>
      <cdr:spPr>
        <a:xfrm xmlns:a="http://schemas.openxmlformats.org/drawingml/2006/main">
          <a:off x="2484168" y="1796416"/>
          <a:ext cx="1120329" cy="960120"/>
        </a:xfrm>
        <a:prstGeom xmlns:a="http://schemas.openxmlformats.org/drawingml/2006/main" prst="rect">
          <a:avLst/>
        </a:prstGeom>
      </cdr:spPr>
      <cdr:txBody>
        <a:bodyPr xmlns:a="http://schemas.openxmlformats.org/drawingml/2006/main" vertOverflow="clip" vert="vert270" wrap="square" rtlCol="0" anchor="t" anchorCtr="0"/>
        <a:lstStyle xmlns:a="http://schemas.openxmlformats.org/drawingml/2006/main"/>
        <a:p xmlns:a="http://schemas.openxmlformats.org/drawingml/2006/main">
          <a:r>
            <a:rPr lang="en-US" sz="900"/>
            <a:t>Increasing energy       </a:t>
          </a:r>
        </a:p>
        <a:p xmlns:a="http://schemas.openxmlformats.org/drawingml/2006/main">
          <a:r>
            <a:rPr lang="en-US" sz="900"/>
            <a:t>              efficiency</a:t>
          </a:r>
        </a:p>
      </cdr:txBody>
    </cdr:sp>
  </cdr:relSizeAnchor>
  <cdr:relSizeAnchor xmlns:cdr="http://schemas.openxmlformats.org/drawingml/2006/chartDrawing">
    <cdr:from>
      <cdr:x>0.45636</cdr:x>
      <cdr:y>0.24984</cdr:y>
    </cdr:from>
    <cdr:to>
      <cdr:x>0.45773</cdr:x>
      <cdr:y>0.53147</cdr:y>
    </cdr:to>
    <cdr:cxnSp macro="">
      <cdr:nvCxnSpPr>
        <cdr:cNvPr id="10" name="Straight Arrow Connector 9"/>
        <cdr:cNvCxnSpPr/>
      </cdr:nvCxnSpPr>
      <cdr:spPr>
        <a:xfrm xmlns:a="http://schemas.openxmlformats.org/drawingml/2006/main" flipH="1" flipV="1">
          <a:off x="2529840" y="733426"/>
          <a:ext cx="7620" cy="826770"/>
        </a:xfrm>
        <a:prstGeom xmlns:a="http://schemas.openxmlformats.org/drawingml/2006/main" prst="straightConnector1">
          <a:avLst/>
        </a:prstGeom>
        <a:ln xmlns:a="http://schemas.openxmlformats.org/drawingml/2006/main">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0.45498</cdr:x>
      <cdr:y>0.63141</cdr:y>
    </cdr:from>
    <cdr:to>
      <cdr:x>0.45498</cdr:x>
      <cdr:y>0.90266</cdr:y>
    </cdr:to>
    <cdr:cxnSp macro="">
      <cdr:nvCxnSpPr>
        <cdr:cNvPr id="12" name="Straight Arrow Connector 11"/>
        <cdr:cNvCxnSpPr/>
      </cdr:nvCxnSpPr>
      <cdr:spPr>
        <a:xfrm xmlns:a="http://schemas.openxmlformats.org/drawingml/2006/main">
          <a:off x="2522220" y="1853566"/>
          <a:ext cx="0" cy="796290"/>
        </a:xfrm>
        <a:prstGeom xmlns:a="http://schemas.openxmlformats.org/drawingml/2006/main" prst="straightConnector1">
          <a:avLst/>
        </a:prstGeom>
        <a:ln xmlns:a="http://schemas.openxmlformats.org/drawingml/2006/main">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editAs="absolute">
    <xdr:from>
      <xdr:col>11</xdr:col>
      <xdr:colOff>157162</xdr:colOff>
      <xdr:row>2</xdr:row>
      <xdr:rowOff>18098</xdr:rowOff>
    </xdr:from>
    <xdr:to>
      <xdr:col>19</xdr:col>
      <xdr:colOff>422910</xdr:colOff>
      <xdr:row>23</xdr:row>
      <xdr:rowOff>3810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0.60608</cdr:x>
      <cdr:y>0.05302</cdr:y>
    </cdr:from>
    <cdr:to>
      <cdr:x>0.60689</cdr:x>
      <cdr:y>0.78193</cdr:y>
    </cdr:to>
    <cdr:cxnSp macro="">
      <cdr:nvCxnSpPr>
        <cdr:cNvPr id="3" name="Straight Connector 2"/>
        <cdr:cNvCxnSpPr/>
      </cdr:nvCxnSpPr>
      <cdr:spPr>
        <a:xfrm xmlns:a="http://schemas.openxmlformats.org/drawingml/2006/main">
          <a:off x="2848928" y="202882"/>
          <a:ext cx="3810" cy="2788920"/>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0.30213</cdr:x>
      <cdr:y>0.05203</cdr:y>
    </cdr:from>
    <cdr:to>
      <cdr:x>0.49666</cdr:x>
      <cdr:y>0.29101</cdr:y>
    </cdr:to>
    <cdr:sp macro="" textlink="">
      <cdr:nvSpPr>
        <cdr:cNvPr id="5" name="TextBox 4"/>
        <cdr:cNvSpPr txBox="1"/>
      </cdr:nvSpPr>
      <cdr:spPr>
        <a:xfrm xmlns:a="http://schemas.openxmlformats.org/drawingml/2006/main">
          <a:off x="1420178" y="199072"/>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000"/>
            <a:t>Historical</a:t>
          </a:r>
          <a:endParaRPr lang="en-US" sz="1100"/>
        </a:p>
      </cdr:txBody>
    </cdr:sp>
  </cdr:relSizeAnchor>
  <cdr:relSizeAnchor xmlns:cdr="http://schemas.openxmlformats.org/drawingml/2006/chartDrawing">
    <cdr:from>
      <cdr:x>0.61824</cdr:x>
      <cdr:y>0.04605</cdr:y>
    </cdr:from>
    <cdr:to>
      <cdr:x>0.81277</cdr:x>
      <cdr:y>0.28504</cdr:y>
    </cdr:to>
    <cdr:sp macro="" textlink="">
      <cdr:nvSpPr>
        <cdr:cNvPr id="6" name="TextBox 5"/>
        <cdr:cNvSpPr txBox="1"/>
      </cdr:nvSpPr>
      <cdr:spPr>
        <a:xfrm xmlns:a="http://schemas.openxmlformats.org/drawingml/2006/main">
          <a:off x="2906078" y="176212"/>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US" sz="1000"/>
            <a:t>Current</a:t>
          </a:r>
          <a:r>
            <a:rPr lang="en-US" sz="1000" baseline="0"/>
            <a:t> trends </a:t>
          </a:r>
        </a:p>
        <a:p xmlns:a="http://schemas.openxmlformats.org/drawingml/2006/main">
          <a:pPr algn="ctr"/>
          <a:r>
            <a:rPr lang="en-US" sz="1000" baseline="0"/>
            <a:t>analysis</a:t>
          </a:r>
          <a:endParaRPr lang="en-US" sz="1000"/>
        </a:p>
      </cdr:txBody>
    </cdr:sp>
  </cdr:relSizeAnchor>
</c:userShapes>
</file>

<file path=xl/drawings/drawing5.xml><?xml version="1.0" encoding="utf-8"?>
<xdr:wsDr xmlns:xdr="http://schemas.openxmlformats.org/drawingml/2006/spreadsheetDrawing" xmlns:a="http://schemas.openxmlformats.org/drawingml/2006/main">
  <xdr:twoCellAnchor>
    <xdr:from>
      <xdr:col>11</xdr:col>
      <xdr:colOff>129539</xdr:colOff>
      <xdr:row>2</xdr:row>
      <xdr:rowOff>23812</xdr:rowOff>
    </xdr:from>
    <xdr:to>
      <xdr:col>17</xdr:col>
      <xdr:colOff>449580</xdr:colOff>
      <xdr:row>22</xdr:row>
      <xdr:rowOff>129539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0.66384</cdr:x>
      <cdr:y>0.05442</cdr:y>
    </cdr:from>
    <cdr:to>
      <cdr:x>0.66761</cdr:x>
      <cdr:y>0.79954</cdr:y>
    </cdr:to>
    <cdr:cxnSp macro="">
      <cdr:nvCxnSpPr>
        <cdr:cNvPr id="3" name="Straight Connector 2"/>
        <cdr:cNvCxnSpPr/>
      </cdr:nvCxnSpPr>
      <cdr:spPr>
        <a:xfrm xmlns:a="http://schemas.openxmlformats.org/drawingml/2006/main">
          <a:off x="2686051" y="204788"/>
          <a:ext cx="15240" cy="2804160"/>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0.32768</cdr:x>
      <cdr:y>0.04834</cdr:y>
    </cdr:from>
    <cdr:to>
      <cdr:x>0.55367</cdr:x>
      <cdr:y>0.29132</cdr:y>
    </cdr:to>
    <cdr:sp macro="" textlink="">
      <cdr:nvSpPr>
        <cdr:cNvPr id="5" name="TextBox 4"/>
        <cdr:cNvSpPr txBox="1"/>
      </cdr:nvSpPr>
      <cdr:spPr>
        <a:xfrm xmlns:a="http://schemas.openxmlformats.org/drawingml/2006/main">
          <a:off x="1325881" y="181928"/>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000"/>
            <a:t>Historical</a:t>
          </a:r>
          <a:endParaRPr lang="en-US" sz="1100"/>
        </a:p>
      </cdr:txBody>
    </cdr:sp>
  </cdr:relSizeAnchor>
  <cdr:relSizeAnchor xmlns:cdr="http://schemas.openxmlformats.org/drawingml/2006/chartDrawing">
    <cdr:from>
      <cdr:x>0.68267</cdr:x>
      <cdr:y>0.04429</cdr:y>
    </cdr:from>
    <cdr:to>
      <cdr:x>0.90866</cdr:x>
      <cdr:y>0.28727</cdr:y>
    </cdr:to>
    <cdr:sp macro="" textlink="">
      <cdr:nvSpPr>
        <cdr:cNvPr id="6" name="TextBox 5"/>
        <cdr:cNvSpPr txBox="1"/>
      </cdr:nvSpPr>
      <cdr:spPr>
        <a:xfrm xmlns:a="http://schemas.openxmlformats.org/drawingml/2006/main">
          <a:off x="2762251" y="166688"/>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US" sz="1000"/>
            <a:t>Current</a:t>
          </a:r>
          <a:r>
            <a:rPr lang="en-US" sz="1000" baseline="0"/>
            <a:t> trends</a:t>
          </a:r>
        </a:p>
        <a:p xmlns:a="http://schemas.openxmlformats.org/drawingml/2006/main">
          <a:pPr algn="ctr"/>
          <a:r>
            <a:rPr lang="en-US" sz="1000" baseline="0"/>
            <a:t>analysis</a:t>
          </a:r>
          <a:endParaRPr lang="en-US" sz="1000"/>
        </a:p>
      </cdr:txBody>
    </cdr:sp>
  </cdr:relSizeAnchor>
</c:userShapes>
</file>

<file path=xl/drawings/drawing7.xml><?xml version="1.0" encoding="utf-8"?>
<xdr:wsDr xmlns:xdr="http://schemas.openxmlformats.org/drawingml/2006/spreadsheetDrawing" xmlns:a="http://schemas.openxmlformats.org/drawingml/2006/main">
  <xdr:twoCellAnchor editAs="absolute">
    <xdr:from>
      <xdr:col>11</xdr:col>
      <xdr:colOff>79466</xdr:colOff>
      <xdr:row>2</xdr:row>
      <xdr:rowOff>44087</xdr:rowOff>
    </xdr:from>
    <xdr:to>
      <xdr:col>18</xdr:col>
      <xdr:colOff>198120</xdr:colOff>
      <xdr:row>22</xdr:row>
      <xdr:rowOff>110490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0.68491</cdr:x>
      <cdr:y>0.04852</cdr:y>
    </cdr:from>
    <cdr:to>
      <cdr:x>0.68849</cdr:x>
      <cdr:y>0.80357</cdr:y>
    </cdr:to>
    <cdr:cxnSp macro="">
      <cdr:nvCxnSpPr>
        <cdr:cNvPr id="3" name="Straight Connector 2"/>
        <cdr:cNvCxnSpPr/>
      </cdr:nvCxnSpPr>
      <cdr:spPr>
        <a:xfrm xmlns:a="http://schemas.openxmlformats.org/drawingml/2006/main" flipH="1" flipV="1">
          <a:off x="2915194" y="180703"/>
          <a:ext cx="15240" cy="2811780"/>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0.34118</cdr:x>
      <cdr:y>0.05773</cdr:y>
    </cdr:from>
    <cdr:to>
      <cdr:x>0.55601</cdr:x>
      <cdr:y>0.30327</cdr:y>
    </cdr:to>
    <cdr:sp macro="" textlink="">
      <cdr:nvSpPr>
        <cdr:cNvPr id="4" name="TextBox 3"/>
        <cdr:cNvSpPr txBox="1"/>
      </cdr:nvSpPr>
      <cdr:spPr>
        <a:xfrm xmlns:a="http://schemas.openxmlformats.org/drawingml/2006/main">
          <a:off x="1452154" y="21499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000"/>
            <a:t>Historical</a:t>
          </a:r>
        </a:p>
      </cdr:txBody>
    </cdr:sp>
  </cdr:relSizeAnchor>
  <cdr:relSizeAnchor xmlns:cdr="http://schemas.openxmlformats.org/drawingml/2006/chartDrawing">
    <cdr:from>
      <cdr:x>0.70997</cdr:x>
      <cdr:y>0.04852</cdr:y>
    </cdr:from>
    <cdr:to>
      <cdr:x>0.92481</cdr:x>
      <cdr:y>0.29407</cdr:y>
    </cdr:to>
    <cdr:sp macro="" textlink="">
      <cdr:nvSpPr>
        <cdr:cNvPr id="5" name="TextBox 4"/>
        <cdr:cNvSpPr txBox="1"/>
      </cdr:nvSpPr>
      <cdr:spPr>
        <a:xfrm xmlns:a="http://schemas.openxmlformats.org/drawingml/2006/main">
          <a:off x="3021874" y="18070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US" sz="1000"/>
            <a:t>Current trends</a:t>
          </a:r>
        </a:p>
        <a:p xmlns:a="http://schemas.openxmlformats.org/drawingml/2006/main">
          <a:pPr algn="ctr"/>
          <a:r>
            <a:rPr lang="en-US" sz="1000"/>
            <a:t>analysis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5"/>
  <sheetViews>
    <sheetView tabSelected="1" workbookViewId="0"/>
  </sheetViews>
  <sheetFormatPr defaultRowHeight="14.4" x14ac:dyDescent="0.55000000000000004"/>
  <cols>
    <col min="1" max="1" width="2.578125" customWidth="1"/>
    <col min="2" max="2" width="10.05078125" customWidth="1"/>
  </cols>
  <sheetData>
    <row r="2" spans="2:4" x14ac:dyDescent="0.55000000000000004">
      <c r="B2" s="3" t="s">
        <v>169</v>
      </c>
    </row>
    <row r="4" spans="2:4" x14ac:dyDescent="0.55000000000000004">
      <c r="B4" t="s">
        <v>170</v>
      </c>
    </row>
    <row r="6" spans="2:4" x14ac:dyDescent="0.55000000000000004">
      <c r="B6" t="s">
        <v>171</v>
      </c>
    </row>
    <row r="7" spans="2:4" x14ac:dyDescent="0.55000000000000004">
      <c r="B7" t="s">
        <v>177</v>
      </c>
    </row>
    <row r="8" spans="2:4" x14ac:dyDescent="0.55000000000000004">
      <c r="C8" t="s">
        <v>236</v>
      </c>
    </row>
    <row r="9" spans="2:4" x14ac:dyDescent="0.55000000000000004">
      <c r="B9" t="s">
        <v>172</v>
      </c>
    </row>
    <row r="11" spans="2:4" x14ac:dyDescent="0.55000000000000004">
      <c r="B11" t="s">
        <v>299</v>
      </c>
    </row>
    <row r="12" spans="2:4" x14ac:dyDescent="0.55000000000000004">
      <c r="C12" t="s">
        <v>173</v>
      </c>
    </row>
    <row r="13" spans="2:4" x14ac:dyDescent="0.55000000000000004">
      <c r="C13" t="s">
        <v>279</v>
      </c>
    </row>
    <row r="14" spans="2:4" x14ac:dyDescent="0.55000000000000004">
      <c r="D14" t="s">
        <v>237</v>
      </c>
    </row>
    <row r="16" spans="2:4" x14ac:dyDescent="0.55000000000000004">
      <c r="B16" t="s">
        <v>250</v>
      </c>
    </row>
    <row r="17" spans="2:3" x14ac:dyDescent="0.55000000000000004">
      <c r="B17" t="s">
        <v>300</v>
      </c>
    </row>
    <row r="19" spans="2:3" x14ac:dyDescent="0.55000000000000004">
      <c r="B19" t="s">
        <v>179</v>
      </c>
    </row>
    <row r="21" spans="2:3" x14ac:dyDescent="0.55000000000000004">
      <c r="B21" t="s">
        <v>288</v>
      </c>
    </row>
    <row r="22" spans="2:3" x14ac:dyDescent="0.55000000000000004">
      <c r="C22" t="s">
        <v>283</v>
      </c>
    </row>
    <row r="24" spans="2:3" x14ac:dyDescent="0.55000000000000004">
      <c r="B24" s="3" t="s">
        <v>289</v>
      </c>
    </row>
    <row r="26" spans="2:3" x14ac:dyDescent="0.55000000000000004">
      <c r="B26" t="s">
        <v>301</v>
      </c>
    </row>
    <row r="27" spans="2:3" x14ac:dyDescent="0.55000000000000004">
      <c r="B27" t="s">
        <v>293</v>
      </c>
    </row>
    <row r="28" spans="2:3" x14ac:dyDescent="0.55000000000000004">
      <c r="B28" t="s">
        <v>290</v>
      </c>
    </row>
    <row r="29" spans="2:3" x14ac:dyDescent="0.55000000000000004">
      <c r="B29" s="108" t="s">
        <v>291</v>
      </c>
    </row>
    <row r="30" spans="2:3" x14ac:dyDescent="0.55000000000000004">
      <c r="B30" s="108" t="s">
        <v>292</v>
      </c>
    </row>
    <row r="31" spans="2:3" x14ac:dyDescent="0.55000000000000004">
      <c r="B31" s="108" t="s">
        <v>294</v>
      </c>
    </row>
    <row r="32" spans="2:3" x14ac:dyDescent="0.55000000000000004">
      <c r="B32" s="108" t="s">
        <v>295</v>
      </c>
    </row>
    <row r="33" spans="2:2" x14ac:dyDescent="0.55000000000000004">
      <c r="B33" s="108" t="s">
        <v>296</v>
      </c>
    </row>
    <row r="34" spans="2:2" x14ac:dyDescent="0.55000000000000004">
      <c r="B34" t="s">
        <v>298</v>
      </c>
    </row>
    <row r="35" spans="2:2" x14ac:dyDescent="0.55000000000000004">
      <c r="B35" t="s">
        <v>297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workbookViewId="0"/>
  </sheetViews>
  <sheetFormatPr defaultRowHeight="14.4" x14ac:dyDescent="0.55000000000000004"/>
  <cols>
    <col min="1" max="1" width="2.578125" customWidth="1"/>
    <col min="2" max="2" width="27.5234375" customWidth="1"/>
    <col min="3" max="3" width="97.1015625" style="20" customWidth="1"/>
  </cols>
  <sheetData>
    <row r="2" spans="2:3" x14ac:dyDescent="0.55000000000000004">
      <c r="B2" s="3" t="s">
        <v>235</v>
      </c>
    </row>
    <row r="4" spans="2:3" x14ac:dyDescent="0.55000000000000004">
      <c r="B4" t="s">
        <v>280</v>
      </c>
    </row>
    <row r="6" spans="2:3" x14ac:dyDescent="0.55000000000000004">
      <c r="B6" t="s">
        <v>238</v>
      </c>
    </row>
    <row r="8" spans="2:3" x14ac:dyDescent="0.55000000000000004">
      <c r="B8" s="66" t="s">
        <v>178</v>
      </c>
      <c r="C8" s="67" t="s">
        <v>192</v>
      </c>
    </row>
    <row r="9" spans="2:3" ht="28.8" x14ac:dyDescent="0.55000000000000004">
      <c r="B9" s="68" t="s">
        <v>194</v>
      </c>
      <c r="C9" s="68" t="s">
        <v>193</v>
      </c>
    </row>
    <row r="10" spans="2:3" ht="28.8" x14ac:dyDescent="0.55000000000000004">
      <c r="B10" s="68" t="s">
        <v>180</v>
      </c>
      <c r="C10" s="68" t="s">
        <v>195</v>
      </c>
    </row>
    <row r="11" spans="2:3" ht="43.2" x14ac:dyDescent="0.55000000000000004">
      <c r="B11" s="68" t="s">
        <v>185</v>
      </c>
      <c r="C11" s="68" t="s">
        <v>207</v>
      </c>
    </row>
    <row r="12" spans="2:3" ht="57.6" x14ac:dyDescent="0.55000000000000004">
      <c r="B12" s="68" t="s">
        <v>183</v>
      </c>
      <c r="C12" s="68" t="s">
        <v>278</v>
      </c>
    </row>
    <row r="13" spans="2:3" ht="43.2" x14ac:dyDescent="0.55000000000000004">
      <c r="B13" s="68" t="s">
        <v>189</v>
      </c>
      <c r="C13" s="68" t="s">
        <v>248</v>
      </c>
    </row>
    <row r="14" spans="2:3" ht="57.6" x14ac:dyDescent="0.55000000000000004">
      <c r="B14" s="68" t="s">
        <v>181</v>
      </c>
      <c r="C14" s="68" t="s">
        <v>212</v>
      </c>
    </row>
    <row r="15" spans="2:3" ht="43.2" x14ac:dyDescent="0.55000000000000004">
      <c r="B15" s="68" t="s">
        <v>182</v>
      </c>
      <c r="C15" s="68" t="s">
        <v>220</v>
      </c>
    </row>
    <row r="16" spans="2:3" ht="43.2" x14ac:dyDescent="0.55000000000000004">
      <c r="B16" s="68" t="s">
        <v>184</v>
      </c>
      <c r="C16" s="68" t="s">
        <v>249</v>
      </c>
    </row>
    <row r="17" spans="2:3" ht="28.8" x14ac:dyDescent="0.55000000000000004">
      <c r="B17" s="68" t="s">
        <v>186</v>
      </c>
      <c r="C17" s="68" t="s">
        <v>225</v>
      </c>
    </row>
    <row r="18" spans="2:3" ht="28.8" x14ac:dyDescent="0.55000000000000004">
      <c r="B18" s="68" t="s">
        <v>188</v>
      </c>
      <c r="C18" s="68" t="s">
        <v>226</v>
      </c>
    </row>
    <row r="19" spans="2:3" ht="43.2" x14ac:dyDescent="0.55000000000000004">
      <c r="B19" s="68" t="s">
        <v>230</v>
      </c>
      <c r="C19" s="68" t="s">
        <v>229</v>
      </c>
    </row>
    <row r="20" spans="2:3" ht="57.6" x14ac:dyDescent="0.55000000000000004">
      <c r="B20" s="68" t="s">
        <v>187</v>
      </c>
      <c r="C20" s="68" t="s">
        <v>239</v>
      </c>
    </row>
    <row r="21" spans="2:3" ht="28.8" x14ac:dyDescent="0.55000000000000004">
      <c r="B21" s="68" t="s">
        <v>190</v>
      </c>
      <c r="C21" s="68" t="s">
        <v>231</v>
      </c>
    </row>
    <row r="22" spans="2:3" ht="72" x14ac:dyDescent="0.55000000000000004">
      <c r="B22" s="68" t="s">
        <v>191</v>
      </c>
      <c r="C22" s="68"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78"/>
  <sheetViews>
    <sheetView zoomScaleNormal="100" workbookViewId="0"/>
  </sheetViews>
  <sheetFormatPr defaultRowHeight="14.4" x14ac:dyDescent="0.55000000000000004"/>
  <cols>
    <col min="1" max="1" width="2.68359375" style="11" customWidth="1"/>
    <col min="2" max="2" width="44.68359375" style="11" customWidth="1"/>
    <col min="3" max="17" width="7.26171875" style="11" customWidth="1"/>
    <col min="18" max="16384" width="8.83984375" style="11"/>
  </cols>
  <sheetData>
    <row r="2" spans="2:18" x14ac:dyDescent="0.55000000000000004">
      <c r="B2" s="79" t="s">
        <v>102</v>
      </c>
    </row>
    <row r="3" spans="2:18" x14ac:dyDescent="0.55000000000000004">
      <c r="C3" s="15" t="s">
        <v>111</v>
      </c>
      <c r="D3" s="80"/>
      <c r="E3" s="80"/>
      <c r="F3" s="80"/>
      <c r="G3" s="80"/>
      <c r="H3" s="80"/>
      <c r="I3" s="80"/>
      <c r="J3" s="80"/>
      <c r="K3" s="80"/>
      <c r="M3" s="15" t="s">
        <v>234</v>
      </c>
      <c r="N3" s="15"/>
      <c r="O3" s="15"/>
      <c r="P3" s="80"/>
      <c r="Q3" s="80"/>
    </row>
    <row r="4" spans="2:18" s="79" customFormat="1" x14ac:dyDescent="0.55000000000000004">
      <c r="B4" s="15" t="s">
        <v>105</v>
      </c>
      <c r="C4" s="15">
        <v>2010</v>
      </c>
      <c r="D4" s="15">
        <v>2011</v>
      </c>
      <c r="E4" s="15">
        <v>2012</v>
      </c>
      <c r="F4" s="15">
        <v>2013</v>
      </c>
      <c r="G4" s="15">
        <v>2014</v>
      </c>
      <c r="H4" s="15">
        <v>2015</v>
      </c>
      <c r="I4" s="15">
        <v>2016</v>
      </c>
      <c r="J4" s="15">
        <v>2017</v>
      </c>
      <c r="K4" s="15">
        <v>2018</v>
      </c>
      <c r="L4" s="11"/>
      <c r="M4" s="15">
        <v>2019</v>
      </c>
      <c r="N4" s="15">
        <v>2020</v>
      </c>
      <c r="O4" s="15">
        <v>2021</v>
      </c>
      <c r="P4" s="15">
        <v>2022</v>
      </c>
      <c r="Q4" s="15">
        <v>2023</v>
      </c>
      <c r="R4" s="79" t="s">
        <v>96</v>
      </c>
    </row>
    <row r="5" spans="2:18" x14ac:dyDescent="0.55000000000000004">
      <c r="B5" s="11" t="s">
        <v>5</v>
      </c>
      <c r="C5" s="11">
        <v>45.3</v>
      </c>
      <c r="D5" s="11">
        <v>49.8</v>
      </c>
      <c r="E5" s="11">
        <v>51.2</v>
      </c>
      <c r="F5" s="11">
        <v>51.4</v>
      </c>
      <c r="G5" s="11">
        <v>46.099999999999994</v>
      </c>
      <c r="H5" s="11">
        <v>44.9</v>
      </c>
      <c r="I5" s="11">
        <v>42.1</v>
      </c>
      <c r="J5" s="11">
        <v>41.4</v>
      </c>
      <c r="K5" s="11">
        <v>40.799999999999997</v>
      </c>
      <c r="M5" s="11">
        <v>39.1</v>
      </c>
      <c r="N5" s="11">
        <v>36.200000000000003</v>
      </c>
      <c r="O5" s="11">
        <v>32.9</v>
      </c>
      <c r="P5" s="36">
        <f>O5*(1+$R5)</f>
        <v>31.316892272638221</v>
      </c>
      <c r="Q5" s="36">
        <f>P5*(1+$R5)</f>
        <v>29.809961751247037</v>
      </c>
      <c r="R5" s="58">
        <f>(O5/I5)^(1/5)-1</f>
        <v>-4.8118775907652789E-2</v>
      </c>
    </row>
    <row r="6" spans="2:18" x14ac:dyDescent="0.55000000000000004">
      <c r="B6" s="11" t="s">
        <v>6</v>
      </c>
      <c r="C6" s="11">
        <v>12.2</v>
      </c>
      <c r="D6" s="11">
        <v>21.3</v>
      </c>
      <c r="E6" s="11">
        <v>32.200000000000003</v>
      </c>
      <c r="F6" s="11">
        <v>56.9</v>
      </c>
      <c r="G6" s="11">
        <v>83.6</v>
      </c>
      <c r="H6" s="11">
        <v>136</v>
      </c>
      <c r="I6" s="11">
        <v>199.4</v>
      </c>
      <c r="J6" s="11">
        <v>262.39999999999998</v>
      </c>
      <c r="K6" s="11">
        <v>331</v>
      </c>
      <c r="M6" s="11">
        <v>393.3</v>
      </c>
      <c r="N6" s="11">
        <v>459.2</v>
      </c>
      <c r="O6" s="11">
        <v>533.70000000000005</v>
      </c>
      <c r="P6" s="36">
        <f>O6*(1+$R6)</f>
        <v>649.84773948428756</v>
      </c>
      <c r="Q6" s="36">
        <f>P6*(1+$R6)</f>
        <v>791.27240868060414</v>
      </c>
      <c r="R6" s="58">
        <f>(O6/I6)^(1/5)-1</f>
        <v>0.21762739270055742</v>
      </c>
    </row>
    <row r="7" spans="2:18" x14ac:dyDescent="0.55000000000000004">
      <c r="B7" s="10" t="s">
        <v>104</v>
      </c>
      <c r="C7" s="48">
        <f t="shared" ref="C7:K7" si="0">C5+C6</f>
        <v>57.5</v>
      </c>
      <c r="D7" s="48">
        <f t="shared" si="0"/>
        <v>71.099999999999994</v>
      </c>
      <c r="E7" s="48">
        <f t="shared" si="0"/>
        <v>83.4</v>
      </c>
      <c r="F7" s="48">
        <f t="shared" si="0"/>
        <v>108.3</v>
      </c>
      <c r="G7" s="48">
        <f t="shared" si="0"/>
        <v>129.69999999999999</v>
      </c>
      <c r="H7" s="48">
        <f t="shared" si="0"/>
        <v>180.9</v>
      </c>
      <c r="I7" s="48">
        <f t="shared" si="0"/>
        <v>241.5</v>
      </c>
      <c r="J7" s="48">
        <f t="shared" si="0"/>
        <v>303.79999999999995</v>
      </c>
      <c r="K7" s="48">
        <f t="shared" si="0"/>
        <v>371.8</v>
      </c>
      <c r="M7" s="48">
        <f>M5+M6</f>
        <v>432.40000000000003</v>
      </c>
      <c r="N7" s="48">
        <f>N5+N6</f>
        <v>495.4</v>
      </c>
      <c r="O7" s="48">
        <f>O5+O6</f>
        <v>566.6</v>
      </c>
      <c r="P7" s="48">
        <f t="shared" ref="P7:Q7" si="1">P5+P6</f>
        <v>681.16463175692581</v>
      </c>
      <c r="Q7" s="48">
        <f t="shared" si="1"/>
        <v>821.08237043185113</v>
      </c>
    </row>
    <row r="8" spans="2:18" x14ac:dyDescent="0.55000000000000004">
      <c r="B8" s="15" t="s">
        <v>108</v>
      </c>
      <c r="C8" s="35"/>
      <c r="D8" s="35"/>
      <c r="E8" s="35"/>
      <c r="F8" s="35"/>
      <c r="G8" s="35"/>
      <c r="H8" s="35"/>
      <c r="I8" s="35"/>
      <c r="J8" s="35"/>
      <c r="K8" s="35"/>
      <c r="M8" s="71">
        <f>M7/$K7</f>
        <v>1.1629908552985477</v>
      </c>
      <c r="N8" s="71">
        <f t="shared" ref="N8:Q8" si="2">N7/$K7</f>
        <v>1.3324367939752555</v>
      </c>
      <c r="O8" s="71">
        <f t="shared" si="2"/>
        <v>1.5239376008606778</v>
      </c>
      <c r="P8" s="71">
        <f t="shared" si="2"/>
        <v>1.8320727051020058</v>
      </c>
      <c r="Q8" s="71">
        <f t="shared" si="2"/>
        <v>2.2083979839479588</v>
      </c>
    </row>
    <row r="9" spans="2:18" x14ac:dyDescent="0.55000000000000004">
      <c r="B9" s="26" t="s">
        <v>0</v>
      </c>
      <c r="C9" s="32">
        <v>1</v>
      </c>
      <c r="D9" s="32">
        <v>2</v>
      </c>
      <c r="E9" s="32">
        <v>3</v>
      </c>
      <c r="F9" s="32">
        <v>4</v>
      </c>
      <c r="G9" s="32">
        <v>5</v>
      </c>
      <c r="H9" s="32">
        <v>6</v>
      </c>
      <c r="I9" s="32">
        <v>7</v>
      </c>
      <c r="J9" s="32">
        <v>7</v>
      </c>
      <c r="K9" s="32">
        <v>7</v>
      </c>
      <c r="M9" s="32">
        <v>7</v>
      </c>
      <c r="N9" s="32">
        <v>7</v>
      </c>
      <c r="O9" s="32">
        <v>7</v>
      </c>
    </row>
    <row r="10" spans="2:18" x14ac:dyDescent="0.55000000000000004">
      <c r="B10" s="26" t="s">
        <v>62</v>
      </c>
      <c r="C10" s="32" t="s">
        <v>174</v>
      </c>
      <c r="D10" s="32"/>
      <c r="E10" s="32"/>
      <c r="F10" s="32"/>
      <c r="G10" s="32"/>
      <c r="H10" s="32"/>
      <c r="I10" s="32"/>
      <c r="J10" s="32"/>
      <c r="K10" s="32"/>
      <c r="N10" s="32"/>
      <c r="O10" s="32"/>
    </row>
    <row r="11" spans="2:18" x14ac:dyDescent="0.55000000000000004">
      <c r="B11" s="26"/>
      <c r="C11" s="32" t="s">
        <v>175</v>
      </c>
      <c r="D11" s="32"/>
      <c r="E11" s="32"/>
      <c r="F11" s="32"/>
      <c r="G11" s="32"/>
      <c r="H11" s="32"/>
      <c r="I11" s="32"/>
      <c r="J11" s="32"/>
      <c r="K11" s="32"/>
      <c r="N11" s="32"/>
      <c r="O11" s="32"/>
    </row>
    <row r="12" spans="2:18" x14ac:dyDescent="0.55000000000000004">
      <c r="B12" s="26"/>
      <c r="C12" s="32" t="s">
        <v>176</v>
      </c>
      <c r="D12" s="32"/>
      <c r="E12" s="32"/>
      <c r="F12" s="32"/>
      <c r="G12" s="32"/>
      <c r="H12" s="32"/>
      <c r="I12" s="32"/>
      <c r="J12" s="32"/>
      <c r="K12" s="32"/>
      <c r="M12" s="32"/>
      <c r="N12" s="32"/>
      <c r="O12" s="32"/>
    </row>
    <row r="13" spans="2:18" x14ac:dyDescent="0.55000000000000004">
      <c r="P13" s="81"/>
      <c r="Q13" s="81"/>
    </row>
    <row r="14" spans="2:18" x14ac:dyDescent="0.55000000000000004">
      <c r="B14" s="15" t="s">
        <v>106</v>
      </c>
      <c r="C14" s="15">
        <v>2010</v>
      </c>
      <c r="D14" s="15">
        <v>2011</v>
      </c>
      <c r="E14" s="15">
        <v>2012</v>
      </c>
      <c r="F14" s="15">
        <v>2013</v>
      </c>
      <c r="G14" s="15">
        <v>2014</v>
      </c>
      <c r="H14" s="15">
        <v>2015</v>
      </c>
      <c r="I14" s="15">
        <v>2016</v>
      </c>
      <c r="J14" s="15">
        <v>2017</v>
      </c>
      <c r="K14" s="15">
        <v>2018</v>
      </c>
      <c r="M14" s="15">
        <v>2019</v>
      </c>
      <c r="N14" s="15">
        <v>2020</v>
      </c>
      <c r="O14" s="15">
        <v>2021</v>
      </c>
      <c r="P14" s="15">
        <v>2022</v>
      </c>
      <c r="Q14" s="15">
        <v>2023</v>
      </c>
      <c r="R14" s="79" t="s">
        <v>96</v>
      </c>
    </row>
    <row r="15" spans="2:18" x14ac:dyDescent="0.55000000000000004">
      <c r="B15" s="11" t="s">
        <v>7</v>
      </c>
      <c r="C15" s="53">
        <v>1.4</v>
      </c>
      <c r="D15" s="36">
        <f t="shared" ref="D15" si="3">C15+($G15-$C15)/4</f>
        <v>1.5499999999999998</v>
      </c>
      <c r="E15" s="36">
        <f t="shared" ref="E15" si="4">D15+($G15-$C15)/4</f>
        <v>1.6999999999999997</v>
      </c>
      <c r="F15" s="36">
        <f t="shared" ref="F15" si="5">E15+($G15-$C15)/4</f>
        <v>1.8499999999999996</v>
      </c>
      <c r="G15" s="53">
        <v>2</v>
      </c>
      <c r="H15" s="36">
        <v>2.2000000000000002</v>
      </c>
      <c r="I15" s="36">
        <v>2.4</v>
      </c>
      <c r="J15" s="36">
        <f>I15+($O15-$I15)/5</f>
        <v>2.6799999999999997</v>
      </c>
      <c r="K15" s="36">
        <f>J15+($O15-$I15)/5</f>
        <v>2.9599999999999995</v>
      </c>
      <c r="M15" s="36">
        <f>K15+($O15-$I15)/5</f>
        <v>3.2399999999999993</v>
      </c>
      <c r="N15" s="36">
        <f>M15+($O15-$I15)/5</f>
        <v>3.5199999999999991</v>
      </c>
      <c r="O15" s="36">
        <v>3.8</v>
      </c>
      <c r="P15" s="36">
        <f>O15*(1+$R$15)</f>
        <v>4.1657966615412256</v>
      </c>
      <c r="Q15" s="36">
        <f>P15*(1+$R$15)</f>
        <v>4.566805743502111</v>
      </c>
      <c r="R15" s="58">
        <f>(O15/I15)^(1/5)-1</f>
        <v>9.6262279352954172E-2</v>
      </c>
    </row>
    <row r="16" spans="2:18" x14ac:dyDescent="0.55000000000000004">
      <c r="B16" s="82" t="s">
        <v>8</v>
      </c>
      <c r="C16" s="54">
        <f t="shared" ref="C16:K16" si="6">C5/C15*1000</f>
        <v>32357.142857142855</v>
      </c>
      <c r="D16" s="54">
        <f t="shared" si="6"/>
        <v>32129.032258064519</v>
      </c>
      <c r="E16" s="54">
        <f t="shared" si="6"/>
        <v>30117.647058823535</v>
      </c>
      <c r="F16" s="54">
        <f t="shared" si="6"/>
        <v>27783.783783783791</v>
      </c>
      <c r="G16" s="54">
        <f t="shared" si="6"/>
        <v>23049.999999999996</v>
      </c>
      <c r="H16" s="54">
        <f t="shared" si="6"/>
        <v>20409.090909090908</v>
      </c>
      <c r="I16" s="54">
        <f t="shared" si="6"/>
        <v>17541.666666666668</v>
      </c>
      <c r="J16" s="54">
        <f t="shared" si="6"/>
        <v>15447.761194029852</v>
      </c>
      <c r="K16" s="54">
        <f t="shared" si="6"/>
        <v>13783.783783783785</v>
      </c>
      <c r="M16" s="54">
        <f>M5/M15*1000</f>
        <v>12067.901234567904</v>
      </c>
      <c r="N16" s="54">
        <f>N5/N15*1000</f>
        <v>10284.090909090912</v>
      </c>
      <c r="O16" s="54">
        <f>O5/O15*1000</f>
        <v>8657.894736842105</v>
      </c>
      <c r="P16" s="54">
        <f t="shared" ref="P16:Q16" si="7">P5/P15*1000</f>
        <v>7517.6238345372976</v>
      </c>
      <c r="Q16" s="54">
        <f t="shared" si="7"/>
        <v>6527.5300561365466</v>
      </c>
    </row>
    <row r="17" spans="2:18" x14ac:dyDescent="0.55000000000000004">
      <c r="B17" s="11" t="s">
        <v>9</v>
      </c>
      <c r="C17" s="11">
        <v>3.5</v>
      </c>
      <c r="D17" s="36">
        <f t="shared" ref="D17" si="8">C17+($G17-$C17)/4</f>
        <v>3.9</v>
      </c>
      <c r="E17" s="36">
        <f t="shared" ref="E17" si="9">D17+($G17-$C17)/4</f>
        <v>4.3</v>
      </c>
      <c r="F17" s="36">
        <f t="shared" ref="F17" si="10">E17+($G17-$C17)/4</f>
        <v>4.6999999999999993</v>
      </c>
      <c r="G17" s="11">
        <v>5.0999999999999996</v>
      </c>
      <c r="H17" s="11">
        <v>7.3</v>
      </c>
      <c r="I17" s="11">
        <v>8.8000000000000007</v>
      </c>
      <c r="J17" s="36">
        <f>I17+($O17-$I17)/5</f>
        <v>9.68</v>
      </c>
      <c r="K17" s="36">
        <f>J17+($O17-$I17)/5</f>
        <v>10.559999999999999</v>
      </c>
      <c r="M17" s="36">
        <f>K17+($O17-$I17)/5</f>
        <v>11.439999999999998</v>
      </c>
      <c r="N17" s="36">
        <f>M17+($O17-$I17)/5</f>
        <v>12.319999999999997</v>
      </c>
      <c r="O17" s="11">
        <v>13.2</v>
      </c>
      <c r="P17" s="36">
        <f>O17*(1+$R$17)</f>
        <v>14.315027379809621</v>
      </c>
      <c r="Q17" s="36">
        <f>P17*(1+$R$17)</f>
        <v>15.524243097325689</v>
      </c>
      <c r="R17" s="58">
        <f>((O17/I17)^(1/5)-1)/1</f>
        <v>8.4471771197698553E-2</v>
      </c>
    </row>
    <row r="18" spans="2:18" x14ac:dyDescent="0.55000000000000004">
      <c r="B18" s="82" t="s">
        <v>10</v>
      </c>
      <c r="C18" s="54">
        <f t="shared" ref="C18:K18" si="11">C6/C17*1000</f>
        <v>3485.7142857142853</v>
      </c>
      <c r="D18" s="54">
        <f t="shared" si="11"/>
        <v>5461.5384615384619</v>
      </c>
      <c r="E18" s="54">
        <f t="shared" si="11"/>
        <v>7488.3720930232566</v>
      </c>
      <c r="F18" s="54">
        <f t="shared" si="11"/>
        <v>12106.382978723406</v>
      </c>
      <c r="G18" s="54">
        <f t="shared" si="11"/>
        <v>16392.156862745098</v>
      </c>
      <c r="H18" s="54">
        <f t="shared" si="11"/>
        <v>18630.136986301372</v>
      </c>
      <c r="I18" s="54">
        <f t="shared" si="11"/>
        <v>22659.090909090908</v>
      </c>
      <c r="J18" s="54">
        <f t="shared" si="11"/>
        <v>27107.438016528926</v>
      </c>
      <c r="K18" s="54">
        <f t="shared" si="11"/>
        <v>31344.696969696972</v>
      </c>
      <c r="M18" s="54">
        <f>M6/M17*1000</f>
        <v>34379.370629370642</v>
      </c>
      <c r="N18" s="54">
        <f>N6/N17*1000</f>
        <v>37272.727272727279</v>
      </c>
      <c r="O18" s="54">
        <f>O6/O17*1000</f>
        <v>40431.818181818184</v>
      </c>
      <c r="P18" s="54">
        <f t="shared" ref="P18:Q18" si="12">P6/P17*1000</f>
        <v>45396.192563407451</v>
      </c>
      <c r="Q18" s="54">
        <f t="shared" si="12"/>
        <v>50970.111954566986</v>
      </c>
    </row>
    <row r="19" spans="2:18" x14ac:dyDescent="0.55000000000000004">
      <c r="B19" s="10" t="s">
        <v>11</v>
      </c>
      <c r="C19" s="10">
        <f t="shared" ref="C19:K19" si="13">C16+C18</f>
        <v>35842.857142857138</v>
      </c>
      <c r="D19" s="10">
        <f t="shared" si="13"/>
        <v>37590.570719602983</v>
      </c>
      <c r="E19" s="10">
        <f t="shared" si="13"/>
        <v>37606.019151846791</v>
      </c>
      <c r="F19" s="10">
        <f t="shared" si="13"/>
        <v>39890.1667625072</v>
      </c>
      <c r="G19" s="10">
        <f t="shared" si="13"/>
        <v>39442.156862745091</v>
      </c>
      <c r="H19" s="10">
        <f t="shared" si="13"/>
        <v>39039.22789539228</v>
      </c>
      <c r="I19" s="10">
        <f t="shared" si="13"/>
        <v>40200.757575757576</v>
      </c>
      <c r="J19" s="10">
        <f t="shared" si="13"/>
        <v>42555.199210558778</v>
      </c>
      <c r="K19" s="10">
        <f t="shared" si="13"/>
        <v>45128.480753480755</v>
      </c>
      <c r="M19" s="10">
        <f>M16+M18</f>
        <v>46447.271863938542</v>
      </c>
      <c r="N19" s="10">
        <f>N16+N18</f>
        <v>47556.818181818191</v>
      </c>
      <c r="O19" s="10">
        <f>O16+O18</f>
        <v>49089.712918660291</v>
      </c>
      <c r="P19" s="10">
        <f t="shared" ref="P19:Q19" si="14">P16+P18</f>
        <v>52913.816397944749</v>
      </c>
      <c r="Q19" s="10">
        <f t="shared" si="14"/>
        <v>57497.64201070353</v>
      </c>
    </row>
    <row r="20" spans="2:18" x14ac:dyDescent="0.55000000000000004">
      <c r="B20" s="26" t="s">
        <v>0</v>
      </c>
      <c r="C20" s="32">
        <v>1</v>
      </c>
      <c r="D20" s="32">
        <v>2</v>
      </c>
      <c r="E20" s="32">
        <v>3</v>
      </c>
      <c r="F20" s="32">
        <v>4</v>
      </c>
      <c r="G20" s="32">
        <v>5</v>
      </c>
      <c r="H20" s="32">
        <v>6</v>
      </c>
      <c r="I20" s="32">
        <v>7</v>
      </c>
      <c r="J20" s="32">
        <v>7</v>
      </c>
      <c r="K20" s="32">
        <v>7</v>
      </c>
      <c r="M20" s="32">
        <v>7</v>
      </c>
      <c r="N20" s="32">
        <v>7</v>
      </c>
      <c r="O20" s="32">
        <v>7</v>
      </c>
      <c r="P20" s="32"/>
      <c r="Q20" s="32"/>
    </row>
    <row r="21" spans="2:18" x14ac:dyDescent="0.55000000000000004">
      <c r="B21" s="26" t="s">
        <v>62</v>
      </c>
      <c r="C21" s="32" t="s">
        <v>174</v>
      </c>
      <c r="D21" s="32"/>
      <c r="E21" s="32"/>
      <c r="F21" s="32"/>
      <c r="G21" s="32"/>
      <c r="H21" s="32"/>
      <c r="I21" s="32"/>
      <c r="J21" s="32"/>
      <c r="K21" s="32"/>
      <c r="M21" s="32"/>
      <c r="N21" s="32"/>
      <c r="O21" s="32"/>
    </row>
    <row r="22" spans="2:18" ht="14.4" customHeight="1" x14ac:dyDescent="0.55000000000000004">
      <c r="B22" s="26"/>
      <c r="C22" s="69" t="s">
        <v>100</v>
      </c>
      <c r="D22" s="69"/>
      <c r="E22" s="69"/>
      <c r="F22" s="69"/>
      <c r="G22" s="69"/>
      <c r="H22" s="69"/>
      <c r="I22" s="69"/>
      <c r="J22" s="69"/>
      <c r="K22" s="69"/>
      <c r="M22" s="32"/>
      <c r="N22" s="32"/>
      <c r="O22" s="32"/>
    </row>
    <row r="23" spans="2:18" x14ac:dyDescent="0.55000000000000004">
      <c r="B23" s="26"/>
      <c r="C23" s="32" t="s">
        <v>196</v>
      </c>
      <c r="D23" s="69"/>
      <c r="E23" s="69"/>
      <c r="F23" s="69"/>
      <c r="G23" s="69"/>
      <c r="H23" s="69"/>
      <c r="I23" s="69"/>
      <c r="J23" s="69"/>
      <c r="K23" s="69"/>
      <c r="M23" s="32"/>
      <c r="N23" s="32"/>
      <c r="O23" s="32"/>
    </row>
    <row r="24" spans="2:18" x14ac:dyDescent="0.55000000000000004">
      <c r="B24" s="26"/>
      <c r="C24" s="32" t="s">
        <v>176</v>
      </c>
      <c r="D24" s="69"/>
      <c r="E24" s="69"/>
      <c r="F24" s="69"/>
      <c r="G24" s="69"/>
      <c r="H24" s="69"/>
      <c r="I24" s="69"/>
      <c r="J24" s="69"/>
      <c r="K24" s="69"/>
      <c r="M24" s="32"/>
      <c r="N24" s="32"/>
      <c r="O24" s="32"/>
      <c r="P24" s="58"/>
      <c r="Q24" s="58"/>
    </row>
    <row r="25" spans="2:18" x14ac:dyDescent="0.55000000000000004">
      <c r="B25" s="26"/>
      <c r="C25" s="32"/>
      <c r="D25" s="32"/>
      <c r="E25" s="32"/>
      <c r="F25" s="32"/>
      <c r="G25" s="32"/>
      <c r="H25" s="32"/>
      <c r="I25" s="83"/>
      <c r="J25" s="32"/>
      <c r="K25" s="32"/>
      <c r="M25" s="32"/>
      <c r="N25" s="32"/>
      <c r="O25" s="83"/>
    </row>
    <row r="26" spans="2:18" s="79" customFormat="1" x14ac:dyDescent="0.55000000000000004">
      <c r="B26" s="15" t="s">
        <v>107</v>
      </c>
      <c r="C26" s="15">
        <v>2010</v>
      </c>
      <c r="D26" s="15">
        <v>2011</v>
      </c>
      <c r="E26" s="15">
        <v>2012</v>
      </c>
      <c r="F26" s="15">
        <v>2013</v>
      </c>
      <c r="G26" s="15">
        <v>2014</v>
      </c>
      <c r="H26" s="15">
        <v>2015</v>
      </c>
      <c r="I26" s="15">
        <v>2016</v>
      </c>
      <c r="J26" s="15">
        <v>2017</v>
      </c>
      <c r="K26" s="15">
        <v>2018</v>
      </c>
      <c r="L26" s="11"/>
      <c r="M26" s="15">
        <v>2019</v>
      </c>
      <c r="N26" s="15">
        <v>2020</v>
      </c>
      <c r="O26" s="15">
        <v>2021</v>
      </c>
      <c r="P26" s="15">
        <v>2022</v>
      </c>
      <c r="Q26" s="15">
        <v>2023</v>
      </c>
    </row>
    <row r="27" spans="2:18" x14ac:dyDescent="0.55000000000000004">
      <c r="B27" s="82" t="s">
        <v>22</v>
      </c>
      <c r="C27" s="55">
        <v>7.6700000000000004E-2</v>
      </c>
      <c r="D27" s="55">
        <v>9.3100000000000002E-2</v>
      </c>
      <c r="E27" s="55">
        <v>0.1147</v>
      </c>
      <c r="F27" s="55">
        <v>0.13150000000000001</v>
      </c>
      <c r="G27" s="55">
        <v>0.17369999999999999</v>
      </c>
      <c r="H27" s="84">
        <v>0.21</v>
      </c>
      <c r="I27" s="84">
        <v>0.27</v>
      </c>
      <c r="J27" s="84">
        <v>0.32</v>
      </c>
      <c r="K27" s="84">
        <v>0.38</v>
      </c>
      <c r="M27" s="84">
        <v>0.44</v>
      </c>
      <c r="N27" s="84">
        <v>0.48</v>
      </c>
      <c r="O27" s="84">
        <v>0.53</v>
      </c>
      <c r="P27" s="84">
        <v>0.54802237189700875</v>
      </c>
      <c r="Q27" s="84">
        <v>0.56232514557424373</v>
      </c>
      <c r="R27" s="58"/>
    </row>
    <row r="28" spans="2:18" x14ac:dyDescent="0.55000000000000004">
      <c r="B28" s="26" t="s">
        <v>0</v>
      </c>
      <c r="C28" s="26" t="s">
        <v>101</v>
      </c>
      <c r="D28" s="26" t="s">
        <v>101</v>
      </c>
      <c r="E28" s="26" t="s">
        <v>101</v>
      </c>
      <c r="F28" s="26" t="s">
        <v>101</v>
      </c>
      <c r="G28" s="26" t="s">
        <v>101</v>
      </c>
      <c r="H28" s="32">
        <v>6</v>
      </c>
      <c r="I28" s="32">
        <v>7</v>
      </c>
      <c r="J28" s="32">
        <v>7</v>
      </c>
      <c r="K28" s="32">
        <v>7</v>
      </c>
      <c r="M28" s="32">
        <v>7</v>
      </c>
      <c r="N28" s="32">
        <v>7</v>
      </c>
      <c r="O28" s="32">
        <v>7</v>
      </c>
    </row>
    <row r="29" spans="2:18" ht="14.4" customHeight="1" x14ac:dyDescent="0.55000000000000004">
      <c r="B29" s="26" t="s">
        <v>62</v>
      </c>
      <c r="C29" s="69" t="s">
        <v>197</v>
      </c>
      <c r="D29" s="69"/>
      <c r="E29" s="69"/>
      <c r="F29" s="69"/>
      <c r="G29" s="69"/>
      <c r="H29" s="69"/>
      <c r="I29" s="69"/>
      <c r="J29" s="69"/>
      <c r="K29" s="69"/>
      <c r="M29" s="32"/>
      <c r="N29" s="32"/>
      <c r="O29" s="32"/>
    </row>
    <row r="30" spans="2:18" x14ac:dyDescent="0.55000000000000004">
      <c r="B30" s="26"/>
      <c r="C30" s="69" t="s">
        <v>198</v>
      </c>
      <c r="D30" s="69"/>
      <c r="E30" s="69"/>
      <c r="F30" s="69"/>
      <c r="G30" s="69"/>
      <c r="H30" s="69"/>
      <c r="I30" s="69"/>
      <c r="J30" s="69"/>
      <c r="K30" s="69"/>
      <c r="M30" s="32"/>
      <c r="N30" s="32"/>
      <c r="O30" s="32"/>
    </row>
    <row r="32" spans="2:18" x14ac:dyDescent="0.55000000000000004">
      <c r="B32" s="15" t="s">
        <v>109</v>
      </c>
      <c r="C32" s="15">
        <v>2010</v>
      </c>
      <c r="D32" s="15">
        <v>2011</v>
      </c>
      <c r="E32" s="15">
        <v>2012</v>
      </c>
      <c r="F32" s="15">
        <v>2013</v>
      </c>
      <c r="G32" s="15">
        <v>2014</v>
      </c>
      <c r="H32" s="15">
        <v>2015</v>
      </c>
      <c r="I32" s="15">
        <v>2016</v>
      </c>
      <c r="J32" s="15">
        <v>2017</v>
      </c>
      <c r="K32" s="15">
        <v>2018</v>
      </c>
      <c r="M32" s="15">
        <v>2019</v>
      </c>
      <c r="N32" s="15">
        <v>2020</v>
      </c>
      <c r="O32" s="15">
        <v>2021</v>
      </c>
      <c r="P32" s="15">
        <v>2022</v>
      </c>
      <c r="Q32" s="15">
        <v>2023</v>
      </c>
      <c r="R32" s="79" t="s">
        <v>96</v>
      </c>
    </row>
    <row r="33" spans="2:26" x14ac:dyDescent="0.55000000000000004">
      <c r="B33" s="85" t="s">
        <v>8</v>
      </c>
      <c r="C33" s="33">
        <f t="shared" ref="C33:K33" si="15">C16</f>
        <v>32357.142857142855</v>
      </c>
      <c r="D33" s="33">
        <f t="shared" si="15"/>
        <v>32129.032258064519</v>
      </c>
      <c r="E33" s="33">
        <f t="shared" si="15"/>
        <v>30117.647058823535</v>
      </c>
      <c r="F33" s="33">
        <f t="shared" si="15"/>
        <v>27783.783783783791</v>
      </c>
      <c r="G33" s="33">
        <f t="shared" si="15"/>
        <v>23049.999999999996</v>
      </c>
      <c r="H33" s="33">
        <f t="shared" si="15"/>
        <v>20409.090909090908</v>
      </c>
      <c r="I33" s="33">
        <f t="shared" si="15"/>
        <v>17541.666666666668</v>
      </c>
      <c r="J33" s="33">
        <f t="shared" si="15"/>
        <v>15447.761194029852</v>
      </c>
      <c r="K33" s="33">
        <f t="shared" si="15"/>
        <v>13783.783783783785</v>
      </c>
      <c r="M33" s="33">
        <f t="shared" ref="M33:Q33" si="16">M16</f>
        <v>12067.901234567904</v>
      </c>
      <c r="N33" s="33">
        <f t="shared" si="16"/>
        <v>10284.090909090912</v>
      </c>
      <c r="O33" s="33">
        <f t="shared" si="16"/>
        <v>8657.894736842105</v>
      </c>
      <c r="P33" s="33">
        <f t="shared" si="16"/>
        <v>7517.6238345372976</v>
      </c>
      <c r="Q33" s="33">
        <f t="shared" si="16"/>
        <v>6527.5300561365466</v>
      </c>
    </row>
    <row r="34" spans="2:26" x14ac:dyDescent="0.55000000000000004">
      <c r="B34" s="43" t="s">
        <v>23</v>
      </c>
      <c r="C34" s="28">
        <f t="shared" ref="C34:K34" si="17">C18-C35</f>
        <v>736.5671428571427</v>
      </c>
      <c r="D34" s="28">
        <f t="shared" si="17"/>
        <v>1961.856327543424</v>
      </c>
      <c r="E34" s="28">
        <f t="shared" si="17"/>
        <v>3174.96169630643</v>
      </c>
      <c r="F34" s="28">
        <f t="shared" si="17"/>
        <v>6860.8260494537089</v>
      </c>
      <c r="G34" s="28">
        <f t="shared" si="17"/>
        <v>9541.0542156862757</v>
      </c>
      <c r="H34" s="28">
        <f t="shared" si="17"/>
        <v>10431.899128268993</v>
      </c>
      <c r="I34" s="28">
        <f t="shared" si="17"/>
        <v>11804.886363636362</v>
      </c>
      <c r="J34" s="28">
        <f t="shared" si="17"/>
        <v>13489.774269150117</v>
      </c>
      <c r="K34" s="28">
        <f t="shared" si="17"/>
        <v>14195.874283374284</v>
      </c>
      <c r="M34" s="28">
        <f t="shared" ref="M34:Q34" si="18">M18-M35</f>
        <v>13942.571009237683</v>
      </c>
      <c r="N34" s="28">
        <f t="shared" si="18"/>
        <v>14445.454545454548</v>
      </c>
      <c r="O34" s="28">
        <f t="shared" si="18"/>
        <v>14414.270334928227</v>
      </c>
      <c r="P34" s="28">
        <f t="shared" si="18"/>
        <v>16398.237394882934</v>
      </c>
      <c r="Q34" s="28">
        <f t="shared" si="18"/>
        <v>18637.742040722373</v>
      </c>
    </row>
    <row r="35" spans="2:26" x14ac:dyDescent="0.55000000000000004">
      <c r="B35" s="80" t="s">
        <v>24</v>
      </c>
      <c r="C35" s="29">
        <f t="shared" ref="C35:K35" si="19">C27*C19</f>
        <v>2749.1471428571426</v>
      </c>
      <c r="D35" s="29">
        <f t="shared" si="19"/>
        <v>3499.6821339950379</v>
      </c>
      <c r="E35" s="29">
        <f t="shared" si="19"/>
        <v>4313.4103967168267</v>
      </c>
      <c r="F35" s="29">
        <f t="shared" si="19"/>
        <v>5245.5569292696973</v>
      </c>
      <c r="G35" s="29">
        <f t="shared" si="19"/>
        <v>6851.1026470588222</v>
      </c>
      <c r="H35" s="29">
        <f t="shared" si="19"/>
        <v>8198.2378580323784</v>
      </c>
      <c r="I35" s="29">
        <f t="shared" si="19"/>
        <v>10854.204545454546</v>
      </c>
      <c r="J35" s="29">
        <f t="shared" si="19"/>
        <v>13617.663747378809</v>
      </c>
      <c r="K35" s="29">
        <f t="shared" si="19"/>
        <v>17148.822686322688</v>
      </c>
      <c r="M35" s="29">
        <f t="shared" ref="M35:Q35" si="20">M27*M19</f>
        <v>20436.799620132959</v>
      </c>
      <c r="N35" s="29">
        <f t="shared" si="20"/>
        <v>22827.272727272732</v>
      </c>
      <c r="O35" s="29">
        <f t="shared" si="20"/>
        <v>26017.547846889956</v>
      </c>
      <c r="P35" s="29">
        <f t="shared" si="20"/>
        <v>28997.955168524517</v>
      </c>
      <c r="Q35" s="29">
        <f t="shared" si="20"/>
        <v>32332.369913844614</v>
      </c>
    </row>
    <row r="36" spans="2:26" x14ac:dyDescent="0.55000000000000004">
      <c r="B36" s="86" t="s">
        <v>11</v>
      </c>
      <c r="C36" s="48">
        <f>SUM(C33:C35)</f>
        <v>35842.857142857145</v>
      </c>
      <c r="D36" s="48">
        <f t="shared" ref="D36:O36" si="21">SUM(D33:D35)</f>
        <v>37590.570719602983</v>
      </c>
      <c r="E36" s="48">
        <f t="shared" si="21"/>
        <v>37606.019151846791</v>
      </c>
      <c r="F36" s="48">
        <f t="shared" si="21"/>
        <v>39890.166762507193</v>
      </c>
      <c r="G36" s="48">
        <f t="shared" si="21"/>
        <v>39442.156862745091</v>
      </c>
      <c r="H36" s="48">
        <f t="shared" si="21"/>
        <v>39039.22789539228</v>
      </c>
      <c r="I36" s="48">
        <f t="shared" si="21"/>
        <v>40200.757575757576</v>
      </c>
      <c r="J36" s="48">
        <f t="shared" si="21"/>
        <v>42555.199210558778</v>
      </c>
      <c r="K36" s="48">
        <f t="shared" si="21"/>
        <v>45128.480753480755</v>
      </c>
      <c r="M36" s="48">
        <f t="shared" si="21"/>
        <v>46447.271863938542</v>
      </c>
      <c r="N36" s="48">
        <f t="shared" si="21"/>
        <v>47556.818181818191</v>
      </c>
      <c r="O36" s="48">
        <f t="shared" si="21"/>
        <v>49089.712918660283</v>
      </c>
      <c r="P36" s="48">
        <f t="shared" ref="P36:Q36" si="22">SUM(P33:P35)</f>
        <v>52913.816397944749</v>
      </c>
      <c r="Q36" s="48">
        <f t="shared" si="22"/>
        <v>57497.642010703537</v>
      </c>
    </row>
    <row r="37" spans="2:26" x14ac:dyDescent="0.55000000000000004">
      <c r="B37" s="27" t="s">
        <v>32</v>
      </c>
      <c r="C37" s="18">
        <v>1175.2619999999999</v>
      </c>
      <c r="D37" s="18">
        <v>1883.174</v>
      </c>
      <c r="E37" s="18">
        <v>2754.2339999999999</v>
      </c>
      <c r="F37" s="18">
        <v>3892.8679999999999</v>
      </c>
      <c r="G37" s="18">
        <v>5558.0879999999997</v>
      </c>
      <c r="H37" s="18">
        <v>7067.8670000000002</v>
      </c>
      <c r="I37" s="18">
        <v>9876.8770000000004</v>
      </c>
      <c r="J37" s="18">
        <v>12898.749</v>
      </c>
      <c r="K37" s="18">
        <v>16779.045999999998</v>
      </c>
      <c r="M37" s="18">
        <v>20212.260999999999</v>
      </c>
      <c r="N37" s="18">
        <v>22674.492999999999</v>
      </c>
      <c r="O37" s="18">
        <f>$N37/SUM($N$37:$N$40)*(O$36-SUM(O$41:O$42))</f>
        <v>23431.778811597371</v>
      </c>
      <c r="P37" s="18">
        <f t="shared" ref="P37:Q37" si="23">$N37/SUM($N$37:$N$40)*(P$36-SUM(P$41:P$42))</f>
        <v>25294.651970748109</v>
      </c>
      <c r="Q37" s="18">
        <f t="shared" si="23"/>
        <v>27523.519854461261</v>
      </c>
      <c r="R37" s="18"/>
      <c r="S37" s="18"/>
      <c r="T37" s="18"/>
      <c r="U37" s="18"/>
      <c r="V37" s="18"/>
      <c r="W37" s="18"/>
      <c r="X37" s="18"/>
      <c r="Y37" s="18"/>
      <c r="Z37" s="18"/>
    </row>
    <row r="38" spans="2:26" x14ac:dyDescent="0.55000000000000004">
      <c r="B38" s="27" t="s">
        <v>33</v>
      </c>
      <c r="C38" s="18">
        <v>199.73699999999999</v>
      </c>
      <c r="D38" s="18">
        <v>296.666</v>
      </c>
      <c r="E38" s="18">
        <v>400.41</v>
      </c>
      <c r="F38" s="18">
        <v>397.404</v>
      </c>
      <c r="G38" s="18">
        <v>477.96100000000001</v>
      </c>
      <c r="H38" s="18">
        <v>508.46699999999998</v>
      </c>
      <c r="I38" s="18">
        <v>462.55599999999998</v>
      </c>
      <c r="J38" s="18">
        <v>319.75</v>
      </c>
      <c r="K38" s="18">
        <v>61.332999999999998</v>
      </c>
      <c r="M38" s="18">
        <v>0</v>
      </c>
      <c r="N38" s="18">
        <v>0</v>
      </c>
      <c r="O38" s="18">
        <f t="shared" ref="O38:Q40" si="24">$N38/SUM($N$37:$N$40)*(O$36-SUM(O$41:O$42))</f>
        <v>0</v>
      </c>
      <c r="P38" s="18">
        <f t="shared" si="24"/>
        <v>0</v>
      </c>
      <c r="Q38" s="18">
        <f t="shared" si="24"/>
        <v>0</v>
      </c>
      <c r="R38" s="18"/>
      <c r="S38" s="18"/>
      <c r="T38" s="18"/>
      <c r="U38" s="18"/>
      <c r="V38" s="18"/>
      <c r="W38" s="18"/>
      <c r="X38" s="18"/>
      <c r="Y38" s="18"/>
    </row>
    <row r="39" spans="2:26" x14ac:dyDescent="0.55000000000000004">
      <c r="B39" s="27" t="s">
        <v>34</v>
      </c>
      <c r="C39" s="18">
        <v>28026.516</v>
      </c>
      <c r="D39" s="18">
        <v>29180.098000000002</v>
      </c>
      <c r="E39" s="18">
        <v>28773.488000000001</v>
      </c>
      <c r="F39" s="18">
        <v>29868.858</v>
      </c>
      <c r="G39" s="18">
        <v>28030.595000000001</v>
      </c>
      <c r="H39" s="18">
        <v>26330.596000000001</v>
      </c>
      <c r="I39" s="18">
        <v>24710.899000000001</v>
      </c>
      <c r="J39" s="18">
        <v>23888.475999999999</v>
      </c>
      <c r="K39" s="18">
        <v>22526.417000000001</v>
      </c>
      <c r="M39" s="18">
        <v>20604.296999999999</v>
      </c>
      <c r="N39" s="18">
        <v>19315.727999999999</v>
      </c>
      <c r="O39" s="18">
        <f t="shared" si="24"/>
        <v>19960.837319757404</v>
      </c>
      <c r="P39" s="18">
        <f t="shared" si="24"/>
        <v>21547.763706188907</v>
      </c>
      <c r="Q39" s="18">
        <f t="shared" si="24"/>
        <v>23446.470142083144</v>
      </c>
      <c r="R39" s="18"/>
      <c r="S39" s="18"/>
      <c r="T39" s="18"/>
      <c r="U39" s="18"/>
      <c r="V39" s="18"/>
      <c r="W39" s="18"/>
      <c r="X39" s="18"/>
      <c r="Y39" s="18"/>
    </row>
    <row r="40" spans="2:26" x14ac:dyDescent="0.55000000000000004">
      <c r="B40" s="27" t="s">
        <v>35</v>
      </c>
      <c r="C40" s="18">
        <v>5333.34</v>
      </c>
      <c r="D40" s="18">
        <v>5278.6869999999999</v>
      </c>
      <c r="E40" s="18">
        <v>4798.3010000000004</v>
      </c>
      <c r="F40" s="18">
        <v>4908.8909999999996</v>
      </c>
      <c r="G40" s="18">
        <v>4613.085</v>
      </c>
      <c r="H40" s="18">
        <v>4441.3370000000004</v>
      </c>
      <c r="I40" s="18">
        <v>4496.75</v>
      </c>
      <c r="J40" s="18">
        <v>4798.9139999999998</v>
      </c>
      <c r="K40" s="18">
        <v>5098.8329999999996</v>
      </c>
      <c r="M40" s="18">
        <v>4994.1450000000004</v>
      </c>
      <c r="N40" s="18">
        <v>4958.57</v>
      </c>
      <c r="O40" s="18">
        <f t="shared" si="24"/>
        <v>5124.1769975550224</v>
      </c>
      <c r="P40" s="18">
        <f t="shared" si="24"/>
        <v>5531.5592909880042</v>
      </c>
      <c r="Q40" s="18">
        <f t="shared" si="24"/>
        <v>6018.9791165225161</v>
      </c>
      <c r="R40" s="18"/>
      <c r="S40" s="18"/>
      <c r="T40" s="18"/>
      <c r="U40" s="18"/>
      <c r="V40" s="18"/>
      <c r="W40" s="18"/>
      <c r="X40" s="18"/>
      <c r="Y40" s="18"/>
    </row>
    <row r="41" spans="2:26" x14ac:dyDescent="0.55000000000000004">
      <c r="B41" s="43" t="s">
        <v>3</v>
      </c>
      <c r="C41" s="28">
        <v>991</v>
      </c>
      <c r="D41" s="28">
        <v>845.57299999999998</v>
      </c>
      <c r="E41" s="28">
        <v>778.13400000000001</v>
      </c>
      <c r="F41" s="28">
        <v>720.05399999999997</v>
      </c>
      <c r="G41" s="28">
        <v>668.41600000000005</v>
      </c>
      <c r="H41" s="28">
        <v>606.61500000000001</v>
      </c>
      <c r="I41" s="28">
        <v>575.41099999999994</v>
      </c>
      <c r="J41" s="28">
        <v>574.78800000000001</v>
      </c>
      <c r="K41" s="28">
        <v>591.37099999999998</v>
      </c>
      <c r="M41" s="28">
        <v>570.20799999999997</v>
      </c>
      <c r="N41" s="28">
        <v>546.76099999999997</v>
      </c>
      <c r="O41" s="28">
        <f t="shared" ref="O41:Q42" si="25">N41*(1+$R$41)</f>
        <v>515.19295615108865</v>
      </c>
      <c r="P41" s="28">
        <f t="shared" si="25"/>
        <v>485.44753935942316</v>
      </c>
      <c r="Q41" s="28">
        <f t="shared" si="25"/>
        <v>457.41951759334182</v>
      </c>
      <c r="R41" s="58">
        <f>(N41/C41)^(1/10)-1</f>
        <v>-5.7736458615210928E-2</v>
      </c>
      <c r="S41" s="18"/>
      <c r="T41" s="18"/>
      <c r="U41" s="18"/>
      <c r="V41" s="18"/>
      <c r="W41" s="18"/>
      <c r="X41" s="18"/>
      <c r="Y41" s="18"/>
    </row>
    <row r="42" spans="2:26" x14ac:dyDescent="0.55000000000000004">
      <c r="B42" s="80" t="s">
        <v>4</v>
      </c>
      <c r="C42" s="29">
        <v>117</v>
      </c>
      <c r="D42" s="29">
        <v>106.37</v>
      </c>
      <c r="E42" s="29">
        <v>101.45</v>
      </c>
      <c r="F42" s="29">
        <v>102.09</v>
      </c>
      <c r="G42" s="29">
        <v>94.01</v>
      </c>
      <c r="H42" s="29">
        <v>84.343000000000004</v>
      </c>
      <c r="I42" s="29">
        <v>78.262</v>
      </c>
      <c r="J42" s="29">
        <v>74.52</v>
      </c>
      <c r="K42" s="29">
        <v>71.477999999999994</v>
      </c>
      <c r="M42" s="29">
        <v>66.358000000000004</v>
      </c>
      <c r="N42" s="29">
        <v>61.264000000000003</v>
      </c>
      <c r="O42" s="28">
        <f t="shared" si="25"/>
        <v>57.726833599397722</v>
      </c>
      <c r="P42" s="28">
        <f t="shared" si="25"/>
        <v>54.393890660298929</v>
      </c>
      <c r="Q42" s="28">
        <f t="shared" si="25"/>
        <v>51.253380043270269</v>
      </c>
      <c r="R42" s="58">
        <f>(N42/C42)^(1/10)-1</f>
        <v>-6.2649643870058225E-2</v>
      </c>
      <c r="S42" s="18"/>
      <c r="T42" s="18"/>
      <c r="U42" s="18"/>
      <c r="V42" s="18"/>
      <c r="W42" s="18"/>
      <c r="X42" s="18"/>
      <c r="Y42" s="18"/>
    </row>
    <row r="43" spans="2:26" x14ac:dyDescent="0.55000000000000004">
      <c r="B43" s="86" t="s">
        <v>11</v>
      </c>
      <c r="C43" s="48">
        <f>SUM(C37:C42)</f>
        <v>35842.854999999996</v>
      </c>
      <c r="D43" s="48">
        <f t="shared" ref="D43:Q43" si="26">SUM(D37:D42)</f>
        <v>37590.567999999999</v>
      </c>
      <c r="E43" s="48">
        <f t="shared" si="26"/>
        <v>37606.017</v>
      </c>
      <c r="F43" s="48">
        <f t="shared" si="26"/>
        <v>39890.164999999986</v>
      </c>
      <c r="G43" s="48">
        <f t="shared" si="26"/>
        <v>39442.154999999999</v>
      </c>
      <c r="H43" s="48">
        <f t="shared" si="26"/>
        <v>39039.224999999999</v>
      </c>
      <c r="I43" s="48">
        <f t="shared" si="26"/>
        <v>40200.755000000005</v>
      </c>
      <c r="J43" s="48">
        <f t="shared" si="26"/>
        <v>42555.196999999993</v>
      </c>
      <c r="K43" s="48">
        <f t="shared" si="26"/>
        <v>45128.478000000003</v>
      </c>
      <c r="M43" s="48">
        <f t="shared" si="26"/>
        <v>46447.268999999993</v>
      </c>
      <c r="N43" s="48">
        <f t="shared" si="26"/>
        <v>47556.815999999999</v>
      </c>
      <c r="O43" s="48">
        <f t="shared" si="26"/>
        <v>49089.712918660291</v>
      </c>
      <c r="P43" s="48">
        <f t="shared" si="26"/>
        <v>52913.816397944749</v>
      </c>
      <c r="Q43" s="48">
        <f t="shared" si="26"/>
        <v>57497.642010703537</v>
      </c>
    </row>
    <row r="44" spans="2:26" x14ac:dyDescent="0.55000000000000004">
      <c r="B44" s="26" t="s">
        <v>62</v>
      </c>
      <c r="C44" s="32" t="s">
        <v>199</v>
      </c>
      <c r="D44" s="87"/>
      <c r="E44" s="87"/>
      <c r="F44" s="87"/>
      <c r="G44" s="87"/>
      <c r="H44" s="87"/>
      <c r="I44" s="87"/>
      <c r="J44" s="87"/>
      <c r="K44" s="87"/>
      <c r="M44" s="87"/>
      <c r="N44" s="87"/>
      <c r="O44" s="87"/>
    </row>
    <row r="45" spans="2:26" x14ac:dyDescent="0.55000000000000004">
      <c r="B45" s="26"/>
      <c r="C45" s="32" t="s">
        <v>200</v>
      </c>
      <c r="D45" s="87"/>
      <c r="E45" s="87"/>
      <c r="F45" s="87"/>
      <c r="G45" s="87"/>
      <c r="H45" s="87"/>
      <c r="I45" s="87"/>
      <c r="J45" s="87"/>
      <c r="K45" s="87"/>
      <c r="M45" s="87"/>
      <c r="N45" s="87"/>
      <c r="O45" s="87"/>
    </row>
    <row r="46" spans="2:26" x14ac:dyDescent="0.55000000000000004">
      <c r="B46" s="26"/>
      <c r="C46" s="32" t="s">
        <v>202</v>
      </c>
      <c r="D46" s="87"/>
      <c r="E46" s="87"/>
      <c r="F46" s="87"/>
      <c r="G46" s="87"/>
      <c r="H46" s="87"/>
      <c r="I46" s="87"/>
      <c r="J46" s="87"/>
      <c r="K46" s="87"/>
      <c r="M46" s="87"/>
      <c r="N46" s="87"/>
      <c r="O46" s="87"/>
    </row>
    <row r="47" spans="2:26" x14ac:dyDescent="0.55000000000000004">
      <c r="B47" s="26"/>
      <c r="C47" s="32" t="s">
        <v>201</v>
      </c>
      <c r="D47" s="87"/>
      <c r="E47" s="87"/>
      <c r="F47" s="87"/>
      <c r="G47" s="87"/>
      <c r="H47" s="87"/>
      <c r="I47" s="87"/>
      <c r="J47" s="87"/>
      <c r="K47" s="87"/>
      <c r="M47" s="87"/>
      <c r="N47" s="87"/>
      <c r="O47" s="87"/>
    </row>
    <row r="48" spans="2:26" x14ac:dyDescent="0.55000000000000004">
      <c r="B48" s="27"/>
      <c r="C48" s="87"/>
      <c r="D48" s="87"/>
      <c r="E48" s="87"/>
      <c r="F48" s="87"/>
      <c r="G48" s="87"/>
      <c r="H48" s="87"/>
      <c r="I48" s="87"/>
      <c r="J48" s="87"/>
      <c r="K48" s="87"/>
      <c r="M48" s="87"/>
      <c r="N48" s="87"/>
      <c r="O48" s="87"/>
    </row>
    <row r="49" spans="2:17" x14ac:dyDescent="0.55000000000000004">
      <c r="B49" s="15" t="s">
        <v>110</v>
      </c>
      <c r="C49" s="15">
        <v>2010</v>
      </c>
      <c r="D49" s="15">
        <v>2011</v>
      </c>
      <c r="E49" s="15">
        <v>2012</v>
      </c>
      <c r="F49" s="15">
        <v>2013</v>
      </c>
      <c r="G49" s="15">
        <v>2014</v>
      </c>
      <c r="H49" s="15">
        <v>2015</v>
      </c>
      <c r="I49" s="15">
        <v>2016</v>
      </c>
      <c r="J49" s="15">
        <v>2017</v>
      </c>
      <c r="K49" s="15">
        <v>2018</v>
      </c>
      <c r="M49" s="15">
        <v>2019</v>
      </c>
      <c r="N49" s="15">
        <v>2020</v>
      </c>
      <c r="O49" s="15">
        <v>2021</v>
      </c>
      <c r="P49" s="15">
        <v>2022</v>
      </c>
      <c r="Q49" s="15">
        <v>2023</v>
      </c>
    </row>
    <row r="50" spans="2:17" x14ac:dyDescent="0.55000000000000004">
      <c r="B50" s="82" t="s">
        <v>38</v>
      </c>
      <c r="C50" s="54"/>
      <c r="D50" s="54"/>
      <c r="E50" s="54"/>
      <c r="F50" s="54"/>
      <c r="G50" s="54"/>
      <c r="H50" s="54"/>
      <c r="I50" s="54"/>
      <c r="J50" s="54"/>
      <c r="K50" s="54"/>
      <c r="M50" s="54"/>
      <c r="N50" s="54"/>
      <c r="O50" s="54"/>
      <c r="P50" s="54"/>
      <c r="Q50" s="54"/>
    </row>
    <row r="51" spans="2:17" x14ac:dyDescent="0.55000000000000004">
      <c r="B51" s="27" t="s">
        <v>32</v>
      </c>
      <c r="C51" s="18">
        <v>0</v>
      </c>
      <c r="D51" s="18">
        <v>0</v>
      </c>
      <c r="E51" s="18">
        <v>0</v>
      </c>
      <c r="F51" s="18">
        <v>0</v>
      </c>
      <c r="G51" s="18">
        <v>0</v>
      </c>
      <c r="H51" s="18">
        <v>0</v>
      </c>
      <c r="I51" s="18">
        <v>0</v>
      </c>
      <c r="J51" s="18">
        <v>0</v>
      </c>
      <c r="K51" s="18">
        <v>0</v>
      </c>
      <c r="M51" s="18">
        <v>0</v>
      </c>
      <c r="N51" s="18">
        <v>0</v>
      </c>
      <c r="O51" s="18">
        <v>0</v>
      </c>
      <c r="P51" s="18">
        <v>0</v>
      </c>
      <c r="Q51" s="18">
        <v>0</v>
      </c>
    </row>
    <row r="52" spans="2:17" x14ac:dyDescent="0.55000000000000004">
      <c r="B52" s="27" t="s">
        <v>33</v>
      </c>
      <c r="C52" s="18">
        <v>0</v>
      </c>
      <c r="D52" s="18">
        <v>0</v>
      </c>
      <c r="E52" s="18">
        <v>0</v>
      </c>
      <c r="F52" s="18">
        <v>0</v>
      </c>
      <c r="G52" s="18">
        <v>0</v>
      </c>
      <c r="H52" s="18">
        <v>0</v>
      </c>
      <c r="I52" s="18">
        <v>0</v>
      </c>
      <c r="J52" s="18">
        <v>0</v>
      </c>
      <c r="K52" s="18">
        <v>0</v>
      </c>
      <c r="M52" s="18">
        <v>0</v>
      </c>
      <c r="N52" s="18">
        <v>0</v>
      </c>
      <c r="O52" s="18">
        <v>0</v>
      </c>
      <c r="P52" s="18">
        <v>0</v>
      </c>
      <c r="Q52" s="18">
        <v>0</v>
      </c>
    </row>
    <row r="53" spans="2:17" x14ac:dyDescent="0.55000000000000004">
      <c r="B53" s="27" t="s">
        <v>34</v>
      </c>
      <c r="C53" s="18">
        <f t="shared" ref="C53:K53" si="27">(C33-SUM(C55:C56))*(C39-C69)/SUM((C39-C69),C40)</f>
        <v>26500.243991084575</v>
      </c>
      <c r="D53" s="18">
        <f t="shared" si="27"/>
        <v>26611.059237092395</v>
      </c>
      <c r="E53" s="18">
        <f t="shared" si="27"/>
        <v>25284.457894062241</v>
      </c>
      <c r="F53" s="18">
        <f t="shared" si="27"/>
        <v>23399.9184875883</v>
      </c>
      <c r="G53" s="18">
        <f t="shared" si="27"/>
        <v>19383.284191355171</v>
      </c>
      <c r="H53" s="18">
        <f t="shared" si="27"/>
        <v>17108.083690332089</v>
      </c>
      <c r="I53" s="18">
        <f t="shared" si="27"/>
        <v>14516.920635822626</v>
      </c>
      <c r="J53" s="18">
        <f t="shared" si="27"/>
        <v>12557.570113183616</v>
      </c>
      <c r="K53" s="18">
        <f t="shared" si="27"/>
        <v>10941.402012410888</v>
      </c>
      <c r="M53" s="18">
        <f>(M33-SUM(M55:M56))*(M39-M69)/SUM((M39-M69),M40)</f>
        <v>9437.0336755585358</v>
      </c>
      <c r="N53" s="18">
        <f>(N33-SUM(N55:N56))*(N39-N69)/SUM((N39-N69),N40)</f>
        <v>7928.5111388450005</v>
      </c>
      <c r="O53" s="18">
        <f>(O33-SUM(O55:O56))*(O39-O69)/SUM((O39-O69),O40)</f>
        <v>6464.8502736383425</v>
      </c>
      <c r="P53" s="18">
        <f t="shared" ref="P53:Q53" si="28">(P33-SUM(P55:P56))*(P39-P69)/SUM((P39-P69),P40)</f>
        <v>5532.6506908769061</v>
      </c>
      <c r="Q53" s="18">
        <f t="shared" si="28"/>
        <v>4741.8298936418641</v>
      </c>
    </row>
    <row r="54" spans="2:17" x14ac:dyDescent="0.55000000000000004">
      <c r="B54" s="27" t="s">
        <v>35</v>
      </c>
      <c r="C54" s="18">
        <f t="shared" ref="C54:K54" si="29">(C33-SUM(C55:C56))*C40/SUM((C39-C69),C40)</f>
        <v>5302.89886605828</v>
      </c>
      <c r="D54" s="18">
        <f t="shared" si="29"/>
        <v>5042.0015209721232</v>
      </c>
      <c r="E54" s="18">
        <f t="shared" si="29"/>
        <v>4393.3971647612943</v>
      </c>
      <c r="F54" s="18">
        <f t="shared" si="29"/>
        <v>3972.7932961954903</v>
      </c>
      <c r="G54" s="18">
        <f t="shared" si="29"/>
        <v>3285.5028086448269</v>
      </c>
      <c r="H54" s="18">
        <f t="shared" si="29"/>
        <v>2955.5282187588209</v>
      </c>
      <c r="I54" s="18">
        <f t="shared" si="29"/>
        <v>2697.9095308440424</v>
      </c>
      <c r="J54" s="18">
        <f t="shared" si="29"/>
        <v>2565.5370808462367</v>
      </c>
      <c r="K54" s="18">
        <f t="shared" si="29"/>
        <v>2510.957271372898</v>
      </c>
      <c r="M54" s="18">
        <f>(M33-SUM(M55:M56))*M40/SUM((M39-M69),M40)</f>
        <v>2312.5845590093681</v>
      </c>
      <c r="N54" s="18">
        <f>(N33-SUM(N55:N56))*N40/SUM((N39-N69),N40)</f>
        <v>2051.5672702459101</v>
      </c>
      <c r="O54" s="18">
        <f>(O33-SUM(O55:O56))*O40/SUM((O39-O69),O40)</f>
        <v>1906.5845683285186</v>
      </c>
      <c r="P54" s="18">
        <f t="shared" ref="P54:Q54" si="30">(P33-SUM(P55:P56))*P40/SUM((P39-P69),P40)</f>
        <v>1715.0524286505311</v>
      </c>
      <c r="Q54" s="18">
        <f t="shared" si="30"/>
        <v>1531.3637136763764</v>
      </c>
    </row>
    <row r="55" spans="2:17" x14ac:dyDescent="0.55000000000000004">
      <c r="B55" s="43" t="s">
        <v>3</v>
      </c>
      <c r="C55" s="28">
        <f t="shared" ref="C55:K55" si="31">C41-C63</f>
        <v>495.5</v>
      </c>
      <c r="D55" s="28">
        <f t="shared" si="31"/>
        <v>422.78649999999999</v>
      </c>
      <c r="E55" s="28">
        <f t="shared" si="31"/>
        <v>389.06700000000001</v>
      </c>
      <c r="F55" s="28">
        <f t="shared" si="31"/>
        <v>360.02699999999999</v>
      </c>
      <c r="G55" s="28">
        <f t="shared" si="31"/>
        <v>334.20800000000003</v>
      </c>
      <c r="H55" s="28">
        <f t="shared" si="31"/>
        <v>303.3075</v>
      </c>
      <c r="I55" s="28">
        <f t="shared" si="31"/>
        <v>287.70549999999997</v>
      </c>
      <c r="J55" s="28">
        <f t="shared" si="31"/>
        <v>287.39400000000001</v>
      </c>
      <c r="K55" s="28">
        <f t="shared" si="31"/>
        <v>295.68549999999999</v>
      </c>
      <c r="M55" s="28">
        <f t="shared" ref="M55:O56" si="32">M41-M63</f>
        <v>285.10399999999998</v>
      </c>
      <c r="N55" s="28">
        <f t="shared" si="32"/>
        <v>273.38049999999998</v>
      </c>
      <c r="O55" s="28">
        <f t="shared" si="32"/>
        <v>257.59647807554433</v>
      </c>
      <c r="P55" s="28">
        <f t="shared" ref="P55:Q55" si="33">P41-P63</f>
        <v>242.72376967971158</v>
      </c>
      <c r="Q55" s="28">
        <f t="shared" si="33"/>
        <v>228.70975879667091</v>
      </c>
    </row>
    <row r="56" spans="2:17" x14ac:dyDescent="0.55000000000000004">
      <c r="B56" s="80" t="s">
        <v>4</v>
      </c>
      <c r="C56" s="29">
        <f t="shared" ref="C56:K56" si="34">C42-C64</f>
        <v>58.5</v>
      </c>
      <c r="D56" s="29">
        <f t="shared" si="34"/>
        <v>53.185000000000002</v>
      </c>
      <c r="E56" s="29">
        <f t="shared" si="34"/>
        <v>50.725000000000001</v>
      </c>
      <c r="F56" s="29">
        <f t="shared" si="34"/>
        <v>51.045000000000002</v>
      </c>
      <c r="G56" s="29">
        <f t="shared" si="34"/>
        <v>47.005000000000003</v>
      </c>
      <c r="H56" s="29">
        <f t="shared" si="34"/>
        <v>42.171500000000002</v>
      </c>
      <c r="I56" s="29">
        <f t="shared" si="34"/>
        <v>39.131</v>
      </c>
      <c r="J56" s="29">
        <f t="shared" si="34"/>
        <v>37.26</v>
      </c>
      <c r="K56" s="29">
        <f t="shared" si="34"/>
        <v>35.738999999999997</v>
      </c>
      <c r="M56" s="29">
        <f t="shared" si="32"/>
        <v>33.179000000000002</v>
      </c>
      <c r="N56" s="29">
        <f t="shared" si="32"/>
        <v>30.632000000000001</v>
      </c>
      <c r="O56" s="29">
        <f t="shared" si="32"/>
        <v>28.863416799698861</v>
      </c>
      <c r="P56" s="29">
        <f t="shared" ref="P56:Q56" si="35">P42-P64</f>
        <v>27.196945330149465</v>
      </c>
      <c r="Q56" s="29">
        <f t="shared" si="35"/>
        <v>25.626690021635135</v>
      </c>
    </row>
    <row r="57" spans="2:17" x14ac:dyDescent="0.55000000000000004">
      <c r="B57" s="10" t="s">
        <v>8</v>
      </c>
      <c r="C57" s="48">
        <f>SUM(C51:C56)</f>
        <v>32357.142857142855</v>
      </c>
      <c r="D57" s="48">
        <f t="shared" ref="D57:O57" si="36">SUM(D51:D56)</f>
        <v>32129.032258064519</v>
      </c>
      <c r="E57" s="48">
        <f t="shared" si="36"/>
        <v>30117.647058823535</v>
      </c>
      <c r="F57" s="48">
        <f t="shared" si="36"/>
        <v>27783.783783783787</v>
      </c>
      <c r="G57" s="48">
        <f t="shared" si="36"/>
        <v>23049.999999999996</v>
      </c>
      <c r="H57" s="48">
        <f t="shared" si="36"/>
        <v>20409.090909090908</v>
      </c>
      <c r="I57" s="48">
        <f t="shared" si="36"/>
        <v>17541.666666666668</v>
      </c>
      <c r="J57" s="48">
        <f t="shared" si="36"/>
        <v>15447.761194029854</v>
      </c>
      <c r="K57" s="48">
        <f t="shared" si="36"/>
        <v>13783.783783783785</v>
      </c>
      <c r="M57" s="48">
        <f t="shared" si="36"/>
        <v>12067.901234567904</v>
      </c>
      <c r="N57" s="48">
        <f t="shared" si="36"/>
        <v>10284.09090909091</v>
      </c>
      <c r="O57" s="48">
        <f t="shared" si="36"/>
        <v>8657.8947368421032</v>
      </c>
      <c r="P57" s="48">
        <f t="shared" ref="P57:Q57" si="37">SUM(P51:P56)</f>
        <v>7517.6238345372994</v>
      </c>
      <c r="Q57" s="48">
        <f t="shared" si="37"/>
        <v>6527.5300561365466</v>
      </c>
    </row>
    <row r="58" spans="2:17" x14ac:dyDescent="0.55000000000000004">
      <c r="B58" s="82" t="s">
        <v>39</v>
      </c>
      <c r="C58" s="54"/>
      <c r="D58" s="54"/>
      <c r="E58" s="54"/>
      <c r="F58" s="54"/>
      <c r="G58" s="54"/>
      <c r="H58" s="54"/>
      <c r="I58" s="54"/>
      <c r="J58" s="54"/>
      <c r="K58" s="54"/>
      <c r="M58" s="54"/>
      <c r="N58" s="54"/>
      <c r="O58" s="54"/>
      <c r="P58" s="54"/>
      <c r="Q58" s="54"/>
    </row>
    <row r="59" spans="2:17" x14ac:dyDescent="0.55000000000000004">
      <c r="B59" s="27" t="s">
        <v>32</v>
      </c>
      <c r="C59" s="18">
        <v>0</v>
      </c>
      <c r="D59" s="18">
        <v>0</v>
      </c>
      <c r="E59" s="18">
        <v>0</v>
      </c>
      <c r="F59" s="18">
        <v>0</v>
      </c>
      <c r="G59" s="18">
        <v>0</v>
      </c>
      <c r="H59" s="18">
        <v>0</v>
      </c>
      <c r="I59" s="18">
        <v>0</v>
      </c>
      <c r="J59" s="18">
        <v>0</v>
      </c>
      <c r="K59" s="18">
        <v>0</v>
      </c>
      <c r="M59" s="18">
        <v>0</v>
      </c>
      <c r="N59" s="18">
        <v>0</v>
      </c>
      <c r="O59" s="18">
        <v>0</v>
      </c>
      <c r="P59" s="18">
        <v>0</v>
      </c>
      <c r="Q59" s="18">
        <v>0</v>
      </c>
    </row>
    <row r="60" spans="2:17" x14ac:dyDescent="0.55000000000000004">
      <c r="B60" s="27" t="s">
        <v>33</v>
      </c>
      <c r="C60" s="18">
        <v>0</v>
      </c>
      <c r="D60" s="18">
        <v>0</v>
      </c>
      <c r="E60" s="18">
        <v>0</v>
      </c>
      <c r="F60" s="18">
        <v>0</v>
      </c>
      <c r="G60" s="18">
        <v>0</v>
      </c>
      <c r="H60" s="18">
        <v>0</v>
      </c>
      <c r="I60" s="18">
        <v>0</v>
      </c>
      <c r="J60" s="18">
        <v>0</v>
      </c>
      <c r="K60" s="18">
        <v>0</v>
      </c>
      <c r="M60" s="18">
        <v>0</v>
      </c>
      <c r="N60" s="18">
        <v>0</v>
      </c>
      <c r="O60" s="18">
        <v>0</v>
      </c>
      <c r="P60" s="18">
        <v>0</v>
      </c>
      <c r="Q60" s="18">
        <v>0</v>
      </c>
    </row>
    <row r="61" spans="2:17" x14ac:dyDescent="0.55000000000000004">
      <c r="B61" s="27" t="s">
        <v>34</v>
      </c>
      <c r="C61" s="18">
        <f t="shared" ref="C61:K61" si="38">C39-C69-C53</f>
        <v>152.12386605828215</v>
      </c>
      <c r="D61" s="18">
        <f t="shared" si="38"/>
        <v>1249.1966289125703</v>
      </c>
      <c r="E61" s="18">
        <f t="shared" si="38"/>
        <v>2330.2637092209334</v>
      </c>
      <c r="F61" s="18">
        <f t="shared" si="38"/>
        <v>5513.6545831420008</v>
      </c>
      <c r="G61" s="18">
        <f t="shared" si="38"/>
        <v>7832.257161586007</v>
      </c>
      <c r="H61" s="18">
        <f t="shared" si="38"/>
        <v>8600.6084516355331</v>
      </c>
      <c r="I61" s="18">
        <f t="shared" si="38"/>
        <v>9679.2068187228324</v>
      </c>
      <c r="J61" s="18">
        <f t="shared" si="38"/>
        <v>10931.741139437576</v>
      </c>
      <c r="K61" s="18">
        <f t="shared" si="38"/>
        <v>11276.571301266422</v>
      </c>
      <c r="M61" s="18">
        <f>M39-M69-M53</f>
        <v>10942.724704308503</v>
      </c>
      <c r="N61" s="18">
        <f>N39-N69-N53</f>
        <v>11234.437133882266</v>
      </c>
      <c r="O61" s="18">
        <f>O39-O69-O53</f>
        <v>10910.218010826477</v>
      </c>
      <c r="P61" s="18">
        <f t="shared" ref="P61:Q61" si="39">P39-P69-P53</f>
        <v>12311.809817535594</v>
      </c>
      <c r="Q61" s="18">
        <f t="shared" si="39"/>
        <v>13895.790189057927</v>
      </c>
    </row>
    <row r="62" spans="2:17" x14ac:dyDescent="0.55000000000000004">
      <c r="B62" s="27" t="s">
        <v>35</v>
      </c>
      <c r="C62" s="18">
        <f t="shared" ref="C62:K62" si="40">C40-C54</f>
        <v>30.441133941720182</v>
      </c>
      <c r="D62" s="18">
        <f t="shared" si="40"/>
        <v>236.68547902787668</v>
      </c>
      <c r="E62" s="18">
        <f t="shared" si="40"/>
        <v>404.90383523870605</v>
      </c>
      <c r="F62" s="18">
        <f t="shared" si="40"/>
        <v>936.09770380450936</v>
      </c>
      <c r="G62" s="18">
        <f t="shared" si="40"/>
        <v>1327.5821913551731</v>
      </c>
      <c r="H62" s="18">
        <f t="shared" si="40"/>
        <v>1485.8087812411795</v>
      </c>
      <c r="I62" s="18">
        <f t="shared" si="40"/>
        <v>1798.8404691559576</v>
      </c>
      <c r="J62" s="18">
        <f t="shared" si="40"/>
        <v>2233.3769191537631</v>
      </c>
      <c r="K62" s="18">
        <f t="shared" si="40"/>
        <v>2587.8757286271016</v>
      </c>
      <c r="M62" s="18">
        <f>M40-M54</f>
        <v>2681.5604409906323</v>
      </c>
      <c r="N62" s="18">
        <f>N40-N54</f>
        <v>2907.0027297540896</v>
      </c>
      <c r="O62" s="18">
        <f>O40-O54</f>
        <v>3217.5924292265036</v>
      </c>
      <c r="P62" s="18">
        <f t="shared" ref="P62:Q62" si="41">P40-P54</f>
        <v>3816.5068623374732</v>
      </c>
      <c r="Q62" s="18">
        <f t="shared" si="41"/>
        <v>4487.6154028461397</v>
      </c>
    </row>
    <row r="63" spans="2:17" x14ac:dyDescent="0.55000000000000004">
      <c r="B63" s="43" t="s">
        <v>3</v>
      </c>
      <c r="C63" s="28">
        <f t="shared" ref="C63:K63" si="42">50%*C41</f>
        <v>495.5</v>
      </c>
      <c r="D63" s="28">
        <f t="shared" si="42"/>
        <v>422.78649999999999</v>
      </c>
      <c r="E63" s="28">
        <f t="shared" si="42"/>
        <v>389.06700000000001</v>
      </c>
      <c r="F63" s="28">
        <f t="shared" si="42"/>
        <v>360.02699999999999</v>
      </c>
      <c r="G63" s="28">
        <f t="shared" si="42"/>
        <v>334.20800000000003</v>
      </c>
      <c r="H63" s="28">
        <f t="shared" si="42"/>
        <v>303.3075</v>
      </c>
      <c r="I63" s="28">
        <f t="shared" si="42"/>
        <v>287.70549999999997</v>
      </c>
      <c r="J63" s="28">
        <f t="shared" si="42"/>
        <v>287.39400000000001</v>
      </c>
      <c r="K63" s="28">
        <f t="shared" si="42"/>
        <v>295.68549999999999</v>
      </c>
      <c r="M63" s="28">
        <f t="shared" ref="M63:O64" si="43">50%*M41</f>
        <v>285.10399999999998</v>
      </c>
      <c r="N63" s="28">
        <f t="shared" si="43"/>
        <v>273.38049999999998</v>
      </c>
      <c r="O63" s="28">
        <f t="shared" si="43"/>
        <v>257.59647807554433</v>
      </c>
      <c r="P63" s="28">
        <f t="shared" ref="P63:Q63" si="44">50%*P41</f>
        <v>242.72376967971158</v>
      </c>
      <c r="Q63" s="28">
        <f t="shared" si="44"/>
        <v>228.70975879667091</v>
      </c>
    </row>
    <row r="64" spans="2:17" x14ac:dyDescent="0.55000000000000004">
      <c r="B64" s="80" t="s">
        <v>4</v>
      </c>
      <c r="C64" s="29">
        <f t="shared" ref="C64:K64" si="45">50%*C42</f>
        <v>58.5</v>
      </c>
      <c r="D64" s="29">
        <f t="shared" si="45"/>
        <v>53.185000000000002</v>
      </c>
      <c r="E64" s="29">
        <f t="shared" si="45"/>
        <v>50.725000000000001</v>
      </c>
      <c r="F64" s="29">
        <f t="shared" si="45"/>
        <v>51.045000000000002</v>
      </c>
      <c r="G64" s="29">
        <f t="shared" si="45"/>
        <v>47.005000000000003</v>
      </c>
      <c r="H64" s="29">
        <f t="shared" si="45"/>
        <v>42.171500000000002</v>
      </c>
      <c r="I64" s="29">
        <f t="shared" si="45"/>
        <v>39.131</v>
      </c>
      <c r="J64" s="29">
        <f t="shared" si="45"/>
        <v>37.26</v>
      </c>
      <c r="K64" s="29">
        <f t="shared" si="45"/>
        <v>35.738999999999997</v>
      </c>
      <c r="M64" s="29">
        <f t="shared" si="43"/>
        <v>33.179000000000002</v>
      </c>
      <c r="N64" s="29">
        <f t="shared" si="43"/>
        <v>30.632000000000001</v>
      </c>
      <c r="O64" s="29">
        <f t="shared" si="43"/>
        <v>28.863416799698861</v>
      </c>
      <c r="P64" s="29">
        <f t="shared" ref="P64:Q64" si="46">50%*P42</f>
        <v>27.196945330149465</v>
      </c>
      <c r="Q64" s="29">
        <f t="shared" si="46"/>
        <v>25.626690021635135</v>
      </c>
    </row>
    <row r="65" spans="2:17" x14ac:dyDescent="0.55000000000000004">
      <c r="B65" s="10" t="s">
        <v>120</v>
      </c>
      <c r="C65" s="48">
        <f>SUM(C59:C64)</f>
        <v>736.56500000000233</v>
      </c>
      <c r="D65" s="48">
        <f t="shared" ref="D65" si="47">SUM(D59:D64)</f>
        <v>1961.8536079404469</v>
      </c>
      <c r="E65" s="48">
        <f t="shared" ref="E65" si="48">SUM(E59:E64)</f>
        <v>3174.9595444596393</v>
      </c>
      <c r="F65" s="48">
        <f t="shared" ref="F65" si="49">SUM(F59:F64)</f>
        <v>6860.8242869465103</v>
      </c>
      <c r="G65" s="48">
        <f t="shared" ref="G65" si="50">SUM(G59:G64)</f>
        <v>9541.0523529411803</v>
      </c>
      <c r="H65" s="48">
        <f t="shared" ref="H65" si="51">SUM(H59:H64)</f>
        <v>10431.896232876714</v>
      </c>
      <c r="I65" s="48">
        <f t="shared" ref="I65" si="52">SUM(I59:I64)</f>
        <v>11804.883787878789</v>
      </c>
      <c r="J65" s="48">
        <f t="shared" ref="J65" si="53">SUM(J59:J64)</f>
        <v>13489.772058591339</v>
      </c>
      <c r="K65" s="48">
        <f t="shared" ref="K65" si="54">SUM(K59:K64)</f>
        <v>14195.871529893522</v>
      </c>
      <c r="M65" s="48">
        <f t="shared" ref="M65" si="55">SUM(M59:M64)</f>
        <v>13942.568145299134</v>
      </c>
      <c r="N65" s="48">
        <f t="shared" ref="N65" si="56">SUM(N59:N64)</f>
        <v>14445.452363636354</v>
      </c>
      <c r="O65" s="48">
        <f t="shared" ref="O65:Q65" si="57">SUM(O59:O64)</f>
        <v>14414.270334928224</v>
      </c>
      <c r="P65" s="48">
        <f t="shared" si="57"/>
        <v>16398.237394882926</v>
      </c>
      <c r="Q65" s="48">
        <f t="shared" si="57"/>
        <v>18637.742040722373</v>
      </c>
    </row>
    <row r="66" spans="2:17" x14ac:dyDescent="0.55000000000000004">
      <c r="B66" s="82" t="s">
        <v>40</v>
      </c>
      <c r="C66" s="54"/>
      <c r="D66" s="54"/>
      <c r="E66" s="54"/>
      <c r="F66" s="54"/>
      <c r="G66" s="54"/>
      <c r="H66" s="54"/>
      <c r="I66" s="54"/>
      <c r="J66" s="54"/>
      <c r="K66" s="54"/>
      <c r="M66" s="54"/>
      <c r="N66" s="54"/>
      <c r="O66" s="54"/>
      <c r="P66" s="54"/>
      <c r="Q66" s="54"/>
    </row>
    <row r="67" spans="2:17" x14ac:dyDescent="0.55000000000000004">
      <c r="B67" s="27" t="s">
        <v>32</v>
      </c>
      <c r="C67" s="18">
        <f t="shared" ref="C67:K67" si="58">C37</f>
        <v>1175.2619999999999</v>
      </c>
      <c r="D67" s="18">
        <f t="shared" si="58"/>
        <v>1883.174</v>
      </c>
      <c r="E67" s="18">
        <f t="shared" si="58"/>
        <v>2754.2339999999999</v>
      </c>
      <c r="F67" s="18">
        <f t="shared" si="58"/>
        <v>3892.8679999999999</v>
      </c>
      <c r="G67" s="18">
        <f t="shared" si="58"/>
        <v>5558.0879999999997</v>
      </c>
      <c r="H67" s="18">
        <f t="shared" si="58"/>
        <v>7067.8670000000002</v>
      </c>
      <c r="I67" s="18">
        <f t="shared" si="58"/>
        <v>9876.8770000000004</v>
      </c>
      <c r="J67" s="18">
        <f t="shared" si="58"/>
        <v>12898.749</v>
      </c>
      <c r="K67" s="18">
        <f t="shared" si="58"/>
        <v>16779.045999999998</v>
      </c>
      <c r="M67" s="18">
        <f t="shared" ref="M67:O68" si="59">M37</f>
        <v>20212.260999999999</v>
      </c>
      <c r="N67" s="18">
        <f t="shared" si="59"/>
        <v>22674.492999999999</v>
      </c>
      <c r="O67" s="18">
        <f t="shared" si="59"/>
        <v>23431.778811597371</v>
      </c>
      <c r="P67" s="18">
        <f t="shared" ref="P67:Q67" si="60">P37</f>
        <v>25294.651970748109</v>
      </c>
      <c r="Q67" s="18">
        <f t="shared" si="60"/>
        <v>27523.519854461261</v>
      </c>
    </row>
    <row r="68" spans="2:17" x14ac:dyDescent="0.55000000000000004">
      <c r="B68" s="27" t="s">
        <v>33</v>
      </c>
      <c r="C68" s="18">
        <f t="shared" ref="C68:K68" si="61">C38</f>
        <v>199.73699999999999</v>
      </c>
      <c r="D68" s="18">
        <f t="shared" si="61"/>
        <v>296.666</v>
      </c>
      <c r="E68" s="18">
        <f t="shared" si="61"/>
        <v>400.41</v>
      </c>
      <c r="F68" s="18">
        <f t="shared" si="61"/>
        <v>397.404</v>
      </c>
      <c r="G68" s="18">
        <f t="shared" si="61"/>
        <v>477.96100000000001</v>
      </c>
      <c r="H68" s="18">
        <f t="shared" si="61"/>
        <v>508.46699999999998</v>
      </c>
      <c r="I68" s="18">
        <f t="shared" si="61"/>
        <v>462.55599999999998</v>
      </c>
      <c r="J68" s="18">
        <f t="shared" si="61"/>
        <v>319.75</v>
      </c>
      <c r="K68" s="18">
        <f t="shared" si="61"/>
        <v>61.332999999999998</v>
      </c>
      <c r="M68" s="18">
        <f t="shared" si="59"/>
        <v>0</v>
      </c>
      <c r="N68" s="18">
        <f t="shared" si="59"/>
        <v>0</v>
      </c>
      <c r="O68" s="18">
        <f t="shared" si="59"/>
        <v>0</v>
      </c>
      <c r="P68" s="18">
        <f t="shared" ref="P68:Q68" si="62">P38</f>
        <v>0</v>
      </c>
      <c r="Q68" s="18">
        <f t="shared" si="62"/>
        <v>0</v>
      </c>
    </row>
    <row r="69" spans="2:17" x14ac:dyDescent="0.55000000000000004">
      <c r="B69" s="27" t="s">
        <v>34</v>
      </c>
      <c r="C69" s="18">
        <f t="shared" ref="C69:K69" si="63">C35-SUM(C67:C68)</f>
        <v>1374.1481428571426</v>
      </c>
      <c r="D69" s="18">
        <f t="shared" si="63"/>
        <v>1319.8421339950378</v>
      </c>
      <c r="E69" s="18">
        <f t="shared" si="63"/>
        <v>1158.7663967168269</v>
      </c>
      <c r="F69" s="18">
        <f t="shared" si="63"/>
        <v>955.28492926969739</v>
      </c>
      <c r="G69" s="18">
        <f t="shared" si="63"/>
        <v>815.05364705882221</v>
      </c>
      <c r="H69" s="18">
        <f t="shared" si="63"/>
        <v>621.90385803237859</v>
      </c>
      <c r="I69" s="18">
        <f t="shared" si="63"/>
        <v>514.77154545454505</v>
      </c>
      <c r="J69" s="18">
        <f t="shared" si="63"/>
        <v>399.1647473788089</v>
      </c>
      <c r="K69" s="18">
        <f t="shared" si="63"/>
        <v>308.44368632269106</v>
      </c>
      <c r="M69" s="18">
        <f>M35-SUM(M67:M68)</f>
        <v>224.5386201329602</v>
      </c>
      <c r="N69" s="18">
        <f>N35-SUM(N67:N68)</f>
        <v>152.779727272733</v>
      </c>
      <c r="O69" s="18">
        <f>O35-SUM(O67:O68)</f>
        <v>2585.7690352925856</v>
      </c>
      <c r="P69" s="18">
        <f t="shared" ref="P69:Q69" si="64">P35-SUM(P67:P68)</f>
        <v>3703.3031977764076</v>
      </c>
      <c r="Q69" s="18">
        <f t="shared" si="64"/>
        <v>4808.8500593833523</v>
      </c>
    </row>
    <row r="70" spans="2:17" x14ac:dyDescent="0.55000000000000004">
      <c r="B70" s="27" t="s">
        <v>35</v>
      </c>
      <c r="C70" s="18">
        <v>0</v>
      </c>
      <c r="D70" s="18">
        <v>0</v>
      </c>
      <c r="E70" s="18">
        <v>0</v>
      </c>
      <c r="F70" s="18">
        <v>0</v>
      </c>
      <c r="G70" s="18">
        <v>0</v>
      </c>
      <c r="H70" s="18">
        <v>0</v>
      </c>
      <c r="I70" s="18">
        <v>0</v>
      </c>
      <c r="J70" s="18">
        <v>0</v>
      </c>
      <c r="K70" s="18">
        <v>0</v>
      </c>
      <c r="M70" s="18">
        <v>0</v>
      </c>
      <c r="N70" s="18">
        <v>0</v>
      </c>
      <c r="O70" s="18">
        <v>0</v>
      </c>
      <c r="P70" s="18">
        <v>0</v>
      </c>
      <c r="Q70" s="18">
        <v>0</v>
      </c>
    </row>
    <row r="71" spans="2:17" x14ac:dyDescent="0.55000000000000004">
      <c r="B71" s="43" t="s">
        <v>3</v>
      </c>
      <c r="C71" s="28">
        <v>0</v>
      </c>
      <c r="D71" s="28">
        <v>0</v>
      </c>
      <c r="E71" s="28">
        <v>0</v>
      </c>
      <c r="F71" s="28">
        <v>0</v>
      </c>
      <c r="G71" s="28">
        <v>0</v>
      </c>
      <c r="H71" s="28">
        <v>0</v>
      </c>
      <c r="I71" s="28">
        <v>0</v>
      </c>
      <c r="J71" s="28">
        <v>0</v>
      </c>
      <c r="K71" s="28">
        <v>0</v>
      </c>
      <c r="M71" s="28">
        <v>0</v>
      </c>
      <c r="N71" s="28">
        <v>0</v>
      </c>
      <c r="O71" s="28">
        <v>0</v>
      </c>
      <c r="P71" s="28">
        <v>0</v>
      </c>
      <c r="Q71" s="28">
        <v>0</v>
      </c>
    </row>
    <row r="72" spans="2:17" x14ac:dyDescent="0.55000000000000004">
      <c r="B72" s="80" t="s">
        <v>4</v>
      </c>
      <c r="C72" s="29">
        <v>0</v>
      </c>
      <c r="D72" s="29">
        <v>0</v>
      </c>
      <c r="E72" s="29">
        <v>0</v>
      </c>
      <c r="F72" s="29">
        <v>0</v>
      </c>
      <c r="G72" s="29">
        <v>0</v>
      </c>
      <c r="H72" s="29">
        <v>0</v>
      </c>
      <c r="I72" s="29">
        <v>0</v>
      </c>
      <c r="J72" s="29">
        <v>0</v>
      </c>
      <c r="K72" s="29">
        <v>0</v>
      </c>
      <c r="M72" s="29">
        <v>0</v>
      </c>
      <c r="N72" s="29">
        <v>0</v>
      </c>
      <c r="O72" s="29">
        <v>0</v>
      </c>
      <c r="P72" s="29">
        <v>0</v>
      </c>
      <c r="Q72" s="29">
        <v>0</v>
      </c>
    </row>
    <row r="73" spans="2:17" x14ac:dyDescent="0.55000000000000004">
      <c r="B73" s="10" t="s">
        <v>24</v>
      </c>
      <c r="C73" s="48">
        <f>SUM(C67:C72)</f>
        <v>2749.1471428571426</v>
      </c>
      <c r="D73" s="48">
        <f t="shared" ref="D73" si="65">SUM(D67:D72)</f>
        <v>3499.6821339950379</v>
      </c>
      <c r="E73" s="48">
        <f t="shared" ref="E73" si="66">SUM(E67:E72)</f>
        <v>4313.4103967168267</v>
      </c>
      <c r="F73" s="48">
        <f t="shared" ref="F73" si="67">SUM(F67:F72)</f>
        <v>5245.5569292696973</v>
      </c>
      <c r="G73" s="48">
        <f t="shared" ref="G73" si="68">SUM(G67:G72)</f>
        <v>6851.1026470588222</v>
      </c>
      <c r="H73" s="48">
        <f t="shared" ref="H73" si="69">SUM(H67:H72)</f>
        <v>8198.2378580323784</v>
      </c>
      <c r="I73" s="48">
        <f t="shared" ref="I73" si="70">SUM(I67:I72)</f>
        <v>10854.204545454546</v>
      </c>
      <c r="J73" s="48">
        <f t="shared" ref="J73" si="71">SUM(J67:J72)</f>
        <v>13617.663747378809</v>
      </c>
      <c r="K73" s="48">
        <f t="shared" ref="K73" si="72">SUM(K67:K72)</f>
        <v>17148.822686322688</v>
      </c>
      <c r="M73" s="48">
        <f t="shared" ref="M73" si="73">SUM(M67:M72)</f>
        <v>20436.799620132959</v>
      </c>
      <c r="N73" s="48">
        <f t="shared" ref="N73" si="74">SUM(N67:N72)</f>
        <v>22827.272727272732</v>
      </c>
      <c r="O73" s="48">
        <f t="shared" ref="O73:Q73" si="75">SUM(O67:O72)</f>
        <v>26017.547846889956</v>
      </c>
      <c r="P73" s="48">
        <f t="shared" si="75"/>
        <v>28997.955168524517</v>
      </c>
      <c r="Q73" s="48">
        <f t="shared" si="75"/>
        <v>32332.369913844614</v>
      </c>
    </row>
    <row r="74" spans="2:17" x14ac:dyDescent="0.55000000000000004">
      <c r="B74" s="10" t="s">
        <v>11</v>
      </c>
      <c r="C74" s="48">
        <f>C57+C65+C73</f>
        <v>35842.855000000003</v>
      </c>
      <c r="D74" s="48">
        <f t="shared" ref="D74:O74" si="76">D57+D65+D73</f>
        <v>37590.568000000007</v>
      </c>
      <c r="E74" s="48">
        <f t="shared" si="76"/>
        <v>37606.017</v>
      </c>
      <c r="F74" s="48">
        <f t="shared" si="76"/>
        <v>39890.164999999994</v>
      </c>
      <c r="G74" s="48">
        <f t="shared" si="76"/>
        <v>39442.154999999999</v>
      </c>
      <c r="H74" s="48">
        <f t="shared" si="76"/>
        <v>39039.224999999999</v>
      </c>
      <c r="I74" s="48">
        <f t="shared" si="76"/>
        <v>40200.755000000005</v>
      </c>
      <c r="J74" s="48">
        <f t="shared" si="76"/>
        <v>42555.197</v>
      </c>
      <c r="K74" s="48">
        <f t="shared" si="76"/>
        <v>45128.477999999996</v>
      </c>
      <c r="M74" s="48">
        <f t="shared" si="76"/>
        <v>46447.269</v>
      </c>
      <c r="N74" s="48">
        <f t="shared" si="76"/>
        <v>47556.815999999992</v>
      </c>
      <c r="O74" s="48">
        <f t="shared" si="76"/>
        <v>49089.712918660283</v>
      </c>
      <c r="P74" s="48">
        <f t="shared" ref="P74:Q74" si="77">P57+P65+P73</f>
        <v>52913.816397944742</v>
      </c>
      <c r="Q74" s="48">
        <f t="shared" si="77"/>
        <v>57497.642010703537</v>
      </c>
    </row>
    <row r="75" spans="2:17" x14ac:dyDescent="0.55000000000000004">
      <c r="B75" s="30" t="s">
        <v>62</v>
      </c>
      <c r="C75" s="32" t="s">
        <v>203</v>
      </c>
    </row>
    <row r="76" spans="2:17" x14ac:dyDescent="0.55000000000000004">
      <c r="C76" s="32" t="s">
        <v>204</v>
      </c>
    </row>
    <row r="77" spans="2:17" x14ac:dyDescent="0.55000000000000004">
      <c r="C77" s="32" t="s">
        <v>205</v>
      </c>
    </row>
    <row r="78" spans="2:17" x14ac:dyDescent="0.55000000000000004">
      <c r="C78" s="32" t="s">
        <v>206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54"/>
  <sheetViews>
    <sheetView workbookViewId="0"/>
  </sheetViews>
  <sheetFormatPr defaultRowHeight="14.4" x14ac:dyDescent="0.55000000000000004"/>
  <cols>
    <col min="1" max="1" width="2.68359375" style="11" customWidth="1"/>
    <col min="2" max="2" width="51.20703125" style="11" customWidth="1"/>
    <col min="3" max="18" width="7.26171875" style="11" customWidth="1"/>
    <col min="19" max="16384" width="8.83984375" style="11"/>
  </cols>
  <sheetData>
    <row r="2" spans="2:18" x14ac:dyDescent="0.55000000000000004">
      <c r="B2" s="79" t="s">
        <v>117</v>
      </c>
    </row>
    <row r="3" spans="2:18" x14ac:dyDescent="0.55000000000000004">
      <c r="C3" s="15" t="s">
        <v>111</v>
      </c>
      <c r="D3" s="80"/>
      <c r="E3" s="80"/>
      <c r="F3" s="80"/>
      <c r="G3" s="80"/>
      <c r="H3" s="80"/>
      <c r="I3" s="80"/>
      <c r="J3" s="80"/>
      <c r="K3" s="80"/>
      <c r="M3" s="15" t="s">
        <v>234</v>
      </c>
      <c r="N3" s="15"/>
      <c r="O3" s="15"/>
      <c r="P3" s="80"/>
      <c r="Q3" s="80"/>
    </row>
    <row r="4" spans="2:18" x14ac:dyDescent="0.55000000000000004">
      <c r="B4" s="15" t="s">
        <v>103</v>
      </c>
      <c r="C4" s="34">
        <v>2010</v>
      </c>
      <c r="D4" s="34">
        <v>2011</v>
      </c>
      <c r="E4" s="34">
        <v>2012</v>
      </c>
      <c r="F4" s="34">
        <v>2013</v>
      </c>
      <c r="G4" s="34">
        <v>2014</v>
      </c>
      <c r="H4" s="15">
        <v>2015</v>
      </c>
      <c r="I4" s="15">
        <v>2016</v>
      </c>
      <c r="J4" s="15">
        <v>2017</v>
      </c>
      <c r="K4" s="15">
        <v>2018</v>
      </c>
      <c r="M4" s="15">
        <v>2019</v>
      </c>
      <c r="N4" s="15">
        <v>2020</v>
      </c>
      <c r="O4" s="15">
        <v>2021</v>
      </c>
      <c r="P4" s="15">
        <v>2022</v>
      </c>
      <c r="Q4" s="15">
        <v>2023</v>
      </c>
      <c r="R4" s="79" t="s">
        <v>96</v>
      </c>
    </row>
    <row r="5" spans="2:18" x14ac:dyDescent="0.55000000000000004">
      <c r="B5" s="88" t="s">
        <v>46</v>
      </c>
      <c r="C5" s="18">
        <v>279.61</v>
      </c>
      <c r="D5" s="18">
        <v>275.92</v>
      </c>
      <c r="E5" s="18">
        <v>272.52</v>
      </c>
      <c r="F5" s="18">
        <v>269.37</v>
      </c>
      <c r="G5" s="18">
        <v>266.42</v>
      </c>
      <c r="H5" s="18">
        <v>263.64999999999998</v>
      </c>
      <c r="I5" s="18">
        <v>261.02</v>
      </c>
      <c r="J5" s="18">
        <v>258.52999999999997</v>
      </c>
      <c r="K5" s="18">
        <v>256.14999999999998</v>
      </c>
      <c r="M5" s="18">
        <v>253.87</v>
      </c>
      <c r="N5" s="18">
        <v>251.69</v>
      </c>
      <c r="O5" s="18">
        <f t="shared" ref="O5:Q12" si="0">N5*(1+$R5)</f>
        <v>249.05615949040904</v>
      </c>
      <c r="P5" s="18">
        <f t="shared" si="0"/>
        <v>246.44988112404968</v>
      </c>
      <c r="Q5" s="18">
        <f t="shared" si="0"/>
        <v>243.87087647353357</v>
      </c>
      <c r="R5" s="58">
        <f t="shared" ref="R5:R12" si="1">(N5/C5)^(1/10)-1</f>
        <v>-1.0464621199058222E-2</v>
      </c>
    </row>
    <row r="6" spans="2:18" x14ac:dyDescent="0.55000000000000004">
      <c r="B6" s="88" t="s">
        <v>45</v>
      </c>
      <c r="C6" s="18">
        <v>270.8</v>
      </c>
      <c r="D6" s="18">
        <v>266.64</v>
      </c>
      <c r="E6" s="18">
        <v>262.8</v>
      </c>
      <c r="F6" s="18">
        <v>259.23</v>
      </c>
      <c r="G6" s="18">
        <v>255.87</v>
      </c>
      <c r="H6" s="18">
        <v>252.7</v>
      </c>
      <c r="I6" s="18">
        <v>249.69</v>
      </c>
      <c r="J6" s="18">
        <v>246.81</v>
      </c>
      <c r="K6" s="18">
        <v>244.05</v>
      </c>
      <c r="M6" s="18">
        <v>241.4</v>
      </c>
      <c r="N6" s="18">
        <v>238.84</v>
      </c>
      <c r="O6" s="18">
        <f t="shared" si="0"/>
        <v>235.85924432488343</v>
      </c>
      <c r="P6" s="18">
        <f t="shared" si="0"/>
        <v>232.9156888858862</v>
      </c>
      <c r="Q6" s="18">
        <f t="shared" si="0"/>
        <v>230.00886941900339</v>
      </c>
      <c r="R6" s="58">
        <f t="shared" si="1"/>
        <v>-1.2480135970174833E-2</v>
      </c>
    </row>
    <row r="7" spans="2:18" x14ac:dyDescent="0.55000000000000004">
      <c r="B7" s="88" t="s">
        <v>44</v>
      </c>
      <c r="C7" s="18">
        <v>229.28</v>
      </c>
      <c r="D7" s="18">
        <v>222.92</v>
      </c>
      <c r="E7" s="18">
        <v>217</v>
      </c>
      <c r="F7" s="18">
        <v>211.42</v>
      </c>
      <c r="G7" s="18">
        <v>206.13</v>
      </c>
      <c r="H7" s="18">
        <v>201.08</v>
      </c>
      <c r="I7" s="18">
        <v>196.23</v>
      </c>
      <c r="J7" s="18">
        <v>191.55</v>
      </c>
      <c r="K7" s="18">
        <v>187.01</v>
      </c>
      <c r="M7" s="18">
        <v>182.6</v>
      </c>
      <c r="N7" s="18">
        <v>178.3</v>
      </c>
      <c r="O7" s="18">
        <f t="shared" si="0"/>
        <v>173.87208426317699</v>
      </c>
      <c r="P7" s="18">
        <f t="shared" si="0"/>
        <v>169.55413172193673</v>
      </c>
      <c r="Q7" s="18">
        <f t="shared" si="0"/>
        <v>165.34341154193152</v>
      </c>
      <c r="R7" s="58">
        <f t="shared" si="1"/>
        <v>-2.4834075921609799E-2</v>
      </c>
    </row>
    <row r="8" spans="2:18" x14ac:dyDescent="0.55000000000000004">
      <c r="B8" s="88" t="s">
        <v>43</v>
      </c>
      <c r="C8" s="18">
        <v>90.39</v>
      </c>
      <c r="D8" s="18">
        <v>89.2</v>
      </c>
      <c r="E8" s="18">
        <v>88.1</v>
      </c>
      <c r="F8" s="18">
        <v>87.08</v>
      </c>
      <c r="G8" s="18">
        <v>86.13</v>
      </c>
      <c r="H8" s="18">
        <v>85.23</v>
      </c>
      <c r="I8" s="18">
        <v>84.38</v>
      </c>
      <c r="J8" s="18">
        <v>83.58</v>
      </c>
      <c r="K8" s="18">
        <v>82.81</v>
      </c>
      <c r="M8" s="18">
        <v>82.07</v>
      </c>
      <c r="N8" s="18">
        <v>81.36</v>
      </c>
      <c r="O8" s="18">
        <f t="shared" si="0"/>
        <v>80.508177469176928</v>
      </c>
      <c r="P8" s="18">
        <f t="shared" si="0"/>
        <v>79.665273345728707</v>
      </c>
      <c r="Q8" s="18">
        <f t="shared" si="0"/>
        <v>78.831194255757339</v>
      </c>
      <c r="R8" s="58">
        <f t="shared" si="1"/>
        <v>-1.0469795118277614E-2</v>
      </c>
    </row>
    <row r="9" spans="2:18" x14ac:dyDescent="0.55000000000000004">
      <c r="B9" s="88" t="s">
        <v>42</v>
      </c>
      <c r="C9" s="18">
        <v>87.54</v>
      </c>
      <c r="D9" s="18">
        <v>86.2</v>
      </c>
      <c r="E9" s="18">
        <v>84.96</v>
      </c>
      <c r="F9" s="18">
        <v>83.8</v>
      </c>
      <c r="G9" s="18">
        <v>82.72</v>
      </c>
      <c r="H9" s="18">
        <v>81.69</v>
      </c>
      <c r="I9" s="18">
        <v>80.72</v>
      </c>
      <c r="J9" s="18">
        <v>79.790000000000006</v>
      </c>
      <c r="K9" s="18">
        <v>78.900000000000006</v>
      </c>
      <c r="M9" s="18">
        <v>78.040000000000006</v>
      </c>
      <c r="N9" s="18">
        <v>77.209999999999994</v>
      </c>
      <c r="O9" s="18">
        <f t="shared" si="0"/>
        <v>76.24655982164407</v>
      </c>
      <c r="P9" s="18">
        <f t="shared" si="0"/>
        <v>75.295141622012025</v>
      </c>
      <c r="Q9" s="18">
        <f t="shared" si="0"/>
        <v>74.35559538870487</v>
      </c>
      <c r="R9" s="58">
        <f t="shared" si="1"/>
        <v>-1.2478178712031163E-2</v>
      </c>
    </row>
    <row r="10" spans="2:18" x14ac:dyDescent="0.55000000000000004">
      <c r="B10" s="88" t="s">
        <v>41</v>
      </c>
      <c r="C10" s="18">
        <v>74.12</v>
      </c>
      <c r="D10" s="18">
        <v>72.069999999999993</v>
      </c>
      <c r="E10" s="18">
        <v>70.150000000000006</v>
      </c>
      <c r="F10" s="18">
        <v>68.349999999999994</v>
      </c>
      <c r="G10" s="18">
        <v>66.64</v>
      </c>
      <c r="H10" s="18">
        <v>65</v>
      </c>
      <c r="I10" s="18">
        <v>63.44</v>
      </c>
      <c r="J10" s="18">
        <v>61.92</v>
      </c>
      <c r="K10" s="18">
        <v>60.46</v>
      </c>
      <c r="M10" s="18">
        <v>59.03</v>
      </c>
      <c r="N10" s="18">
        <v>57.64</v>
      </c>
      <c r="O10" s="18">
        <f t="shared" si="0"/>
        <v>56.20860775674111</v>
      </c>
      <c r="P10" s="18">
        <f t="shared" si="0"/>
        <v>54.81276172711965</v>
      </c>
      <c r="Q10" s="18">
        <f t="shared" si="0"/>
        <v>53.451579180835871</v>
      </c>
      <c r="R10" s="58">
        <f t="shared" si="1"/>
        <v>-2.4833314421563002E-2</v>
      </c>
    </row>
    <row r="11" spans="2:18" x14ac:dyDescent="0.55000000000000004">
      <c r="B11" s="88" t="s">
        <v>36</v>
      </c>
      <c r="C11" s="18">
        <v>892.5</v>
      </c>
      <c r="D11" s="18">
        <v>961.46</v>
      </c>
      <c r="E11" s="18">
        <v>1035.75</v>
      </c>
      <c r="F11" s="18">
        <v>1115.79</v>
      </c>
      <c r="G11" s="18">
        <v>1202</v>
      </c>
      <c r="H11" s="18">
        <v>1294.8800000000001</v>
      </c>
      <c r="I11" s="18">
        <v>1394.94</v>
      </c>
      <c r="J11" s="18">
        <v>1502.73</v>
      </c>
      <c r="K11" s="18">
        <v>1618.84</v>
      </c>
      <c r="M11" s="18">
        <v>1743.93</v>
      </c>
      <c r="N11" s="18">
        <v>1878.68</v>
      </c>
      <c r="O11" s="18">
        <f t="shared" si="0"/>
        <v>2023.8451050385702</v>
      </c>
      <c r="P11" s="18">
        <f t="shared" si="0"/>
        <v>2180.227079219761</v>
      </c>
      <c r="Q11" s="18">
        <f t="shared" si="0"/>
        <v>2348.6926470455064</v>
      </c>
      <c r="R11" s="58">
        <f t="shared" si="1"/>
        <v>7.7269734621420394E-2</v>
      </c>
    </row>
    <row r="12" spans="2:18" x14ac:dyDescent="0.55000000000000004">
      <c r="B12" s="89" t="s">
        <v>37</v>
      </c>
      <c r="C12" s="29">
        <v>10577.84</v>
      </c>
      <c r="D12" s="29">
        <v>11285.81</v>
      </c>
      <c r="E12" s="29">
        <v>12041.17</v>
      </c>
      <c r="F12" s="29">
        <v>12847.08</v>
      </c>
      <c r="G12" s="29">
        <v>13706.93</v>
      </c>
      <c r="H12" s="29">
        <v>14624.34</v>
      </c>
      <c r="I12" s="29">
        <v>15603.14</v>
      </c>
      <c r="J12" s="29">
        <v>16647.45</v>
      </c>
      <c r="K12" s="29">
        <v>17761.66</v>
      </c>
      <c r="M12" s="29">
        <v>18950.45</v>
      </c>
      <c r="N12" s="29">
        <v>20218.79</v>
      </c>
      <c r="O12" s="29">
        <f t="shared" si="0"/>
        <v>21572.028149586942</v>
      </c>
      <c r="P12" s="29">
        <f t="shared" si="0"/>
        <v>23015.838162747197</v>
      </c>
      <c r="Q12" s="29">
        <f t="shared" si="0"/>
        <v>24556.281989828269</v>
      </c>
      <c r="R12" s="58">
        <f t="shared" si="1"/>
        <v>6.6929729701279861E-2</v>
      </c>
    </row>
    <row r="13" spans="2:18" x14ac:dyDescent="0.55000000000000004">
      <c r="B13" s="30" t="s">
        <v>0</v>
      </c>
      <c r="C13" s="57" t="s">
        <v>112</v>
      </c>
      <c r="D13" s="57" t="s">
        <v>112</v>
      </c>
      <c r="E13" s="57" t="s">
        <v>112</v>
      </c>
      <c r="F13" s="57" t="s">
        <v>112</v>
      </c>
      <c r="G13" s="57" t="s">
        <v>112</v>
      </c>
      <c r="H13" s="57" t="s">
        <v>112</v>
      </c>
      <c r="I13" s="57" t="s">
        <v>112</v>
      </c>
      <c r="J13" s="31">
        <v>9</v>
      </c>
      <c r="K13" s="31">
        <v>9</v>
      </c>
      <c r="L13" s="31"/>
      <c r="M13" s="31">
        <v>9</v>
      </c>
      <c r="N13" s="32">
        <v>9</v>
      </c>
    </row>
    <row r="14" spans="2:18" x14ac:dyDescent="0.55000000000000004">
      <c r="B14" s="26" t="s">
        <v>20</v>
      </c>
      <c r="C14" s="32" t="s">
        <v>284</v>
      </c>
    </row>
    <row r="15" spans="2:18" x14ac:dyDescent="0.55000000000000004">
      <c r="C15" s="32" t="s">
        <v>209</v>
      </c>
    </row>
    <row r="17" spans="2:17" x14ac:dyDescent="0.55000000000000004">
      <c r="B17" s="15" t="s">
        <v>47</v>
      </c>
      <c r="C17" s="34">
        <v>2010</v>
      </c>
      <c r="D17" s="34">
        <v>2011</v>
      </c>
      <c r="E17" s="34">
        <v>2012</v>
      </c>
      <c r="F17" s="34">
        <v>2013</v>
      </c>
      <c r="G17" s="34">
        <v>2014</v>
      </c>
      <c r="H17" s="15">
        <v>2015</v>
      </c>
      <c r="I17" s="15">
        <v>2016</v>
      </c>
      <c r="J17" s="15">
        <v>2017</v>
      </c>
      <c r="K17" s="15">
        <v>2018</v>
      </c>
      <c r="M17" s="15">
        <v>2019</v>
      </c>
      <c r="N17" s="15">
        <v>2020</v>
      </c>
      <c r="O17" s="15">
        <v>2021</v>
      </c>
      <c r="P17" s="15">
        <v>2022</v>
      </c>
      <c r="Q17" s="15">
        <v>2023</v>
      </c>
    </row>
    <row r="18" spans="2:17" x14ac:dyDescent="0.55000000000000004">
      <c r="B18" s="88" t="s">
        <v>46</v>
      </c>
      <c r="C18" s="33">
        <f t="shared" ref="C18:K18" si="2">C5*24*365/1000</f>
        <v>2449.3836000000001</v>
      </c>
      <c r="D18" s="33">
        <f t="shared" si="2"/>
        <v>2417.0592000000001</v>
      </c>
      <c r="E18" s="33">
        <f t="shared" si="2"/>
        <v>2387.2751999999996</v>
      </c>
      <c r="F18" s="33">
        <f t="shared" si="2"/>
        <v>2359.6812</v>
      </c>
      <c r="G18" s="33">
        <f t="shared" si="2"/>
        <v>2333.8392000000003</v>
      </c>
      <c r="H18" s="33">
        <f t="shared" si="2"/>
        <v>2309.5740000000001</v>
      </c>
      <c r="I18" s="33">
        <f t="shared" si="2"/>
        <v>2286.5351999999998</v>
      </c>
      <c r="J18" s="33">
        <f t="shared" si="2"/>
        <v>2264.7228</v>
      </c>
      <c r="K18" s="33">
        <f t="shared" si="2"/>
        <v>2243.8739999999998</v>
      </c>
      <c r="M18" s="33">
        <f t="shared" ref="M18:O25" si="3">M5*24*365/1000</f>
        <v>2223.9012000000002</v>
      </c>
      <c r="N18" s="33">
        <f t="shared" si="3"/>
        <v>2204.8044</v>
      </c>
      <c r="O18" s="33">
        <f t="shared" si="3"/>
        <v>2181.7319571359831</v>
      </c>
      <c r="P18" s="33">
        <f t="shared" ref="P18:Q18" si="4">P5*24*365/1000</f>
        <v>2158.9009586466755</v>
      </c>
      <c r="Q18" s="33">
        <f t="shared" si="4"/>
        <v>2136.308877908154</v>
      </c>
    </row>
    <row r="19" spans="2:17" x14ac:dyDescent="0.55000000000000004">
      <c r="B19" s="88" t="s">
        <v>45</v>
      </c>
      <c r="C19" s="28">
        <f t="shared" ref="C19:K19" si="5">C6*24*365/1000</f>
        <v>2372.2080000000005</v>
      </c>
      <c r="D19" s="28">
        <f t="shared" si="5"/>
        <v>2335.7664</v>
      </c>
      <c r="E19" s="28">
        <f t="shared" si="5"/>
        <v>2302.1280000000006</v>
      </c>
      <c r="F19" s="28">
        <f t="shared" si="5"/>
        <v>2270.8548000000001</v>
      </c>
      <c r="G19" s="28">
        <f t="shared" si="5"/>
        <v>2241.4212000000002</v>
      </c>
      <c r="H19" s="28">
        <f t="shared" si="5"/>
        <v>2213.6519999999996</v>
      </c>
      <c r="I19" s="28">
        <f t="shared" si="5"/>
        <v>2187.2844</v>
      </c>
      <c r="J19" s="28">
        <f t="shared" si="5"/>
        <v>2162.0556000000001</v>
      </c>
      <c r="K19" s="28">
        <f t="shared" si="5"/>
        <v>2137.8780000000006</v>
      </c>
      <c r="M19" s="28">
        <f t="shared" si="3"/>
        <v>2114.6640000000002</v>
      </c>
      <c r="N19" s="28">
        <f t="shared" si="3"/>
        <v>2092.2383999999997</v>
      </c>
      <c r="O19" s="28">
        <f t="shared" si="3"/>
        <v>2066.1269802859788</v>
      </c>
      <c r="P19" s="28">
        <f t="shared" ref="P19:Q19" si="6">P6*24*365/1000</f>
        <v>2040.3414346403631</v>
      </c>
      <c r="Q19" s="28">
        <f t="shared" si="6"/>
        <v>2014.8776961104695</v>
      </c>
    </row>
    <row r="20" spans="2:17" x14ac:dyDescent="0.55000000000000004">
      <c r="B20" s="88" t="s">
        <v>44</v>
      </c>
      <c r="C20" s="28">
        <f t="shared" ref="C20:K20" si="7">C7*24*365/1000</f>
        <v>2008.4928</v>
      </c>
      <c r="D20" s="28">
        <f t="shared" si="7"/>
        <v>1952.7791999999999</v>
      </c>
      <c r="E20" s="28">
        <f t="shared" si="7"/>
        <v>1900.92</v>
      </c>
      <c r="F20" s="28">
        <f t="shared" si="7"/>
        <v>1852.0391999999999</v>
      </c>
      <c r="G20" s="28">
        <f t="shared" si="7"/>
        <v>1805.6988000000001</v>
      </c>
      <c r="H20" s="28">
        <f t="shared" si="7"/>
        <v>1761.4608000000001</v>
      </c>
      <c r="I20" s="28">
        <f t="shared" si="7"/>
        <v>1718.9747999999997</v>
      </c>
      <c r="J20" s="28">
        <f t="shared" si="7"/>
        <v>1677.9780000000003</v>
      </c>
      <c r="K20" s="28">
        <f t="shared" si="7"/>
        <v>1638.2076</v>
      </c>
      <c r="M20" s="28">
        <f t="shared" si="3"/>
        <v>1599.5759999999998</v>
      </c>
      <c r="N20" s="28">
        <f t="shared" si="3"/>
        <v>1561.9080000000001</v>
      </c>
      <c r="O20" s="28">
        <f t="shared" si="3"/>
        <v>1523.1194581454306</v>
      </c>
      <c r="P20" s="28">
        <f t="shared" ref="P20:Q20" si="8">P7*24*365/1000</f>
        <v>1485.2941938841657</v>
      </c>
      <c r="Q20" s="28">
        <f t="shared" si="8"/>
        <v>1448.4082851073201</v>
      </c>
    </row>
    <row r="21" spans="2:17" x14ac:dyDescent="0.55000000000000004">
      <c r="B21" s="88" t="s">
        <v>43</v>
      </c>
      <c r="C21" s="28">
        <f t="shared" ref="C21:K21" si="9">C8*24*365/1000</f>
        <v>791.81640000000004</v>
      </c>
      <c r="D21" s="28">
        <f t="shared" si="9"/>
        <v>781.39200000000017</v>
      </c>
      <c r="E21" s="28">
        <f t="shared" si="9"/>
        <v>771.75599999999986</v>
      </c>
      <c r="F21" s="28">
        <f t="shared" si="9"/>
        <v>762.82080000000008</v>
      </c>
      <c r="G21" s="28">
        <f t="shared" si="9"/>
        <v>754.49879999999996</v>
      </c>
      <c r="H21" s="28">
        <f t="shared" si="9"/>
        <v>746.61480000000006</v>
      </c>
      <c r="I21" s="28">
        <f t="shared" si="9"/>
        <v>739.16879999999992</v>
      </c>
      <c r="J21" s="28">
        <f t="shared" si="9"/>
        <v>732.16079999999999</v>
      </c>
      <c r="K21" s="28">
        <f t="shared" si="9"/>
        <v>725.41559999999993</v>
      </c>
      <c r="M21" s="28">
        <f t="shared" si="3"/>
        <v>718.93319999999994</v>
      </c>
      <c r="N21" s="28">
        <f t="shared" si="3"/>
        <v>712.71359999999993</v>
      </c>
      <c r="O21" s="28">
        <f t="shared" si="3"/>
        <v>705.25163462998989</v>
      </c>
      <c r="P21" s="28">
        <f t="shared" ref="P21:Q21" si="10">P8*24*365/1000</f>
        <v>697.86779450858353</v>
      </c>
      <c r="Q21" s="28">
        <f t="shared" si="10"/>
        <v>690.56126168043431</v>
      </c>
    </row>
    <row r="22" spans="2:17" x14ac:dyDescent="0.55000000000000004">
      <c r="B22" s="88" t="s">
        <v>42</v>
      </c>
      <c r="C22" s="28">
        <f t="shared" ref="C22:K22" si="11">C9*24*365/1000</f>
        <v>766.85040000000004</v>
      </c>
      <c r="D22" s="28">
        <f t="shared" si="11"/>
        <v>755.11200000000008</v>
      </c>
      <c r="E22" s="28">
        <f t="shared" si="11"/>
        <v>744.24959999999999</v>
      </c>
      <c r="F22" s="28">
        <f t="shared" si="11"/>
        <v>734.08799999999985</v>
      </c>
      <c r="G22" s="28">
        <f t="shared" si="11"/>
        <v>724.6271999999999</v>
      </c>
      <c r="H22" s="28">
        <f t="shared" si="11"/>
        <v>715.60440000000006</v>
      </c>
      <c r="I22" s="28">
        <f t="shared" si="11"/>
        <v>707.10719999999992</v>
      </c>
      <c r="J22" s="28">
        <f t="shared" si="11"/>
        <v>698.96040000000005</v>
      </c>
      <c r="K22" s="28">
        <f t="shared" si="11"/>
        <v>691.16399999999999</v>
      </c>
      <c r="M22" s="28">
        <f t="shared" si="3"/>
        <v>683.63040000000001</v>
      </c>
      <c r="N22" s="28">
        <f t="shared" si="3"/>
        <v>676.3596</v>
      </c>
      <c r="O22" s="28">
        <f t="shared" si="3"/>
        <v>667.91986403760211</v>
      </c>
      <c r="P22" s="28">
        <f t="shared" ref="P22:Q22" si="12">P9*24*365/1000</f>
        <v>659.58544060882537</v>
      </c>
      <c r="Q22" s="28">
        <f t="shared" si="12"/>
        <v>651.35501560505463</v>
      </c>
    </row>
    <row r="23" spans="2:17" x14ac:dyDescent="0.55000000000000004">
      <c r="B23" s="88" t="s">
        <v>41</v>
      </c>
      <c r="C23" s="28">
        <f t="shared" ref="C23:K23" si="13">C10*24*365/1000</f>
        <v>649.29120000000012</v>
      </c>
      <c r="D23" s="28">
        <f t="shared" si="13"/>
        <v>631.33319999999992</v>
      </c>
      <c r="E23" s="28">
        <f t="shared" si="13"/>
        <v>614.51400000000001</v>
      </c>
      <c r="F23" s="28">
        <f t="shared" si="13"/>
        <v>598.74599999999998</v>
      </c>
      <c r="G23" s="28">
        <f t="shared" si="13"/>
        <v>583.76639999999998</v>
      </c>
      <c r="H23" s="28">
        <f t="shared" si="13"/>
        <v>569.4</v>
      </c>
      <c r="I23" s="28">
        <f t="shared" si="13"/>
        <v>555.73440000000005</v>
      </c>
      <c r="J23" s="28">
        <f t="shared" si="13"/>
        <v>542.41919999999993</v>
      </c>
      <c r="K23" s="28">
        <f t="shared" si="13"/>
        <v>529.62959999999998</v>
      </c>
      <c r="M23" s="28">
        <f t="shared" si="3"/>
        <v>517.1028</v>
      </c>
      <c r="N23" s="28">
        <f t="shared" si="3"/>
        <v>504.9264</v>
      </c>
      <c r="O23" s="28">
        <f t="shared" si="3"/>
        <v>492.3874039490521</v>
      </c>
      <c r="P23" s="28">
        <f t="shared" ref="P23:Q23" si="14">P10*24*365/1000</f>
        <v>480.1597927295681</v>
      </c>
      <c r="Q23" s="28">
        <f t="shared" si="14"/>
        <v>468.23583362412228</v>
      </c>
    </row>
    <row r="24" spans="2:17" x14ac:dyDescent="0.55000000000000004">
      <c r="B24" s="88" t="s">
        <v>36</v>
      </c>
      <c r="C24" s="28">
        <f t="shared" ref="C24:K24" si="15">C11*24*365/1000</f>
        <v>7818.3</v>
      </c>
      <c r="D24" s="28">
        <f t="shared" si="15"/>
        <v>8422.3896000000004</v>
      </c>
      <c r="E24" s="28">
        <f t="shared" si="15"/>
        <v>9073.17</v>
      </c>
      <c r="F24" s="28">
        <f t="shared" si="15"/>
        <v>9774.3204000000005</v>
      </c>
      <c r="G24" s="28">
        <f t="shared" si="15"/>
        <v>10529.52</v>
      </c>
      <c r="H24" s="28">
        <f t="shared" si="15"/>
        <v>11343.148800000001</v>
      </c>
      <c r="I24" s="28">
        <f t="shared" si="15"/>
        <v>12219.674399999998</v>
      </c>
      <c r="J24" s="28">
        <f t="shared" si="15"/>
        <v>13163.9148</v>
      </c>
      <c r="K24" s="28">
        <f t="shared" si="15"/>
        <v>14181.038399999998</v>
      </c>
      <c r="M24" s="28">
        <f t="shared" si="3"/>
        <v>15276.826800000001</v>
      </c>
      <c r="N24" s="28">
        <f t="shared" si="3"/>
        <v>16457.236800000002</v>
      </c>
      <c r="O24" s="28">
        <f t="shared" si="3"/>
        <v>17728.883120137874</v>
      </c>
      <c r="P24" s="28">
        <f t="shared" ref="P24:Q24" si="16">P11*24*365/1000</f>
        <v>19098.789213965101</v>
      </c>
      <c r="Q24" s="28">
        <f t="shared" si="16"/>
        <v>20574.547588118636</v>
      </c>
    </row>
    <row r="25" spans="2:17" x14ac:dyDescent="0.55000000000000004">
      <c r="B25" s="89" t="s">
        <v>37</v>
      </c>
      <c r="C25" s="29">
        <f t="shared" ref="C25:K25" si="17">C12*24*365/1000</f>
        <v>92661.878400000001</v>
      </c>
      <c r="D25" s="29">
        <f t="shared" si="17"/>
        <v>98863.695599999992</v>
      </c>
      <c r="E25" s="29">
        <f t="shared" si="17"/>
        <v>105480.6492</v>
      </c>
      <c r="F25" s="29">
        <f t="shared" si="17"/>
        <v>112540.42079999999</v>
      </c>
      <c r="G25" s="29">
        <f t="shared" si="17"/>
        <v>120072.7068</v>
      </c>
      <c r="H25" s="29">
        <f t="shared" si="17"/>
        <v>128109.21840000001</v>
      </c>
      <c r="I25" s="29">
        <f t="shared" si="17"/>
        <v>136683.50640000001</v>
      </c>
      <c r="J25" s="29">
        <f t="shared" si="17"/>
        <v>145831.66200000004</v>
      </c>
      <c r="K25" s="29">
        <f t="shared" si="17"/>
        <v>155592.1416</v>
      </c>
      <c r="M25" s="29">
        <f t="shared" si="3"/>
        <v>166005.94200000004</v>
      </c>
      <c r="N25" s="29">
        <f t="shared" si="3"/>
        <v>177116.6004</v>
      </c>
      <c r="O25" s="29">
        <f t="shared" si="3"/>
        <v>188970.96659038163</v>
      </c>
      <c r="P25" s="29">
        <f t="shared" ref="P25:Q25" si="18">P12*24*365/1000</f>
        <v>201618.74230566542</v>
      </c>
      <c r="Q25" s="29">
        <f t="shared" si="18"/>
        <v>215113.03023089562</v>
      </c>
    </row>
    <row r="26" spans="2:17" s="32" customFormat="1" x14ac:dyDescent="0.55000000000000004">
      <c r="B26" s="30" t="s">
        <v>20</v>
      </c>
      <c r="C26" s="31" t="s">
        <v>114</v>
      </c>
      <c r="D26" s="31"/>
      <c r="E26" s="31"/>
      <c r="F26" s="31"/>
      <c r="G26" s="31"/>
      <c r="H26" s="31"/>
      <c r="I26" s="31"/>
      <c r="J26" s="31"/>
      <c r="K26" s="31"/>
      <c r="M26" s="31"/>
      <c r="N26" s="31"/>
      <c r="O26" s="31"/>
      <c r="P26" s="31"/>
      <c r="Q26" s="31"/>
    </row>
    <row r="28" spans="2:17" x14ac:dyDescent="0.55000000000000004">
      <c r="B28" s="15" t="s">
        <v>48</v>
      </c>
      <c r="C28" s="15">
        <v>2010</v>
      </c>
      <c r="D28" s="15">
        <v>2011</v>
      </c>
      <c r="E28" s="15">
        <v>2012</v>
      </c>
      <c r="F28" s="15">
        <v>2013</v>
      </c>
      <c r="G28" s="15">
        <v>2014</v>
      </c>
      <c r="H28" s="15">
        <v>2015</v>
      </c>
      <c r="I28" s="15">
        <v>2016</v>
      </c>
      <c r="J28" s="15">
        <v>2017</v>
      </c>
      <c r="K28" s="15">
        <v>2018</v>
      </c>
      <c r="M28" s="15">
        <v>2019</v>
      </c>
      <c r="N28" s="15">
        <v>2020</v>
      </c>
      <c r="O28" s="15">
        <v>2021</v>
      </c>
      <c r="P28" s="15">
        <v>2022</v>
      </c>
      <c r="Q28" s="15">
        <v>2023</v>
      </c>
    </row>
    <row r="29" spans="2:17" x14ac:dyDescent="0.55000000000000004">
      <c r="B29" s="82" t="s">
        <v>38</v>
      </c>
      <c r="C29" s="54"/>
      <c r="D29" s="54"/>
      <c r="E29" s="54"/>
      <c r="F29" s="54"/>
      <c r="G29" s="54"/>
      <c r="H29" s="54"/>
      <c r="I29" s="54"/>
      <c r="J29" s="54"/>
      <c r="K29" s="54"/>
      <c r="M29" s="54"/>
      <c r="N29" s="54"/>
      <c r="O29" s="54"/>
      <c r="P29" s="54"/>
      <c r="Q29" s="54"/>
    </row>
    <row r="30" spans="2:17" x14ac:dyDescent="0.55000000000000004">
      <c r="B30" s="27" t="s">
        <v>49</v>
      </c>
      <c r="C30" s="18">
        <f>'Global Server Stock'!C51*'Global Server Energy'!C20/10^6</f>
        <v>0</v>
      </c>
      <c r="D30" s="18">
        <f>'Global Server Stock'!D51*'Global Server Energy'!D20/10^6</f>
        <v>0</v>
      </c>
      <c r="E30" s="18">
        <f>'Global Server Stock'!E51*'Global Server Energy'!E20/10^6</f>
        <v>0</v>
      </c>
      <c r="F30" s="18">
        <f>'Global Server Stock'!F51*'Global Server Energy'!F20/10^6</f>
        <v>0</v>
      </c>
      <c r="G30" s="18">
        <f>'Global Server Stock'!G51*'Global Server Energy'!G20/10^6</f>
        <v>0</v>
      </c>
      <c r="H30" s="18">
        <f>'Global Server Stock'!H51*'Global Server Energy'!H20/10^6</f>
        <v>0</v>
      </c>
      <c r="I30" s="18">
        <f>'Global Server Stock'!I51*'Global Server Energy'!I20/10^6</f>
        <v>0</v>
      </c>
      <c r="J30" s="18">
        <f>'Global Server Stock'!J51*'Global Server Energy'!J20/10^6</f>
        <v>0</v>
      </c>
      <c r="K30" s="18">
        <f>'Global Server Stock'!K51*'Global Server Energy'!K20/10^6</f>
        <v>0</v>
      </c>
      <c r="M30" s="18">
        <f>'Global Server Stock'!M51*'Global Server Energy'!M20/10^6</f>
        <v>0</v>
      </c>
      <c r="N30" s="18">
        <f>'Global Server Stock'!N51*'Global Server Energy'!N20/10^6</f>
        <v>0</v>
      </c>
      <c r="O30" s="18">
        <f>'Global Server Stock'!O51*'Global Server Energy'!O20/10^6</f>
        <v>0</v>
      </c>
      <c r="P30" s="18">
        <f>'Global Server Stock'!P51*'Global Server Energy'!P20/10^6</f>
        <v>0</v>
      </c>
      <c r="Q30" s="18">
        <f>'Global Server Stock'!Q51*'Global Server Energy'!Q20/10^6</f>
        <v>0</v>
      </c>
    </row>
    <row r="31" spans="2:17" x14ac:dyDescent="0.55000000000000004">
      <c r="B31" s="27" t="s">
        <v>50</v>
      </c>
      <c r="C31" s="18">
        <f>'Global Server Stock'!C52*'Global Server Energy'!C23/10^6</f>
        <v>0</v>
      </c>
      <c r="D31" s="18">
        <f>'Global Server Stock'!D52*'Global Server Energy'!D23/10^6</f>
        <v>0</v>
      </c>
      <c r="E31" s="18">
        <f>'Global Server Stock'!E52*'Global Server Energy'!E23/10^6</f>
        <v>0</v>
      </c>
      <c r="F31" s="18">
        <f>'Global Server Stock'!F52*'Global Server Energy'!F23/10^6</f>
        <v>0</v>
      </c>
      <c r="G31" s="18">
        <f>'Global Server Stock'!G52*'Global Server Energy'!G23/10^6</f>
        <v>0</v>
      </c>
      <c r="H31" s="18">
        <f>'Global Server Stock'!H52*'Global Server Energy'!H23/10^6</f>
        <v>0</v>
      </c>
      <c r="I31" s="18">
        <f>'Global Server Stock'!I52*'Global Server Energy'!I23/10^6</f>
        <v>0</v>
      </c>
      <c r="J31" s="18">
        <f>'Global Server Stock'!J52*'Global Server Energy'!J23/10^6</f>
        <v>0</v>
      </c>
      <c r="K31" s="18">
        <f>'Global Server Stock'!K52*'Global Server Energy'!K23/10^6</f>
        <v>0</v>
      </c>
      <c r="M31" s="18">
        <f>'Global Server Stock'!M52*'Global Server Energy'!M23/10^6</f>
        <v>0</v>
      </c>
      <c r="N31" s="18">
        <f>'Global Server Stock'!N52*'Global Server Energy'!N23/10^6</f>
        <v>0</v>
      </c>
      <c r="O31" s="18">
        <f>'Global Server Stock'!O52*'Global Server Energy'!O23/10^6</f>
        <v>0</v>
      </c>
      <c r="P31" s="18">
        <f>'Global Server Stock'!P52*'Global Server Energy'!P23/10^6</f>
        <v>0</v>
      </c>
      <c r="Q31" s="18">
        <f>'Global Server Stock'!Q52*'Global Server Energy'!Q23/10^6</f>
        <v>0</v>
      </c>
    </row>
    <row r="32" spans="2:17" x14ac:dyDescent="0.55000000000000004">
      <c r="B32" s="27" t="s">
        <v>51</v>
      </c>
      <c r="C32" s="18">
        <f>'Global Server Stock'!C53*'Global Server Energy'!C20/10^6</f>
        <v>53.225549254336634</v>
      </c>
      <c r="D32" s="18">
        <f>'Global Server Stock'!D53*'Global Server Energy'!D20/10^6</f>
        <v>51.965522968161899</v>
      </c>
      <c r="E32" s="18">
        <f>'Global Server Stock'!E53*'Global Server Energy'!E20/10^6</f>
        <v>48.063731699980792</v>
      </c>
      <c r="F32" s="18">
        <f>'Global Server Stock'!F53*'Global Server Energy'!F20/10^6</f>
        <v>43.337566315818243</v>
      </c>
      <c r="G32" s="18">
        <f>'Global Server Stock'!G53*'Global Server Energy'!G20/10^6</f>
        <v>35.000373004389004</v>
      </c>
      <c r="H32" s="18">
        <f>'Global Server Stock'!H53*'Global Server Energy'!H20/10^6</f>
        <v>30.135218783639317</v>
      </c>
      <c r="I32" s="18">
        <f>'Global Server Stock'!I53*'Global Server Energy'!I20/10^6</f>
        <v>24.954220746579065</v>
      </c>
      <c r="J32" s="18">
        <f>'Global Server Stock'!J53*'Global Server Energy'!J20/10^6</f>
        <v>21.07132638337962</v>
      </c>
      <c r="K32" s="18">
        <f>'Global Server Stock'!K53*'Global Server Energy'!K20/10^6</f>
        <v>17.924287931386811</v>
      </c>
      <c r="M32" s="18">
        <f>'Global Server Stock'!M53*'Global Server Energy'!M20/10^6</f>
        <v>15.095252578615218</v>
      </c>
      <c r="N32" s="18">
        <f>'Global Server Stock'!N53*'Global Server Energy'!N20/10^6</f>
        <v>12.383604975851119</v>
      </c>
      <c r="O32" s="18">
        <f>'Global Server Stock'!O53*'Global Server Energy'!O20/10^6</f>
        <v>9.8467392457753711</v>
      </c>
      <c r="P32" s="18">
        <f>'Global Server Stock'!P53*'Global Server Energy'!P20/10^6</f>
        <v>8.2176139479486867</v>
      </c>
      <c r="Q32" s="18">
        <f>'Global Server Stock'!Q53*'Global Server Energy'!Q20/10^6</f>
        <v>6.8681057045204392</v>
      </c>
    </row>
    <row r="33" spans="2:17" x14ac:dyDescent="0.55000000000000004">
      <c r="B33" s="27" t="s">
        <v>52</v>
      </c>
      <c r="C33" s="18">
        <f>'Global Server Stock'!C54*'Global Server Energy'!C23/10^6</f>
        <v>3.4431255682216202</v>
      </c>
      <c r="D33" s="18">
        <f>'Global Server Stock'!D54*'Global Server Energy'!D23/10^6</f>
        <v>3.1831829546401971</v>
      </c>
      <c r="E33" s="18">
        <f>'Global Server Stock'!E54*'Global Server Energy'!E23/10^6</f>
        <v>2.6998040653061222</v>
      </c>
      <c r="F33" s="18">
        <f>'Global Server Stock'!F54*'Global Server Energy'!F23/10^6</f>
        <v>2.3786940949238651</v>
      </c>
      <c r="G33" s="18">
        <f>'Global Server Stock'!G54*'Global Server Energy'!G23/10^6</f>
        <v>1.9179661467924793</v>
      </c>
      <c r="H33" s="18">
        <f>'Global Server Stock'!H54*'Global Server Energy'!H23/10^6</f>
        <v>1.6828777677612725</v>
      </c>
      <c r="I33" s="18">
        <f>'Global Server Stock'!I54*'Global Server Energy'!I23/10^6</f>
        <v>1.4993211343778956</v>
      </c>
      <c r="J33" s="18">
        <f>'Global Server Stock'!J54*'Global Server Energy'!J23/10^6</f>
        <v>1.3915965709629508</v>
      </c>
      <c r="K33" s="18">
        <f>'Global Server Stock'!K54*'Global Server Energy'!K23/10^6</f>
        <v>1.3298772952543194</v>
      </c>
      <c r="M33" s="18">
        <f>'Global Server Stock'!M54*'Global Server Energy'!M23/10^6</f>
        <v>1.1958439507005096</v>
      </c>
      <c r="N33" s="18">
        <f>'Global Server Stock'!N54*'Global Server Energy'!N23/10^6</f>
        <v>1.0358904761230945</v>
      </c>
      <c r="O33" s="18">
        <f>'Global Server Stock'!O54*'Global Server Energy'!O23/10^6</f>
        <v>0.93877822600860339</v>
      </c>
      <c r="P33" s="18">
        <f>'Global Server Stock'!P54*'Global Server Energy'!P23/10^6</f>
        <v>0.82349921866118136</v>
      </c>
      <c r="Q33" s="18">
        <f>'Global Server Stock'!Q54*'Global Server Energy'!Q23/10^6</f>
        <v>0.71703936505498977</v>
      </c>
    </row>
    <row r="34" spans="2:17" x14ac:dyDescent="0.55000000000000004">
      <c r="B34" s="43" t="s">
        <v>53</v>
      </c>
      <c r="C34" s="18">
        <f>'Global Server Stock'!C55*'Global Server Energy'!C24/10^6</f>
        <v>3.87396765</v>
      </c>
      <c r="D34" s="18">
        <f>'Global Server Stock'!D55*'Global Server Energy'!D24/10^6</f>
        <v>3.5608726206204002</v>
      </c>
      <c r="E34" s="18">
        <f>'Global Server Stock'!E55*'Global Server Energy'!E24/10^6</f>
        <v>3.5300710323900004</v>
      </c>
      <c r="F34" s="18">
        <f>'Global Server Stock'!F55*'Global Server Energy'!F24/10^6</f>
        <v>3.5190192506507998</v>
      </c>
      <c r="G34" s="18">
        <f>'Global Server Stock'!G55*'Global Server Energy'!G24/10^6</f>
        <v>3.5190498201600007</v>
      </c>
      <c r="H34" s="18">
        <f>'Global Server Stock'!H55*'Global Server Energy'!H24/10^6</f>
        <v>3.440462104656</v>
      </c>
      <c r="I34" s="18">
        <f>'Global Server Stock'!I55*'Global Server Energy'!I24/10^6</f>
        <v>3.5156675330891991</v>
      </c>
      <c r="J34" s="18">
        <f>'Global Server Stock'!J55*'Global Server Energy'!J24/10^6</f>
        <v>3.7832301300312001</v>
      </c>
      <c r="K34" s="18">
        <f>'Global Server Stock'!K55*'Global Server Energy'!K24/10^6</f>
        <v>4.1931274298231989</v>
      </c>
      <c r="M34" s="18">
        <f>'Global Server Stock'!M55*'Global Server Energy'!M24/10^6</f>
        <v>4.3554844279872</v>
      </c>
      <c r="N34" s="18">
        <f>'Global Server Stock'!N55*'Global Server Energy'!N24/10^6</f>
        <v>4.4990876250024003</v>
      </c>
      <c r="O34" s="18">
        <f>'Global Server Stock'!O55*'Global Server Energy'!O24/10^6</f>
        <v>4.5668978519604844</v>
      </c>
      <c r="P34" s="18">
        <f>'Global Server Stock'!P55*'Global Server Energy'!P24/10^6</f>
        <v>4.6357301143318246</v>
      </c>
      <c r="Q34" s="18">
        <f>'Global Server Stock'!Q55*'Global Server Energy'!Q24/10^6</f>
        <v>4.7055998162292401</v>
      </c>
    </row>
    <row r="35" spans="2:17" x14ac:dyDescent="0.55000000000000004">
      <c r="B35" s="80" t="s">
        <v>54</v>
      </c>
      <c r="C35" s="18">
        <f>'Global Server Stock'!C56*'Global Server Energy'!C25/10^6</f>
        <v>5.4207198864000006</v>
      </c>
      <c r="D35" s="18">
        <f>'Global Server Stock'!D56*'Global Server Energy'!D25/10^6</f>
        <v>5.2580656504859995</v>
      </c>
      <c r="E35" s="18">
        <f>'Global Server Stock'!E56*'Global Server Energy'!E25/10^6</f>
        <v>5.3505059306699998</v>
      </c>
      <c r="F35" s="18">
        <f>'Global Server Stock'!F56*'Global Server Energy'!F25/10^6</f>
        <v>5.7446257797360003</v>
      </c>
      <c r="G35" s="18">
        <f>'Global Server Stock'!G56*'Global Server Energy'!G25/10^6</f>
        <v>5.6440175831340005</v>
      </c>
      <c r="H35" s="18">
        <f>'Global Server Stock'!H56*'Global Server Energy'!H25/10^6</f>
        <v>5.4025579037556009</v>
      </c>
      <c r="I35" s="18">
        <f>'Global Server Stock'!I56*'Global Server Energy'!I25/10^6</f>
        <v>5.3485622889384006</v>
      </c>
      <c r="J35" s="18">
        <f>'Global Server Stock'!J56*'Global Server Energy'!J25/10^6</f>
        <v>5.4336877261200014</v>
      </c>
      <c r="K35" s="18">
        <f>'Global Server Stock'!K56*'Global Server Energy'!K25/10^6</f>
        <v>5.5607075486423998</v>
      </c>
      <c r="M35" s="18">
        <f>'Global Server Stock'!M56*'Global Server Energy'!M25/10^6</f>
        <v>5.5079111496180015</v>
      </c>
      <c r="N35" s="18">
        <f>'Global Server Stock'!N56*'Global Server Energy'!N25/10^6</f>
        <v>5.4254357034528002</v>
      </c>
      <c r="O35" s="18">
        <f>'Global Server Stock'!O56*'Global Server Energy'!O25/10^6</f>
        <v>5.4543477717401538</v>
      </c>
      <c r="P35" s="18">
        <f>'Global Server Stock'!P56*'Global Server Energy'!P25/10^6</f>
        <v>5.4834139120206755</v>
      </c>
      <c r="Q35" s="18">
        <f>'Global Server Stock'!Q56*'Global Server Energy'!Q25/10^6</f>
        <v>5.51263494534179</v>
      </c>
    </row>
    <row r="36" spans="2:17" x14ac:dyDescent="0.55000000000000004">
      <c r="B36" s="10" t="s">
        <v>55</v>
      </c>
      <c r="C36" s="48">
        <f>SUM(C30:C35)</f>
        <v>65.96336235895825</v>
      </c>
      <c r="D36" s="48">
        <f t="shared" ref="D36:O36" si="19">SUM(D30:D35)</f>
        <v>63.967644193908498</v>
      </c>
      <c r="E36" s="48">
        <f t="shared" si="19"/>
        <v>59.644112728346911</v>
      </c>
      <c r="F36" s="48">
        <f t="shared" si="19"/>
        <v>54.979905441128906</v>
      </c>
      <c r="G36" s="48">
        <f t="shared" si="19"/>
        <v>46.081406554475485</v>
      </c>
      <c r="H36" s="48">
        <f t="shared" si="19"/>
        <v>40.661116559812193</v>
      </c>
      <c r="I36" s="48">
        <f t="shared" si="19"/>
        <v>35.317771702984565</v>
      </c>
      <c r="J36" s="48">
        <f t="shared" si="19"/>
        <v>31.679840810493772</v>
      </c>
      <c r="K36" s="48">
        <f t="shared" si="19"/>
        <v>29.008000205106732</v>
      </c>
      <c r="M36" s="48">
        <f t="shared" si="19"/>
        <v>26.154492106920927</v>
      </c>
      <c r="N36" s="48">
        <f t="shared" si="19"/>
        <v>23.344018780429415</v>
      </c>
      <c r="O36" s="48">
        <f t="shared" si="19"/>
        <v>20.806763095484612</v>
      </c>
      <c r="P36" s="48">
        <f t="shared" ref="P36:Q36" si="20">SUM(P30:P35)</f>
        <v>19.160257192962369</v>
      </c>
      <c r="Q36" s="48">
        <f t="shared" si="20"/>
        <v>17.803379831146458</v>
      </c>
    </row>
    <row r="37" spans="2:17" x14ac:dyDescent="0.55000000000000004">
      <c r="B37" s="82" t="s">
        <v>39</v>
      </c>
      <c r="C37" s="54"/>
      <c r="D37" s="54"/>
      <c r="E37" s="54"/>
      <c r="F37" s="54"/>
      <c r="G37" s="54"/>
      <c r="H37" s="54"/>
      <c r="I37" s="54"/>
      <c r="J37" s="54"/>
      <c r="K37" s="54"/>
      <c r="M37" s="54"/>
      <c r="N37" s="54"/>
      <c r="O37" s="54"/>
      <c r="P37" s="54"/>
      <c r="Q37" s="54"/>
    </row>
    <row r="38" spans="2:17" x14ac:dyDescent="0.55000000000000004">
      <c r="B38" s="27" t="s">
        <v>49</v>
      </c>
      <c r="C38" s="18">
        <f>'Global Server Stock'!C59*'Global Server Energy'!C19/10^6</f>
        <v>0</v>
      </c>
      <c r="D38" s="18">
        <f>'Global Server Stock'!D59*'Global Server Energy'!D19/10^6</f>
        <v>0</v>
      </c>
      <c r="E38" s="18">
        <f>'Global Server Stock'!E59*'Global Server Energy'!E19/10^6</f>
        <v>0</v>
      </c>
      <c r="F38" s="18">
        <f>'Global Server Stock'!F59*'Global Server Energy'!F19/10^6</f>
        <v>0</v>
      </c>
      <c r="G38" s="18">
        <f>'Global Server Stock'!G59*'Global Server Energy'!G19/10^6</f>
        <v>0</v>
      </c>
      <c r="H38" s="18">
        <f>'Global Server Stock'!H59*'Global Server Energy'!H19/10^6</f>
        <v>0</v>
      </c>
      <c r="I38" s="18">
        <f>'Global Server Stock'!I59*'Global Server Energy'!I19/10^6</f>
        <v>0</v>
      </c>
      <c r="J38" s="18">
        <f>'Global Server Stock'!J59*'Global Server Energy'!J19/10^6</f>
        <v>0</v>
      </c>
      <c r="K38" s="18">
        <f>'Global Server Stock'!K59*'Global Server Energy'!K19/10^6</f>
        <v>0</v>
      </c>
      <c r="M38" s="18">
        <f>'Global Server Stock'!M59*'Global Server Energy'!M19/10^6</f>
        <v>0</v>
      </c>
      <c r="N38" s="18">
        <f>'Global Server Stock'!N59*'Global Server Energy'!N19/10^6</f>
        <v>0</v>
      </c>
      <c r="O38" s="18">
        <f>'Global Server Stock'!O59*'Global Server Energy'!O19/10^6</f>
        <v>0</v>
      </c>
      <c r="P38" s="18">
        <f>'Global Server Stock'!P59*'Global Server Energy'!P19/10^6</f>
        <v>0</v>
      </c>
      <c r="Q38" s="18">
        <f>'Global Server Stock'!Q59*'Global Server Energy'!Q19/10^6</f>
        <v>0</v>
      </c>
    </row>
    <row r="39" spans="2:17" x14ac:dyDescent="0.55000000000000004">
      <c r="B39" s="27" t="s">
        <v>50</v>
      </c>
      <c r="C39" s="18">
        <f>'Global Server Stock'!C60*'Global Server Energy'!C22/10^6</f>
        <v>0</v>
      </c>
      <c r="D39" s="18">
        <f>'Global Server Stock'!D60*'Global Server Energy'!D22/10^6</f>
        <v>0</v>
      </c>
      <c r="E39" s="18">
        <f>'Global Server Stock'!E60*'Global Server Energy'!E22/10^6</f>
        <v>0</v>
      </c>
      <c r="F39" s="18">
        <f>'Global Server Stock'!F60*'Global Server Energy'!F22/10^6</f>
        <v>0</v>
      </c>
      <c r="G39" s="18">
        <f>'Global Server Stock'!G60*'Global Server Energy'!G22/10^6</f>
        <v>0</v>
      </c>
      <c r="H39" s="18">
        <f>'Global Server Stock'!H60*'Global Server Energy'!H22/10^6</f>
        <v>0</v>
      </c>
      <c r="I39" s="18">
        <f>'Global Server Stock'!I60*'Global Server Energy'!I22/10^6</f>
        <v>0</v>
      </c>
      <c r="J39" s="18">
        <f>'Global Server Stock'!J60*'Global Server Energy'!J22/10^6</f>
        <v>0</v>
      </c>
      <c r="K39" s="18">
        <f>'Global Server Stock'!K60*'Global Server Energy'!K22/10^6</f>
        <v>0</v>
      </c>
      <c r="M39" s="18">
        <f>'Global Server Stock'!M60*'Global Server Energy'!M22/10^6</f>
        <v>0</v>
      </c>
      <c r="N39" s="18">
        <f>'Global Server Stock'!N60*'Global Server Energy'!N22/10^6</f>
        <v>0</v>
      </c>
      <c r="O39" s="18">
        <f>'Global Server Stock'!O60*'Global Server Energy'!O22/10^6</f>
        <v>0</v>
      </c>
      <c r="P39" s="18">
        <f>'Global Server Stock'!P60*'Global Server Energy'!P22/10^6</f>
        <v>0</v>
      </c>
      <c r="Q39" s="18">
        <f>'Global Server Stock'!Q60*'Global Server Energy'!Q22/10^6</f>
        <v>0</v>
      </c>
    </row>
    <row r="40" spans="2:17" x14ac:dyDescent="0.55000000000000004">
      <c r="B40" s="27" t="s">
        <v>51</v>
      </c>
      <c r="C40" s="18">
        <f>'Global Server Stock'!C61*'Global Server Energy'!C19/10^6</f>
        <v>0.36086945205438542</v>
      </c>
      <c r="D40" s="18">
        <f>'Global Server Stock'!D61*'Global Server Energy'!D19/10^6</f>
        <v>2.9178315128072501</v>
      </c>
      <c r="E40" s="18">
        <f>'Global Server Stock'!E61*'Global Server Energy'!E19/10^6</f>
        <v>5.3645653323813702</v>
      </c>
      <c r="F40" s="18">
        <f>'Global Server Stock'!F61*'Global Server Energy'!F19/10^6</f>
        <v>12.520708975670011</v>
      </c>
      <c r="G40" s="18">
        <f>'Global Server Stock'!G61*'Global Server Energy'!G19/10^6</f>
        <v>17.555387245830705</v>
      </c>
      <c r="H40" s="18">
        <f>'Global Server Stock'!H61*'Global Server Energy'!H19/10^6</f>
        <v>19.038754100179901</v>
      </c>
      <c r="I40" s="18">
        <f>'Global Server Stock'!I61*'Global Server Energy'!I19/10^6</f>
        <v>21.171178078966076</v>
      </c>
      <c r="J40" s="18">
        <f>'Global Server Stock'!J61*'Global Server Energy'!J19/10^6</f>
        <v>23.635032148271392</v>
      </c>
      <c r="K40" s="18">
        <f>'Global Server Stock'!K61*'Global Server Energy'!K19/10^6</f>
        <v>24.107933700408861</v>
      </c>
      <c r="M40" s="18">
        <f>'Global Server Stock'!M61*'Global Server Energy'!M19/10^6</f>
        <v>23.140185994111835</v>
      </c>
      <c r="N40" s="18">
        <f>'Global Server Stock'!N61*'Global Server Energy'!N19/10^6</f>
        <v>23.505120773894415</v>
      </c>
      <c r="O40" s="18">
        <f>'Global Server Stock'!O61*'Global Server Energy'!O19/10^6</f>
        <v>22.541895792970607</v>
      </c>
      <c r="P40" s="18">
        <f>'Global Server Stock'!P61*'Global Server Energy'!P19/10^6</f>
        <v>25.12029570612988</v>
      </c>
      <c r="Q40" s="18">
        <f>'Global Server Stock'!Q61*'Global Server Energy'!Q19/10^6</f>
        <v>27.998317721763502</v>
      </c>
    </row>
    <row r="41" spans="2:17" x14ac:dyDescent="0.55000000000000004">
      <c r="B41" s="27" t="s">
        <v>52</v>
      </c>
      <c r="C41" s="18">
        <f>'Global Server Stock'!C62*'Global Server Energy'!C22/10^6</f>
        <v>2.3343795739661697E-2</v>
      </c>
      <c r="D41" s="18">
        <f>'Global Server Stock'!D62*'Global Server Energy'!D22/10^6</f>
        <v>0.17872404543969803</v>
      </c>
      <c r="E41" s="18">
        <f>'Global Server Stock'!E62*'Global Server Energy'!E22/10^6</f>
        <v>0.30134951741487287</v>
      </c>
      <c r="F41" s="18">
        <f>'Global Server Stock'!F62*'Global Server Energy'!F22/10^6</f>
        <v>0.68717809119044448</v>
      </c>
      <c r="G41" s="18">
        <f>'Global Server Stock'!G62*'Global Server Energy'!G22/10^6</f>
        <v>0.96200216609156319</v>
      </c>
      <c r="H41" s="18">
        <f>'Global Server Stock'!H62*'Global Server Energy'!H22/10^6</f>
        <v>1.0632513014148257</v>
      </c>
      <c r="I41" s="18">
        <f>'Global Server Stock'!I62*'Global Server Energy'!I22/10^6</f>
        <v>1.2719730473915556</v>
      </c>
      <c r="J41" s="18">
        <f>'Global Server Stock'!J62*'Global Server Energy'!J22/10^6</f>
        <v>1.5610420247624819</v>
      </c>
      <c r="K41" s="18">
        <f>'Global Server Stock'!K62*'Global Server Energy'!K22/10^6</f>
        <v>1.788646540100822</v>
      </c>
      <c r="M41" s="18">
        <f>'Global Server Stock'!M62*'Global Server Energy'!M22/10^6</f>
        <v>1.8331962368986026</v>
      </c>
      <c r="N41" s="18">
        <f>'Global Server Stock'!N62*'Global Server Energy'!N22/10^6</f>
        <v>1.9661792034953842</v>
      </c>
      <c r="O41" s="18">
        <f>'Global Server Stock'!O62*'Global Server Energy'!O22/10^6</f>
        <v>2.1490938978573841</v>
      </c>
      <c r="P41" s="18">
        <f>'Global Server Stock'!P62*'Global Server Energy'!P22/10^6</f>
        <v>2.5173123603814678</v>
      </c>
      <c r="Q41" s="18">
        <f>'Global Server Stock'!Q62*'Global Server Energy'!Q22/10^6</f>
        <v>2.9230308007503312</v>
      </c>
    </row>
    <row r="42" spans="2:17" x14ac:dyDescent="0.55000000000000004">
      <c r="B42" s="43" t="s">
        <v>53</v>
      </c>
      <c r="C42" s="18">
        <f>'Global Server Stock'!C63*'Global Server Energy'!C24/10^6</f>
        <v>3.87396765</v>
      </c>
      <c r="D42" s="18">
        <f>'Global Server Stock'!D63*'Global Server Energy'!D24/10^6</f>
        <v>3.5608726206204002</v>
      </c>
      <c r="E42" s="18">
        <f>'Global Server Stock'!E63*'Global Server Energy'!E24/10^6</f>
        <v>3.5300710323900004</v>
      </c>
      <c r="F42" s="18">
        <f>'Global Server Stock'!F63*'Global Server Energy'!F24/10^6</f>
        <v>3.5190192506507998</v>
      </c>
      <c r="G42" s="18">
        <f>'Global Server Stock'!G63*'Global Server Energy'!G24/10^6</f>
        <v>3.5190498201600007</v>
      </c>
      <c r="H42" s="18">
        <f>'Global Server Stock'!H63*'Global Server Energy'!H24/10^6</f>
        <v>3.440462104656</v>
      </c>
      <c r="I42" s="18">
        <f>'Global Server Stock'!I63*'Global Server Energy'!I24/10^6</f>
        <v>3.5156675330891991</v>
      </c>
      <c r="J42" s="18">
        <f>'Global Server Stock'!J63*'Global Server Energy'!J24/10^6</f>
        <v>3.7832301300312001</v>
      </c>
      <c r="K42" s="18">
        <f>'Global Server Stock'!K63*'Global Server Energy'!K24/10^6</f>
        <v>4.1931274298231989</v>
      </c>
      <c r="M42" s="18">
        <f>'Global Server Stock'!M63*'Global Server Energy'!M24/10^6</f>
        <v>4.3554844279872</v>
      </c>
      <c r="N42" s="18">
        <f>'Global Server Stock'!N63*'Global Server Energy'!N24/10^6</f>
        <v>4.4990876250024003</v>
      </c>
      <c r="O42" s="18">
        <f>'Global Server Stock'!O63*'Global Server Energy'!O24/10^6</f>
        <v>4.5668978519604844</v>
      </c>
      <c r="P42" s="18">
        <f>'Global Server Stock'!P63*'Global Server Energy'!P24/10^6</f>
        <v>4.6357301143318246</v>
      </c>
      <c r="Q42" s="18">
        <f>'Global Server Stock'!Q63*'Global Server Energy'!Q24/10^6</f>
        <v>4.7055998162292401</v>
      </c>
    </row>
    <row r="43" spans="2:17" x14ac:dyDescent="0.55000000000000004">
      <c r="B43" s="80" t="s">
        <v>54</v>
      </c>
      <c r="C43" s="18">
        <f>'Global Server Stock'!C64*'Global Server Energy'!C25/10^6</f>
        <v>5.4207198864000006</v>
      </c>
      <c r="D43" s="18">
        <f>'Global Server Stock'!D64*'Global Server Energy'!D25/10^6</f>
        <v>5.2580656504859995</v>
      </c>
      <c r="E43" s="18">
        <f>'Global Server Stock'!E64*'Global Server Energy'!E25/10^6</f>
        <v>5.3505059306699998</v>
      </c>
      <c r="F43" s="18">
        <f>'Global Server Stock'!F64*'Global Server Energy'!F25/10^6</f>
        <v>5.7446257797360003</v>
      </c>
      <c r="G43" s="18">
        <f>'Global Server Stock'!G64*'Global Server Energy'!G25/10^6</f>
        <v>5.6440175831340005</v>
      </c>
      <c r="H43" s="18">
        <f>'Global Server Stock'!H64*'Global Server Energy'!H25/10^6</f>
        <v>5.4025579037556009</v>
      </c>
      <c r="I43" s="18">
        <f>'Global Server Stock'!I64*'Global Server Energy'!I25/10^6</f>
        <v>5.3485622889384006</v>
      </c>
      <c r="J43" s="18">
        <f>'Global Server Stock'!J64*'Global Server Energy'!J25/10^6</f>
        <v>5.4336877261200014</v>
      </c>
      <c r="K43" s="18">
        <f>'Global Server Stock'!K64*'Global Server Energy'!K25/10^6</f>
        <v>5.5607075486423998</v>
      </c>
      <c r="M43" s="18">
        <f>'Global Server Stock'!M64*'Global Server Energy'!M25/10^6</f>
        <v>5.5079111496180015</v>
      </c>
      <c r="N43" s="18">
        <f>'Global Server Stock'!N64*'Global Server Energy'!N25/10^6</f>
        <v>5.4254357034528002</v>
      </c>
      <c r="O43" s="18">
        <f>'Global Server Stock'!O64*'Global Server Energy'!O25/10^6</f>
        <v>5.4543477717401538</v>
      </c>
      <c r="P43" s="18">
        <f>'Global Server Stock'!P64*'Global Server Energy'!P25/10^6</f>
        <v>5.4834139120206755</v>
      </c>
      <c r="Q43" s="18">
        <f>'Global Server Stock'!Q64*'Global Server Energy'!Q25/10^6</f>
        <v>5.51263494534179</v>
      </c>
    </row>
    <row r="44" spans="2:17" x14ac:dyDescent="0.55000000000000004">
      <c r="B44" s="10" t="s">
        <v>55</v>
      </c>
      <c r="C44" s="48">
        <f>SUM(C38:C43)</f>
        <v>9.6789007841940489</v>
      </c>
      <c r="D44" s="48">
        <f t="shared" ref="D44:O44" si="21">SUM(D38:D43)</f>
        <v>11.915493829353348</v>
      </c>
      <c r="E44" s="48">
        <f t="shared" si="21"/>
        <v>14.546491812856242</v>
      </c>
      <c r="F44" s="48">
        <f t="shared" si="21"/>
        <v>22.471532097247259</v>
      </c>
      <c r="G44" s="48">
        <f t="shared" si="21"/>
        <v>27.680456815216267</v>
      </c>
      <c r="H44" s="48">
        <f t="shared" si="21"/>
        <v>28.945025410006327</v>
      </c>
      <c r="I44" s="48">
        <f t="shared" si="21"/>
        <v>31.30738094838523</v>
      </c>
      <c r="J44" s="48">
        <f t="shared" si="21"/>
        <v>34.412992029185077</v>
      </c>
      <c r="K44" s="48">
        <f t="shared" si="21"/>
        <v>35.650415218975283</v>
      </c>
      <c r="M44" s="48">
        <f t="shared" si="21"/>
        <v>34.836777808615636</v>
      </c>
      <c r="N44" s="48">
        <f t="shared" si="21"/>
        <v>35.395823305844999</v>
      </c>
      <c r="O44" s="48">
        <f t="shared" si="21"/>
        <v>34.712235314528627</v>
      </c>
      <c r="P44" s="48">
        <f t="shared" ref="P44:Q44" si="22">SUM(P38:P43)</f>
        <v>37.756752092863842</v>
      </c>
      <c r="Q44" s="48">
        <f t="shared" si="22"/>
        <v>41.139583284084864</v>
      </c>
    </row>
    <row r="45" spans="2:17" x14ac:dyDescent="0.55000000000000004">
      <c r="B45" s="82" t="s">
        <v>40</v>
      </c>
      <c r="C45" s="54"/>
      <c r="D45" s="54"/>
      <c r="E45" s="54"/>
      <c r="F45" s="54"/>
      <c r="G45" s="54"/>
      <c r="H45" s="54"/>
      <c r="I45" s="54"/>
      <c r="J45" s="54"/>
      <c r="K45" s="54"/>
      <c r="M45" s="54"/>
      <c r="N45" s="54"/>
      <c r="O45" s="54"/>
      <c r="P45" s="54"/>
      <c r="Q45" s="54"/>
    </row>
    <row r="46" spans="2:17" x14ac:dyDescent="0.55000000000000004">
      <c r="B46" s="27" t="s">
        <v>49</v>
      </c>
      <c r="C46" s="18">
        <f>'Global Server Stock'!C67*'Global Server Energy'!C18/10^6</f>
        <v>2.8786674685031999</v>
      </c>
      <c r="D46" s="18">
        <f>'Global Server Stock'!D67*'Global Server Energy'!D18/10^6</f>
        <v>4.5517430419008003</v>
      </c>
      <c r="E46" s="18">
        <f>'Global Server Stock'!E67*'Global Server Energy'!E18/10^6</f>
        <v>6.5751145231967989</v>
      </c>
      <c r="F46" s="18">
        <f>'Global Server Stock'!F67*'Global Server Energy'!F18/10^6</f>
        <v>9.1859274336816004</v>
      </c>
      <c r="G46" s="18">
        <f>'Global Server Stock'!G67*'Global Server Energy'!G18/10^6</f>
        <v>12.971683651449602</v>
      </c>
      <c r="H46" s="18">
        <f>'Global Server Stock'!H67*'Global Server Energy'!H18/10^6</f>
        <v>16.323761858657999</v>
      </c>
      <c r="I46" s="18">
        <f>'Global Server Stock'!I67*'Global Server Energy'!I18/10^6</f>
        <v>22.583826926570399</v>
      </c>
      <c r="J46" s="18">
        <f>'Global Server Stock'!J67*'Global Server Energy'!J18/10^6</f>
        <v>29.212090951777203</v>
      </c>
      <c r="K46" s="18">
        <f>'Global Server Stock'!K67*'Global Server Energy'!K18/10^6</f>
        <v>37.650065064203993</v>
      </c>
      <c r="M46" s="18">
        <f>'Global Server Stock'!M67*'Global Server Energy'!M18/10^6</f>
        <v>44.950071492613205</v>
      </c>
      <c r="N46" s="18">
        <f>'Global Server Stock'!N67*'Global Server Energy'!N18/10^6</f>
        <v>49.992821934169193</v>
      </c>
      <c r="O46" s="18">
        <f>'Global Server Stock'!O67*'Global Server Energy'!O18/10^6</f>
        <v>51.121860645803793</v>
      </c>
      <c r="P46" s="18">
        <f>'Global Server Stock'!P67*'Global Server Energy'!P18/10^6</f>
        <v>54.608648388282113</v>
      </c>
      <c r="Q46" s="18">
        <f>'Global Server Stock'!Q67*'Global Server Energy'!Q18/10^6</f>
        <v>58.798739816366933</v>
      </c>
    </row>
    <row r="47" spans="2:17" x14ac:dyDescent="0.55000000000000004">
      <c r="B47" s="27" t="s">
        <v>50</v>
      </c>
      <c r="C47" s="18">
        <f>'Global Server Stock'!C68*'Global Server Energy'!C21/10^6</f>
        <v>0.1581550322868</v>
      </c>
      <c r="D47" s="18">
        <f>'Global Server Stock'!D68*'Global Server Energy'!D21/10^6</f>
        <v>0.23181243907200003</v>
      </c>
      <c r="E47" s="18">
        <f>'Global Server Stock'!E68*'Global Server Energy'!E21/10^6</f>
        <v>0.30901881995999991</v>
      </c>
      <c r="F47" s="18">
        <f>'Global Server Stock'!F68*'Global Server Energy'!F21/10^6</f>
        <v>0.30314803720320005</v>
      </c>
      <c r="G47" s="18">
        <f>'Global Server Stock'!G68*'Global Server Energy'!G21/10^6</f>
        <v>0.3606210009468</v>
      </c>
      <c r="H47" s="18">
        <f>'Global Server Stock'!H68*'Global Server Energy'!H21/10^6</f>
        <v>0.37962898751160001</v>
      </c>
      <c r="I47" s="18">
        <f>'Global Server Stock'!I68*'Global Server Energy'!I21/10^6</f>
        <v>0.34190696345279992</v>
      </c>
      <c r="J47" s="18">
        <f>'Global Server Stock'!J68*'Global Server Energy'!J21/10^6</f>
        <v>0.2341084158</v>
      </c>
      <c r="K47" s="18">
        <f>'Global Server Stock'!K68*'Global Server Energy'!K21/10^6</f>
        <v>4.44919149948E-2</v>
      </c>
      <c r="M47" s="18">
        <f>'Global Server Stock'!M68*'Global Server Energy'!M21/10^6</f>
        <v>0</v>
      </c>
      <c r="N47" s="18">
        <f>'Global Server Stock'!N68*'Global Server Energy'!N21/10^6</f>
        <v>0</v>
      </c>
      <c r="O47" s="18">
        <f>'Global Server Stock'!O68*'Global Server Energy'!O21/10^6</f>
        <v>0</v>
      </c>
      <c r="P47" s="18">
        <f>'Global Server Stock'!P68*'Global Server Energy'!P21/10^6</f>
        <v>0</v>
      </c>
      <c r="Q47" s="18">
        <f>'Global Server Stock'!Q68*'Global Server Energy'!Q21/10^6</f>
        <v>0</v>
      </c>
    </row>
    <row r="48" spans="2:17" x14ac:dyDescent="0.55000000000000004">
      <c r="B48" s="27" t="s">
        <v>51</v>
      </c>
      <c r="C48" s="18">
        <f>'Global Server Stock'!C69*'Global Server Energy'!C18/10^6</f>
        <v>3.3658159250847421</v>
      </c>
      <c r="D48" s="18">
        <f>'Global Server Stock'!D69*'Global Server Energy'!D18/10^6</f>
        <v>3.190136572520339</v>
      </c>
      <c r="E48" s="18">
        <f>'Global Server Stock'!E69*'Global Server Energy'!E18/10^6</f>
        <v>2.7662942814754414</v>
      </c>
      <c r="F48" s="18">
        <f>'Global Server Stock'!F69*'Global Server Energy'!F18/10^6</f>
        <v>2.2541678882410343</v>
      </c>
      <c r="G48" s="18">
        <f>'Global Server Stock'!G69*'Global Server Energy'!G18/10^6</f>
        <v>1.9022041516088444</v>
      </c>
      <c r="H48" s="18">
        <f>'Global Server Stock'!H69*'Global Server Energy'!H18/10^6</f>
        <v>1.4363329810112728</v>
      </c>
      <c r="I48" s="18">
        <f>'Global Server Stock'!I69*'Global Server Energy'!I18/10^6</f>
        <v>1.1770432586402171</v>
      </c>
      <c r="J48" s="18">
        <f>'Global Server Stock'!J69*'Global Server Energy'!J18/10^6</f>
        <v>0.90399750434502879</v>
      </c>
      <c r="K48" s="18">
        <f>'Global Server Stock'!K69*'Global Server Energy'!K18/10^6</f>
        <v>0.69210876820364198</v>
      </c>
      <c r="M48" s="18">
        <f>'Global Server Stock'!M69*'Global Server Energy'!M18/10^6</f>
        <v>0.49935170676003443</v>
      </c>
      <c r="N48" s="18">
        <f>'Global Server Stock'!N69*'Global Server Energy'!N18/10^6</f>
        <v>0.33684941492172171</v>
      </c>
      <c r="O48" s="18">
        <f>'Global Server Stock'!O69*'Global Server Energy'!O18/10^6</f>
        <v>5.6414549380705159</v>
      </c>
      <c r="P48" s="18">
        <f>'Global Server Stock'!P69*'Global Server Energy'!P18/10^6</f>
        <v>7.9950648238387849</v>
      </c>
      <c r="Q48" s="18">
        <f>'Global Server Stock'!Q69*'Global Server Energy'!Q18/10^6</f>
        <v>10.27318907438981</v>
      </c>
    </row>
    <row r="49" spans="2:17" x14ac:dyDescent="0.55000000000000004">
      <c r="B49" s="27" t="s">
        <v>52</v>
      </c>
      <c r="C49" s="18">
        <f>'Global Server Stock'!C70*'Global Server Energy'!C21/10^6</f>
        <v>0</v>
      </c>
      <c r="D49" s="18">
        <f>'Global Server Stock'!D70*'Global Server Energy'!D21/10^6</f>
        <v>0</v>
      </c>
      <c r="E49" s="18">
        <f>'Global Server Stock'!E70*'Global Server Energy'!E21/10^6</f>
        <v>0</v>
      </c>
      <c r="F49" s="18">
        <f>'Global Server Stock'!F70*'Global Server Energy'!F21/10^6</f>
        <v>0</v>
      </c>
      <c r="G49" s="18">
        <f>'Global Server Stock'!G70*'Global Server Energy'!G21/10^6</f>
        <v>0</v>
      </c>
      <c r="H49" s="18">
        <f>'Global Server Stock'!H70*'Global Server Energy'!H21/10^6</f>
        <v>0</v>
      </c>
      <c r="I49" s="18">
        <f>'Global Server Stock'!I70*'Global Server Energy'!I21/10^6</f>
        <v>0</v>
      </c>
      <c r="J49" s="18">
        <f>'Global Server Stock'!J70*'Global Server Energy'!J21/10^6</f>
        <v>0</v>
      </c>
      <c r="K49" s="18">
        <f>'Global Server Stock'!K70*'Global Server Energy'!K21/10^6</f>
        <v>0</v>
      </c>
      <c r="M49" s="18">
        <f>'Global Server Stock'!M70*'Global Server Energy'!M21/10^6</f>
        <v>0</v>
      </c>
      <c r="N49" s="18">
        <f>'Global Server Stock'!N70*'Global Server Energy'!N21/10^6</f>
        <v>0</v>
      </c>
      <c r="O49" s="18">
        <f>'Global Server Stock'!O70*'Global Server Energy'!O21/10^6</f>
        <v>0</v>
      </c>
      <c r="P49" s="18">
        <f>'Global Server Stock'!P70*'Global Server Energy'!P21/10^6</f>
        <v>0</v>
      </c>
      <c r="Q49" s="18">
        <f>'Global Server Stock'!Q70*'Global Server Energy'!Q21/10^6</f>
        <v>0</v>
      </c>
    </row>
    <row r="50" spans="2:17" x14ac:dyDescent="0.55000000000000004">
      <c r="B50" s="43" t="s">
        <v>53</v>
      </c>
      <c r="C50" s="18">
        <f>'Global Server Stock'!C71*'Global Server Energy'!C24/10^6</f>
        <v>0</v>
      </c>
      <c r="D50" s="18">
        <f>'Global Server Stock'!D71*'Global Server Energy'!D24/10^6</f>
        <v>0</v>
      </c>
      <c r="E50" s="18">
        <f>'Global Server Stock'!E71*'Global Server Energy'!E24/10^6</f>
        <v>0</v>
      </c>
      <c r="F50" s="18">
        <f>'Global Server Stock'!F71*'Global Server Energy'!F24/10^6</f>
        <v>0</v>
      </c>
      <c r="G50" s="18">
        <f>'Global Server Stock'!G71*'Global Server Energy'!G24/10^6</f>
        <v>0</v>
      </c>
      <c r="H50" s="18">
        <f>'Global Server Stock'!H71*'Global Server Energy'!H24/10^6</f>
        <v>0</v>
      </c>
      <c r="I50" s="18">
        <f>'Global Server Stock'!I71*'Global Server Energy'!I24/10^6</f>
        <v>0</v>
      </c>
      <c r="J50" s="18">
        <f>'Global Server Stock'!J71*'Global Server Energy'!J24/10^6</f>
        <v>0</v>
      </c>
      <c r="K50" s="18">
        <f>'Global Server Stock'!K71*'Global Server Energy'!K24/10^6</f>
        <v>0</v>
      </c>
      <c r="M50" s="18">
        <f>'Global Server Stock'!M71*'Global Server Energy'!M24/10^6</f>
        <v>0</v>
      </c>
      <c r="N50" s="18">
        <f>'Global Server Stock'!N71*'Global Server Energy'!N24/10^6</f>
        <v>0</v>
      </c>
      <c r="O50" s="18">
        <f>'Global Server Stock'!O71*'Global Server Energy'!O24/10^6</f>
        <v>0</v>
      </c>
      <c r="P50" s="18">
        <f>'Global Server Stock'!P71*'Global Server Energy'!P24/10^6</f>
        <v>0</v>
      </c>
      <c r="Q50" s="18">
        <f>'Global Server Stock'!Q71*'Global Server Energy'!Q24/10^6</f>
        <v>0</v>
      </c>
    </row>
    <row r="51" spans="2:17" x14ac:dyDescent="0.55000000000000004">
      <c r="B51" s="80" t="s">
        <v>54</v>
      </c>
      <c r="C51" s="18">
        <f>'Global Server Stock'!C72*'Global Server Energy'!C25/10^6</f>
        <v>0</v>
      </c>
      <c r="D51" s="18">
        <f>'Global Server Stock'!D72*'Global Server Energy'!D25/10^6</f>
        <v>0</v>
      </c>
      <c r="E51" s="18">
        <f>'Global Server Stock'!E72*'Global Server Energy'!E25/10^6</f>
        <v>0</v>
      </c>
      <c r="F51" s="18">
        <f>'Global Server Stock'!F72*'Global Server Energy'!F25/10^6</f>
        <v>0</v>
      </c>
      <c r="G51" s="18">
        <f>'Global Server Stock'!G72*'Global Server Energy'!G25/10^6</f>
        <v>0</v>
      </c>
      <c r="H51" s="18">
        <f>'Global Server Stock'!H72*'Global Server Energy'!H25/10^6</f>
        <v>0</v>
      </c>
      <c r="I51" s="18">
        <f>'Global Server Stock'!I72*'Global Server Energy'!I25/10^6</f>
        <v>0</v>
      </c>
      <c r="J51" s="18">
        <f>'Global Server Stock'!J72*'Global Server Energy'!J25/10^6</f>
        <v>0</v>
      </c>
      <c r="K51" s="18">
        <f>'Global Server Stock'!K72*'Global Server Energy'!K25/10^6</f>
        <v>0</v>
      </c>
      <c r="M51" s="18">
        <f>'Global Server Stock'!M72*'Global Server Energy'!M25/10^6</f>
        <v>0</v>
      </c>
      <c r="N51" s="18">
        <f>'Global Server Stock'!N72*'Global Server Energy'!N25/10^6</f>
        <v>0</v>
      </c>
      <c r="O51" s="18">
        <f>'Global Server Stock'!O72*'Global Server Energy'!O25/10^6</f>
        <v>0</v>
      </c>
      <c r="P51" s="18">
        <f>'Global Server Stock'!P72*'Global Server Energy'!P25/10^6</f>
        <v>0</v>
      </c>
      <c r="Q51" s="18">
        <f>'Global Server Stock'!Q72*'Global Server Energy'!Q25/10^6</f>
        <v>0</v>
      </c>
    </row>
    <row r="52" spans="2:17" x14ac:dyDescent="0.55000000000000004">
      <c r="B52" s="10" t="s">
        <v>55</v>
      </c>
      <c r="C52" s="48">
        <f>SUM(C46:C51)</f>
        <v>6.4026384258747422</v>
      </c>
      <c r="D52" s="48">
        <f t="shared" ref="D52:O52" si="23">SUM(D46:D51)</f>
        <v>7.9736920534931386</v>
      </c>
      <c r="E52" s="48">
        <f t="shared" si="23"/>
        <v>9.6504276246322398</v>
      </c>
      <c r="F52" s="48">
        <f t="shared" si="23"/>
        <v>11.743243359125835</v>
      </c>
      <c r="G52" s="48">
        <f t="shared" si="23"/>
        <v>15.234508804005246</v>
      </c>
      <c r="H52" s="48">
        <f t="shared" si="23"/>
        <v>18.139723827180873</v>
      </c>
      <c r="I52" s="48">
        <f t="shared" si="23"/>
        <v>24.102777148663417</v>
      </c>
      <c r="J52" s="48">
        <f t="shared" si="23"/>
        <v>30.350196871922233</v>
      </c>
      <c r="K52" s="48">
        <f t="shared" si="23"/>
        <v>38.386665747402432</v>
      </c>
      <c r="M52" s="48">
        <f t="shared" si="23"/>
        <v>45.449423199373243</v>
      </c>
      <c r="N52" s="48">
        <f t="shared" si="23"/>
        <v>50.329671349090916</v>
      </c>
      <c r="O52" s="48">
        <f t="shared" si="23"/>
        <v>56.763315583874309</v>
      </c>
      <c r="P52" s="48">
        <f t="shared" ref="P52:Q52" si="24">SUM(P46:P51)</f>
        <v>62.603713212120894</v>
      </c>
      <c r="Q52" s="48">
        <f t="shared" si="24"/>
        <v>69.071928890756737</v>
      </c>
    </row>
    <row r="53" spans="2:17" x14ac:dyDescent="0.55000000000000004">
      <c r="B53" s="10" t="s">
        <v>56</v>
      </c>
      <c r="C53" s="48">
        <f>C36+C44+C52</f>
        <v>82.044901569027033</v>
      </c>
      <c r="D53" s="48">
        <f t="shared" ref="D53:O53" si="25">D36+D44+D52</f>
        <v>83.856830076754989</v>
      </c>
      <c r="E53" s="48">
        <f t="shared" si="25"/>
        <v>83.841032165835401</v>
      </c>
      <c r="F53" s="48">
        <f t="shared" si="25"/>
        <v>89.194680897501996</v>
      </c>
      <c r="G53" s="48">
        <f t="shared" si="25"/>
        <v>88.996372173696997</v>
      </c>
      <c r="H53" s="48">
        <f t="shared" si="25"/>
        <v>87.745865796999396</v>
      </c>
      <c r="I53" s="48">
        <f t="shared" si="25"/>
        <v>90.727929800033223</v>
      </c>
      <c r="J53" s="48">
        <f t="shared" si="25"/>
        <v>96.443029711601085</v>
      </c>
      <c r="K53" s="48">
        <f t="shared" si="25"/>
        <v>103.04508117148445</v>
      </c>
      <c r="M53" s="48">
        <f t="shared" si="25"/>
        <v>106.44069311490981</v>
      </c>
      <c r="N53" s="48">
        <f t="shared" si="25"/>
        <v>109.06951343536534</v>
      </c>
      <c r="O53" s="48">
        <f t="shared" si="25"/>
        <v>112.28231399388756</v>
      </c>
      <c r="P53" s="48">
        <f t="shared" ref="P53:Q53" si="26">P36+P44+P52</f>
        <v>119.52072249794711</v>
      </c>
      <c r="Q53" s="48">
        <f t="shared" si="26"/>
        <v>128.01489200598806</v>
      </c>
    </row>
    <row r="54" spans="2:17" x14ac:dyDescent="0.55000000000000004">
      <c r="B54" s="30"/>
      <c r="C54"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workbookViewId="0"/>
  </sheetViews>
  <sheetFormatPr defaultRowHeight="14.4" x14ac:dyDescent="0.55000000000000004"/>
  <cols>
    <col min="1" max="1" width="2.68359375" style="11" customWidth="1"/>
    <col min="2" max="2" width="46.89453125" style="11" customWidth="1"/>
    <col min="3" max="10" width="7.26171875" style="11" customWidth="1"/>
    <col min="11" max="16384" width="8.83984375" style="11"/>
  </cols>
  <sheetData>
    <row r="1" spans="1:10" x14ac:dyDescent="0.55000000000000004">
      <c r="A1" s="79"/>
    </row>
    <row r="2" spans="1:10" x14ac:dyDescent="0.55000000000000004">
      <c r="B2" s="79" t="s">
        <v>118</v>
      </c>
    </row>
    <row r="3" spans="1:10" x14ac:dyDescent="0.55000000000000004">
      <c r="C3" s="15" t="s">
        <v>111</v>
      </c>
      <c r="D3" s="80"/>
      <c r="F3" s="15" t="s">
        <v>234</v>
      </c>
      <c r="G3" s="80"/>
      <c r="H3" s="80"/>
      <c r="I3" s="80"/>
      <c r="J3" s="80"/>
    </row>
    <row r="4" spans="1:10" x14ac:dyDescent="0.55000000000000004">
      <c r="B4" s="34" t="s">
        <v>115</v>
      </c>
      <c r="C4" s="34">
        <v>2010</v>
      </c>
      <c r="D4" s="15">
        <v>2018</v>
      </c>
      <c r="F4" s="15">
        <v>2019</v>
      </c>
      <c r="G4" s="15">
        <v>2020</v>
      </c>
      <c r="H4" s="15">
        <v>2021</v>
      </c>
      <c r="I4" s="15">
        <v>2022</v>
      </c>
      <c r="J4" s="15">
        <v>2023</v>
      </c>
    </row>
    <row r="5" spans="1:10" x14ac:dyDescent="0.55000000000000004">
      <c r="B5" s="11" t="s">
        <v>25</v>
      </c>
      <c r="C5" s="36">
        <v>14.79</v>
      </c>
      <c r="D5" s="11">
        <v>10.899999999999991</v>
      </c>
      <c r="F5" s="11">
        <v>10.599999999999994</v>
      </c>
      <c r="G5" s="11">
        <v>9.5</v>
      </c>
      <c r="H5" s="11">
        <v>8.3000000000000114</v>
      </c>
      <c r="I5" s="36">
        <f>$H5/$H$11*I$11</f>
        <v>7.9006141599664863</v>
      </c>
      <c r="J5" s="36">
        <f t="shared" ref="J5" si="0">$H5/$H$11*J$11</f>
        <v>7.5204462776702306</v>
      </c>
    </row>
    <row r="6" spans="1:10" x14ac:dyDescent="0.55000000000000004">
      <c r="B6" s="90" t="s">
        <v>26</v>
      </c>
      <c r="C6" s="36">
        <v>1.45</v>
      </c>
      <c r="D6" s="11">
        <v>1</v>
      </c>
      <c r="F6" s="11">
        <v>0.90000000000000036</v>
      </c>
      <c r="G6" s="11">
        <v>0.80000000000000071</v>
      </c>
      <c r="H6" s="11">
        <v>0.80000000000000071</v>
      </c>
      <c r="I6" s="36">
        <f t="shared" ref="I6:J10" si="1">$H6/$H$11*I$11</f>
        <v>0.76150497927387795</v>
      </c>
      <c r="J6" s="36">
        <f t="shared" si="1"/>
        <v>0.72486229182363637</v>
      </c>
    </row>
    <row r="7" spans="1:10" x14ac:dyDescent="0.55000000000000004">
      <c r="B7" s="90" t="s">
        <v>27</v>
      </c>
      <c r="C7" s="36">
        <v>1.45</v>
      </c>
      <c r="D7" s="11">
        <v>0.79999999999999893</v>
      </c>
      <c r="F7" s="11">
        <v>0.69999999999999929</v>
      </c>
      <c r="G7" s="11">
        <v>0.69999999999999929</v>
      </c>
      <c r="H7" s="11">
        <v>0.60000000000000142</v>
      </c>
      <c r="I7" s="36">
        <f t="shared" si="1"/>
        <v>0.57112873445540935</v>
      </c>
      <c r="J7" s="36">
        <f t="shared" si="1"/>
        <v>0.54364671886772808</v>
      </c>
    </row>
    <row r="8" spans="1:10" x14ac:dyDescent="0.55000000000000004">
      <c r="B8" s="90" t="s">
        <v>28</v>
      </c>
      <c r="C8" s="36">
        <v>0.63500000000000001</v>
      </c>
      <c r="D8" s="11">
        <v>0.80000000000000071</v>
      </c>
      <c r="F8" s="11">
        <v>0.69999999999999929</v>
      </c>
      <c r="G8" s="11">
        <v>0.69999999999999929</v>
      </c>
      <c r="H8" s="11">
        <v>0.59999999999999964</v>
      </c>
      <c r="I8" s="36">
        <f t="shared" si="1"/>
        <v>0.57112873445540757</v>
      </c>
      <c r="J8" s="36">
        <f t="shared" si="1"/>
        <v>0.54364671886772653</v>
      </c>
    </row>
    <row r="9" spans="1:10" x14ac:dyDescent="0.55000000000000004">
      <c r="B9" s="90" t="s">
        <v>29</v>
      </c>
      <c r="C9" s="36">
        <v>16.613</v>
      </c>
      <c r="D9" s="11">
        <v>19</v>
      </c>
      <c r="F9" s="11">
        <v>18</v>
      </c>
      <c r="G9" s="11">
        <v>16.599999999999994</v>
      </c>
      <c r="H9" s="11">
        <v>14.900000000000006</v>
      </c>
      <c r="I9" s="36">
        <f t="shared" si="1"/>
        <v>14.18303023897597</v>
      </c>
      <c r="J9" s="36">
        <f t="shared" si="1"/>
        <v>13.500560185215221</v>
      </c>
    </row>
    <row r="10" spans="1:10" x14ac:dyDescent="0.55000000000000004">
      <c r="B10" s="90" t="s">
        <v>30</v>
      </c>
      <c r="C10" s="36">
        <v>10.34</v>
      </c>
      <c r="D10" s="11">
        <v>8.4000000000000057</v>
      </c>
      <c r="F10" s="11">
        <v>8.2000000000000028</v>
      </c>
      <c r="G10" s="11">
        <v>8</v>
      </c>
      <c r="H10" s="11">
        <v>7.7000000000000028</v>
      </c>
      <c r="I10" s="36">
        <f t="shared" si="1"/>
        <v>7.3294854255110717</v>
      </c>
      <c r="J10" s="36">
        <f t="shared" si="1"/>
        <v>6.9767995588024965</v>
      </c>
    </row>
    <row r="11" spans="1:10" x14ac:dyDescent="0.55000000000000004">
      <c r="B11" s="10" t="s">
        <v>31</v>
      </c>
      <c r="C11" s="39">
        <v>45.3</v>
      </c>
      <c r="D11" s="39">
        <f t="shared" ref="D11:H11" si="2">SUM(D5:D10)</f>
        <v>40.9</v>
      </c>
      <c r="F11" s="39">
        <f t="shared" si="2"/>
        <v>39.099999999999994</v>
      </c>
      <c r="G11" s="39">
        <f t="shared" si="2"/>
        <v>36.299999999999997</v>
      </c>
      <c r="H11" s="39">
        <f t="shared" si="2"/>
        <v>32.90000000000002</v>
      </c>
      <c r="I11" s="39">
        <f>'Global Server Stock'!P5</f>
        <v>31.316892272638221</v>
      </c>
      <c r="J11" s="39">
        <f>'Global Server Stock'!Q5</f>
        <v>29.809961751247037</v>
      </c>
    </row>
    <row r="12" spans="1:10" x14ac:dyDescent="0.55000000000000004">
      <c r="B12" s="26" t="s">
        <v>0</v>
      </c>
      <c r="C12" s="26" t="s">
        <v>251</v>
      </c>
      <c r="D12" s="32">
        <v>7</v>
      </c>
      <c r="F12" s="32">
        <v>7</v>
      </c>
      <c r="G12" s="32">
        <v>7</v>
      </c>
      <c r="H12" s="32">
        <v>7</v>
      </c>
    </row>
    <row r="13" spans="1:10" x14ac:dyDescent="0.55000000000000004">
      <c r="B13" s="26" t="s">
        <v>20</v>
      </c>
      <c r="C13" s="49" t="s">
        <v>119</v>
      </c>
      <c r="D13" s="32"/>
      <c r="F13" s="32"/>
      <c r="G13" s="32"/>
      <c r="H13" s="32"/>
    </row>
    <row r="14" spans="1:10" x14ac:dyDescent="0.55000000000000004">
      <c r="B14" s="26"/>
      <c r="C14" s="32" t="s">
        <v>208</v>
      </c>
      <c r="D14" s="32"/>
      <c r="F14" s="32"/>
      <c r="G14" s="32"/>
      <c r="H14" s="32"/>
    </row>
    <row r="15" spans="1:10" x14ac:dyDescent="0.55000000000000004">
      <c r="B15" s="90"/>
      <c r="C15" s="90"/>
    </row>
    <row r="16" spans="1:10" x14ac:dyDescent="0.55000000000000004">
      <c r="B16" s="34" t="s">
        <v>116</v>
      </c>
      <c r="C16" s="34">
        <v>2010</v>
      </c>
      <c r="D16" s="15">
        <v>2018</v>
      </c>
      <c r="F16" s="15">
        <v>2019</v>
      </c>
      <c r="G16" s="15">
        <v>2020</v>
      </c>
      <c r="H16" s="15">
        <v>2021</v>
      </c>
      <c r="I16" s="15">
        <v>2022</v>
      </c>
      <c r="J16" s="15">
        <v>2023</v>
      </c>
    </row>
    <row r="17" spans="2:16" x14ac:dyDescent="0.55000000000000004">
      <c r="B17" s="11" t="s">
        <v>25</v>
      </c>
      <c r="C17" s="36">
        <f>C$23*C29</f>
        <v>2.806</v>
      </c>
      <c r="D17" s="11">
        <v>111.7</v>
      </c>
      <c r="F17" s="11">
        <v>138.6</v>
      </c>
      <c r="G17" s="11">
        <v>167.6</v>
      </c>
      <c r="H17" s="11">
        <v>200.5</v>
      </c>
      <c r="I17" s="36">
        <f>$H17/$H$23*I$23</f>
        <v>244.13429223646176</v>
      </c>
      <c r="J17" s="36">
        <f t="shared" ref="J17" si="3">$H17/$H$23*J$23</f>
        <v>297.26460172467887</v>
      </c>
      <c r="K17" s="91"/>
      <c r="L17" s="92"/>
      <c r="M17" s="91"/>
      <c r="N17" s="91"/>
      <c r="O17" s="91"/>
      <c r="P17" s="91"/>
    </row>
    <row r="18" spans="2:16" x14ac:dyDescent="0.55000000000000004">
      <c r="B18" s="90" t="s">
        <v>26</v>
      </c>
      <c r="C18" s="36">
        <f t="shared" ref="C18:C22" si="4">C$23*C30</f>
        <v>1.2199999999999999E-2</v>
      </c>
      <c r="D18" s="11">
        <v>9.4</v>
      </c>
      <c r="F18" s="11">
        <v>11</v>
      </c>
      <c r="G18" s="11">
        <v>12.7</v>
      </c>
      <c r="H18" s="11">
        <v>14.6</v>
      </c>
      <c r="I18" s="36">
        <f t="shared" ref="I18:J22" si="5">$H18/$H$23*I$23</f>
        <v>17.777359933428137</v>
      </c>
      <c r="J18" s="36">
        <f t="shared" si="5"/>
        <v>21.646200424839456</v>
      </c>
      <c r="K18" s="91"/>
      <c r="L18" s="92"/>
      <c r="M18" s="91"/>
      <c r="N18" s="91"/>
      <c r="O18" s="91"/>
      <c r="P18" s="91"/>
    </row>
    <row r="19" spans="2:16" x14ac:dyDescent="0.55000000000000004">
      <c r="B19" s="90" t="s">
        <v>27</v>
      </c>
      <c r="C19" s="36">
        <f t="shared" si="4"/>
        <v>0</v>
      </c>
      <c r="D19" s="11">
        <v>10.8</v>
      </c>
      <c r="F19" s="11">
        <v>12.3</v>
      </c>
      <c r="G19" s="11">
        <v>14.4</v>
      </c>
      <c r="H19" s="11">
        <v>17</v>
      </c>
      <c r="I19" s="36">
        <f t="shared" si="5"/>
        <v>20.699665675909475</v>
      </c>
      <c r="J19" s="36">
        <f t="shared" si="5"/>
        <v>25.204479946730878</v>
      </c>
      <c r="K19" s="91"/>
      <c r="L19" s="92"/>
      <c r="M19" s="91"/>
      <c r="N19" s="91"/>
      <c r="O19" s="91"/>
      <c r="P19" s="91"/>
    </row>
    <row r="20" spans="2:16" x14ac:dyDescent="0.55000000000000004">
      <c r="B20" s="90" t="s">
        <v>28</v>
      </c>
      <c r="C20" s="36">
        <f t="shared" si="4"/>
        <v>0</v>
      </c>
      <c r="D20" s="11">
        <v>8</v>
      </c>
      <c r="F20" s="11">
        <v>9.4</v>
      </c>
      <c r="G20" s="11">
        <v>10.8</v>
      </c>
      <c r="H20" s="11">
        <v>12.4</v>
      </c>
      <c r="I20" s="36">
        <f t="shared" si="5"/>
        <v>15.098579669486913</v>
      </c>
      <c r="J20" s="36">
        <f t="shared" si="5"/>
        <v>18.384444196438992</v>
      </c>
      <c r="K20" s="91"/>
      <c r="L20" s="92"/>
      <c r="M20" s="91"/>
      <c r="N20" s="91"/>
      <c r="O20" s="91"/>
      <c r="P20" s="91"/>
    </row>
    <row r="21" spans="2:16" x14ac:dyDescent="0.55000000000000004">
      <c r="B21" s="90" t="s">
        <v>29</v>
      </c>
      <c r="C21" s="36">
        <f t="shared" si="4"/>
        <v>7.4419999999999993</v>
      </c>
      <c r="D21" s="11">
        <v>129.1</v>
      </c>
      <c r="F21" s="11">
        <v>149.5</v>
      </c>
      <c r="G21" s="11">
        <v>169.9</v>
      </c>
      <c r="H21" s="11">
        <v>192.1</v>
      </c>
      <c r="I21" s="36">
        <f t="shared" si="5"/>
        <v>233.90622213777706</v>
      </c>
      <c r="J21" s="36">
        <f t="shared" si="5"/>
        <v>284.81062339805891</v>
      </c>
      <c r="K21" s="91"/>
      <c r="L21" s="92"/>
      <c r="M21" s="91"/>
      <c r="N21" s="91"/>
      <c r="O21" s="91"/>
      <c r="P21" s="91"/>
    </row>
    <row r="22" spans="2:16" x14ac:dyDescent="0.55000000000000004">
      <c r="B22" s="90" t="s">
        <v>30</v>
      </c>
      <c r="C22" s="36">
        <f t="shared" si="4"/>
        <v>1.9398000000000002</v>
      </c>
      <c r="D22" s="11">
        <v>61.8</v>
      </c>
      <c r="F22" s="11">
        <v>72.5</v>
      </c>
      <c r="G22" s="11">
        <v>83.8</v>
      </c>
      <c r="H22" s="11">
        <v>97.1</v>
      </c>
      <c r="I22" s="36">
        <f t="shared" si="5"/>
        <v>118.23161983122412</v>
      </c>
      <c r="J22" s="36">
        <f t="shared" si="5"/>
        <v>143.96205898985696</v>
      </c>
      <c r="K22" s="91"/>
      <c r="L22" s="92"/>
      <c r="M22" s="91"/>
      <c r="N22" s="91"/>
      <c r="O22" s="91"/>
      <c r="P22" s="91"/>
    </row>
    <row r="23" spans="2:16" x14ac:dyDescent="0.55000000000000004">
      <c r="B23" s="10" t="s">
        <v>31</v>
      </c>
      <c r="C23" s="39">
        <v>12.2</v>
      </c>
      <c r="D23" s="39">
        <f t="shared" ref="D23:H23" si="6">SUM(D17:D22)</f>
        <v>330.8</v>
      </c>
      <c r="F23" s="39">
        <f t="shared" si="6"/>
        <v>393.3</v>
      </c>
      <c r="G23" s="39">
        <f t="shared" si="6"/>
        <v>459.2</v>
      </c>
      <c r="H23" s="39">
        <f t="shared" si="6"/>
        <v>533.70000000000005</v>
      </c>
      <c r="I23" s="39">
        <f>'Global Server Stock'!P6</f>
        <v>649.84773948428756</v>
      </c>
      <c r="J23" s="39">
        <f>'Global Server Stock'!Q6</f>
        <v>791.27240868060414</v>
      </c>
      <c r="L23" s="92"/>
    </row>
    <row r="24" spans="2:16" x14ac:dyDescent="0.55000000000000004">
      <c r="B24" s="26" t="s">
        <v>0</v>
      </c>
      <c r="C24" s="26" t="s">
        <v>256</v>
      </c>
      <c r="D24" s="32">
        <v>7</v>
      </c>
      <c r="F24" s="32">
        <v>7</v>
      </c>
      <c r="G24" s="32">
        <v>7</v>
      </c>
      <c r="H24" s="32">
        <v>7</v>
      </c>
    </row>
    <row r="25" spans="2:16" x14ac:dyDescent="0.55000000000000004">
      <c r="B25" s="26" t="s">
        <v>62</v>
      </c>
      <c r="C25" s="32" t="s">
        <v>255</v>
      </c>
      <c r="D25" s="32"/>
      <c r="F25" s="32"/>
      <c r="G25" s="32"/>
      <c r="H25" s="32"/>
    </row>
    <row r="26" spans="2:16" x14ac:dyDescent="0.55000000000000004">
      <c r="B26" s="26"/>
      <c r="C26" s="32" t="s">
        <v>208</v>
      </c>
      <c r="D26" s="32"/>
      <c r="F26" s="32"/>
      <c r="G26" s="32"/>
      <c r="H26" s="32"/>
    </row>
    <row r="28" spans="2:16" x14ac:dyDescent="0.55000000000000004">
      <c r="B28" s="34" t="s">
        <v>121</v>
      </c>
      <c r="C28" s="34">
        <v>2010</v>
      </c>
      <c r="D28" s="15">
        <v>2018</v>
      </c>
      <c r="F28" s="15">
        <v>2019</v>
      </c>
      <c r="G28" s="15">
        <v>2020</v>
      </c>
      <c r="H28" s="15">
        <v>2021</v>
      </c>
      <c r="I28" s="15">
        <v>2022</v>
      </c>
      <c r="J28" s="15">
        <v>2023</v>
      </c>
    </row>
    <row r="29" spans="2:16" x14ac:dyDescent="0.55000000000000004">
      <c r="B29" s="11" t="s">
        <v>25</v>
      </c>
      <c r="C29" s="22">
        <v>0.23</v>
      </c>
      <c r="D29" s="19">
        <v>0.33600000000000002</v>
      </c>
      <c r="F29" s="19">
        <v>0.35400000000000004</v>
      </c>
      <c r="G29" s="19">
        <v>0.37200000000000005</v>
      </c>
      <c r="H29" s="24">
        <v>0.39</v>
      </c>
      <c r="I29" s="24">
        <v>0.39</v>
      </c>
      <c r="J29" s="24">
        <v>0.39</v>
      </c>
    </row>
    <row r="30" spans="2:16" x14ac:dyDescent="0.55000000000000004">
      <c r="B30" s="90" t="s">
        <v>26</v>
      </c>
      <c r="C30" s="22">
        <v>1E-3</v>
      </c>
      <c r="D30" s="58">
        <v>5.8000000000000005E-3</v>
      </c>
      <c r="F30" s="58">
        <v>7.2000000000000007E-3</v>
      </c>
      <c r="G30" s="58">
        <v>8.6E-3</v>
      </c>
      <c r="H30" s="24">
        <v>0.01</v>
      </c>
      <c r="I30" s="24">
        <v>0.01</v>
      </c>
      <c r="J30" s="24">
        <v>0.01</v>
      </c>
    </row>
    <row r="31" spans="2:16" x14ac:dyDescent="0.55000000000000004">
      <c r="B31" s="90" t="s">
        <v>27</v>
      </c>
      <c r="C31" s="22">
        <v>0</v>
      </c>
      <c r="D31" s="58">
        <v>3.5400000000000001E-2</v>
      </c>
      <c r="E31" s="24"/>
      <c r="F31" s="58">
        <v>3.6600000000000001E-2</v>
      </c>
      <c r="G31" s="58">
        <v>3.78E-2</v>
      </c>
      <c r="H31" s="24">
        <v>3.9E-2</v>
      </c>
      <c r="I31" s="24">
        <v>3.9E-2</v>
      </c>
      <c r="J31" s="24">
        <v>3.9E-2</v>
      </c>
    </row>
    <row r="32" spans="2:16" x14ac:dyDescent="0.55000000000000004">
      <c r="B32" s="90" t="s">
        <v>28</v>
      </c>
      <c r="C32" s="22">
        <v>0</v>
      </c>
      <c r="D32" s="58">
        <v>8.2000000000000007E-3</v>
      </c>
      <c r="F32" s="58">
        <v>1.0800000000000001E-2</v>
      </c>
      <c r="G32" s="58">
        <v>1.34E-2</v>
      </c>
      <c r="H32" s="24">
        <v>1.6E-2</v>
      </c>
      <c r="I32" s="24">
        <v>1.6E-2</v>
      </c>
      <c r="J32" s="24">
        <v>1.6E-2</v>
      </c>
    </row>
    <row r="33" spans="2:10" x14ac:dyDescent="0.55000000000000004">
      <c r="B33" s="90" t="s">
        <v>29</v>
      </c>
      <c r="C33" s="22">
        <v>0.61</v>
      </c>
      <c r="D33" s="24">
        <v>0.43059999999999998</v>
      </c>
      <c r="F33" s="24">
        <v>0.40539999999999998</v>
      </c>
      <c r="G33" s="24">
        <v>0.38019999999999987</v>
      </c>
      <c r="H33" s="24">
        <f t="shared" ref="H33" si="7">100%-SUM(H29:H32,H34)</f>
        <v>0.35499999999999998</v>
      </c>
      <c r="I33" s="24">
        <v>0.35499999999999998</v>
      </c>
      <c r="J33" s="24">
        <v>0.35499999999999998</v>
      </c>
    </row>
    <row r="34" spans="2:10" x14ac:dyDescent="0.55000000000000004">
      <c r="B34" s="93" t="s">
        <v>30</v>
      </c>
      <c r="C34" s="23">
        <f>100%-SUM(C29:C33)</f>
        <v>0.15900000000000003</v>
      </c>
      <c r="D34" s="59">
        <v>0.184</v>
      </c>
      <c r="F34" s="59">
        <v>0.186</v>
      </c>
      <c r="G34" s="59">
        <v>0.188</v>
      </c>
      <c r="H34" s="25">
        <v>0.19</v>
      </c>
      <c r="I34" s="25">
        <v>0.19</v>
      </c>
      <c r="J34" s="25">
        <v>0.19</v>
      </c>
    </row>
    <row r="35" spans="2:10" x14ac:dyDescent="0.55000000000000004">
      <c r="B35" s="94" t="s">
        <v>0</v>
      </c>
      <c r="C35" s="26" t="s">
        <v>254</v>
      </c>
      <c r="D35" s="32">
        <v>7</v>
      </c>
      <c r="F35" s="32">
        <v>7</v>
      </c>
      <c r="G35" s="32">
        <v>7</v>
      </c>
      <c r="H35" s="32">
        <v>7</v>
      </c>
    </row>
    <row r="36" spans="2:10" x14ac:dyDescent="0.55000000000000004">
      <c r="B36" s="94" t="s">
        <v>62</v>
      </c>
      <c r="C36" s="69" t="s">
        <v>253</v>
      </c>
      <c r="D36" s="32"/>
      <c r="F36" s="32"/>
      <c r="G36" s="32"/>
      <c r="H36" s="32"/>
    </row>
    <row r="37" spans="2:10" x14ac:dyDescent="0.55000000000000004">
      <c r="B37" s="94"/>
      <c r="C37" s="32" t="s">
        <v>208</v>
      </c>
      <c r="D37" s="32"/>
      <c r="F37" s="32"/>
      <c r="G37" s="32"/>
      <c r="H37" s="32"/>
    </row>
    <row r="38" spans="2:10" x14ac:dyDescent="0.55000000000000004">
      <c r="B38" s="94"/>
      <c r="C38" s="32" t="s">
        <v>252</v>
      </c>
      <c r="D38" s="32"/>
      <c r="F38" s="32"/>
      <c r="G38" s="32"/>
      <c r="H38" s="32"/>
    </row>
    <row r="40" spans="2:10" x14ac:dyDescent="0.55000000000000004">
      <c r="B40" s="34" t="s">
        <v>122</v>
      </c>
      <c r="C40" s="34">
        <v>2010</v>
      </c>
      <c r="D40" s="15">
        <v>2018</v>
      </c>
      <c r="F40" s="15">
        <v>2019</v>
      </c>
      <c r="G40" s="15">
        <v>2020</v>
      </c>
      <c r="H40" s="15">
        <v>2021</v>
      </c>
      <c r="I40" s="15">
        <v>2022</v>
      </c>
      <c r="J40" s="15">
        <v>2023</v>
      </c>
    </row>
    <row r="41" spans="2:10" x14ac:dyDescent="0.55000000000000004">
      <c r="B41" s="11" t="s">
        <v>25</v>
      </c>
      <c r="C41" s="18">
        <f>C5/C$11*'Global Server Stock'!C$33</f>
        <v>10564.285714285714</v>
      </c>
      <c r="D41" s="18">
        <f>D5/D$11*'Global Server Stock'!K$33</f>
        <v>3673.4289301526437</v>
      </c>
      <c r="F41" s="18">
        <f>F5/F$11*'Global Server Stock'!M$33</f>
        <v>3271.6049382716042</v>
      </c>
      <c r="G41" s="18">
        <f>G5/G$11*'Global Server Stock'!N$33</f>
        <v>2691.428750313049</v>
      </c>
      <c r="H41" s="18">
        <f>H5/H$11*'Global Server Stock'!O$33</f>
        <v>2184.210526315791</v>
      </c>
      <c r="I41" s="18">
        <f>I5/I$11*'Global Server Stock'!P$33</f>
        <v>1896.5433989866144</v>
      </c>
      <c r="J41" s="18">
        <f>J5/J$11*'Global Server Stock'!Q$33</f>
        <v>1646.7629017001025</v>
      </c>
    </row>
    <row r="42" spans="2:10" x14ac:dyDescent="0.55000000000000004">
      <c r="B42" s="90" t="s">
        <v>26</v>
      </c>
      <c r="C42" s="18">
        <f>C6/C$11*'Global Server Stock'!C$33</f>
        <v>1035.7142857142858</v>
      </c>
      <c r="D42" s="18">
        <f>D6/D$11*'Global Server Stock'!K$33</f>
        <v>337.01182845437131</v>
      </c>
      <c r="F42" s="18">
        <f>F6/F$11*'Global Server Stock'!M$33</f>
        <v>277.777777777778</v>
      </c>
      <c r="G42" s="18">
        <f>G6/G$11*'Global Server Stock'!N$33</f>
        <v>226.64663160530958</v>
      </c>
      <c r="H42" s="18">
        <f>H6/H$11*'Global Server Stock'!O$33</f>
        <v>210.52631578947373</v>
      </c>
      <c r="I42" s="18">
        <f>I6/I$11*'Global Server Stock'!P$33</f>
        <v>182.79936375774588</v>
      </c>
      <c r="J42" s="18">
        <f>J6/J$11*'Global Server Stock'!Q$33</f>
        <v>158.72413510362429</v>
      </c>
    </row>
    <row r="43" spans="2:10" x14ac:dyDescent="0.55000000000000004">
      <c r="B43" s="90" t="s">
        <v>27</v>
      </c>
      <c r="C43" s="18">
        <f>C7/C$11*'Global Server Stock'!C$33</f>
        <v>1035.7142857142858</v>
      </c>
      <c r="D43" s="18">
        <f>D7/D$11*'Global Server Stock'!K$33</f>
        <v>269.60946276349671</v>
      </c>
      <c r="F43" s="18">
        <f>F7/F$11*'Global Server Stock'!M$33</f>
        <v>216.04938271604925</v>
      </c>
      <c r="G43" s="18">
        <f>G7/G$11*'Global Server Stock'!N$33</f>
        <v>198.31580265464549</v>
      </c>
      <c r="H43" s="18">
        <f>H7/H$11*'Global Server Stock'!O$33</f>
        <v>157.89473684210554</v>
      </c>
      <c r="I43" s="18">
        <f>I7/I$11*'Global Server Stock'!P$33</f>
        <v>137.09952281830962</v>
      </c>
      <c r="J43" s="18">
        <f>J7/J$11*'Global Server Stock'!Q$33</f>
        <v>119.04310132771839</v>
      </c>
    </row>
    <row r="44" spans="2:10" x14ac:dyDescent="0.55000000000000004">
      <c r="B44" s="90" t="s">
        <v>28</v>
      </c>
      <c r="C44" s="18">
        <f>C8/C$11*'Global Server Stock'!C$33</f>
        <v>453.57142857142861</v>
      </c>
      <c r="D44" s="18">
        <f>D8/D$11*'Global Server Stock'!K$33</f>
        <v>269.60946276349728</v>
      </c>
      <c r="F44" s="18">
        <f>F8/F$11*'Global Server Stock'!M$33</f>
        <v>216.04938271604925</v>
      </c>
      <c r="G44" s="18">
        <f>G8/G$11*'Global Server Stock'!N$33</f>
        <v>198.31580265464549</v>
      </c>
      <c r="H44" s="18">
        <f>H8/H$11*'Global Server Stock'!O$33</f>
        <v>157.89473684210506</v>
      </c>
      <c r="I44" s="18">
        <f>I8/I$11*'Global Server Stock'!P$33</f>
        <v>137.09952281830923</v>
      </c>
      <c r="J44" s="18">
        <f>J8/J$11*'Global Server Stock'!Q$33</f>
        <v>119.04310132771806</v>
      </c>
    </row>
    <row r="45" spans="2:10" x14ac:dyDescent="0.55000000000000004">
      <c r="B45" s="90" t="s">
        <v>29</v>
      </c>
      <c r="C45" s="18">
        <f>C9/C$11*'Global Server Stock'!C$33</f>
        <v>11866.428571428571</v>
      </c>
      <c r="D45" s="18">
        <f>D9/D$11*'Global Server Stock'!K$33</f>
        <v>6403.2247406330544</v>
      </c>
      <c r="F45" s="18">
        <f>F9/F$11*'Global Server Stock'!M$33</f>
        <v>5555.5555555555575</v>
      </c>
      <c r="G45" s="18">
        <f>G9/G$11*'Global Server Stock'!N$33</f>
        <v>4702.9176058101684</v>
      </c>
      <c r="H45" s="18">
        <f>H9/H$11*'Global Server Stock'!O$33</f>
        <v>3921.0526315789466</v>
      </c>
      <c r="I45" s="18">
        <f>I9/I$11*'Global Server Stock'!P$33</f>
        <v>3404.6381499880158</v>
      </c>
      <c r="J45" s="18">
        <f>J9/J$11*'Global Server Stock'!Q$33</f>
        <v>2956.2370163050009</v>
      </c>
    </row>
    <row r="46" spans="2:10" x14ac:dyDescent="0.55000000000000004">
      <c r="B46" s="90" t="s">
        <v>30</v>
      </c>
      <c r="C46" s="18">
        <f>C10/C$11*'Global Server Stock'!C$33</f>
        <v>7385.7142857142853</v>
      </c>
      <c r="D46" s="18">
        <f>D10/D$11*'Global Server Stock'!K$33</f>
        <v>2830.8993590167206</v>
      </c>
      <c r="F46" s="18">
        <f>F10/F$11*'Global Server Stock'!M$33</f>
        <v>2530.864197530866</v>
      </c>
      <c r="G46" s="18">
        <f>G10/G$11*'Global Server Stock'!N$33</f>
        <v>2266.4663160530936</v>
      </c>
      <c r="H46" s="18">
        <f>H10/H$11*'Global Server Stock'!O$33</f>
        <v>2026.3157894736837</v>
      </c>
      <c r="I46" s="18">
        <f>I10/I$11*'Global Server Stock'!P$33</f>
        <v>1759.4438761683034</v>
      </c>
      <c r="J46" s="18">
        <f>J10/J$11*'Global Server Stock'!Q$33</f>
        <v>1527.7198003723829</v>
      </c>
    </row>
    <row r="47" spans="2:10" x14ac:dyDescent="0.55000000000000004">
      <c r="B47" s="10" t="s">
        <v>31</v>
      </c>
      <c r="C47" s="48">
        <f t="shared" ref="C47" si="8">SUM(C41:C46)</f>
        <v>32341.428571428572</v>
      </c>
      <c r="D47" s="48">
        <f t="shared" ref="D47:H47" si="9">SUM(D41:D46)</f>
        <v>13783.783783783785</v>
      </c>
      <c r="F47" s="48">
        <f t="shared" si="9"/>
        <v>12067.901234567904</v>
      </c>
      <c r="G47" s="48">
        <f t="shared" si="9"/>
        <v>10284.090909090912</v>
      </c>
      <c r="H47" s="48">
        <f t="shared" si="9"/>
        <v>8657.894736842105</v>
      </c>
      <c r="I47" s="48">
        <f t="shared" ref="I47:J47" si="10">SUM(I41:I46)</f>
        <v>7517.6238345372985</v>
      </c>
      <c r="J47" s="48">
        <f t="shared" si="10"/>
        <v>6527.5300561365475</v>
      </c>
    </row>
    <row r="49" spans="2:10" ht="14.5" customHeight="1" x14ac:dyDescent="0.55000000000000004">
      <c r="B49" s="34" t="s">
        <v>123</v>
      </c>
      <c r="C49" s="34">
        <v>2010</v>
      </c>
      <c r="D49" s="15">
        <v>2018</v>
      </c>
      <c r="F49" s="15">
        <v>2019</v>
      </c>
      <c r="G49" s="15">
        <v>2020</v>
      </c>
      <c r="H49" s="15">
        <v>2021</v>
      </c>
      <c r="I49" s="15">
        <v>2022</v>
      </c>
      <c r="J49" s="15">
        <v>2023</v>
      </c>
    </row>
    <row r="50" spans="2:10" x14ac:dyDescent="0.55000000000000004">
      <c r="B50" s="11" t="s">
        <v>25</v>
      </c>
      <c r="C50" s="18">
        <f>C17/C$23*'Global Server Stock'!C$18-C59</f>
        <v>169.41044285714281</v>
      </c>
      <c r="D50" s="18">
        <f>D17/D$23*'Global Server Stock'!K$18-D59</f>
        <v>4822.0422869335207</v>
      </c>
      <c r="F50" s="18">
        <f>F17/F$23*'Global Server Stock'!M$18-F59</f>
        <v>4880.7575498575507</v>
      </c>
      <c r="G50" s="18">
        <f>G17/G$23*'Global Server Stock'!N$18-G59</f>
        <v>5112.1506493506495</v>
      </c>
      <c r="H50" s="18">
        <f>H17/H$23*'Global Server Stock'!O$18-H59</f>
        <v>5042.5502791068557</v>
      </c>
      <c r="I50" s="18">
        <f>I17/I$23*'Global Server Stock'!P$18-I59</f>
        <v>5745.203721793132</v>
      </c>
      <c r="J50" s="18">
        <f>J17/J$23*'Global Server Stock'!Q$18-J59</f>
        <v>6538.7876633189426</v>
      </c>
    </row>
    <row r="51" spans="2:10" x14ac:dyDescent="0.55000000000000004">
      <c r="B51" s="90" t="s">
        <v>26</v>
      </c>
      <c r="C51" s="18">
        <f>C18/C$23*'Global Server Stock'!C$18-C60</f>
        <v>0.73656714285714253</v>
      </c>
      <c r="D51" s="18">
        <f>D18/D$23*'Global Server Stock'!K$18-D60</f>
        <v>791.22652465618307</v>
      </c>
      <c r="F51" s="18">
        <f>F18/F$23*'Global Server Stock'!M$18-F60</f>
        <v>814.3935042735045</v>
      </c>
      <c r="G51" s="18">
        <f>G18/G$23*'Global Server Stock'!N$18-G60</f>
        <v>834.52961038961041</v>
      </c>
      <c r="H51" s="18">
        <f>H18/H$23*'Global Server Stock'!O$18-H60</f>
        <v>845.88512759170646</v>
      </c>
      <c r="I51" s="18">
        <f>I18/I$23*'Global Server Stock'!P$18-I60</f>
        <v>951.88743618387355</v>
      </c>
      <c r="J51" s="18">
        <f>J18/J$23*'Global Server Stock'!Q$18-J60</f>
        <v>1071.0245012300716</v>
      </c>
    </row>
    <row r="52" spans="2:10" x14ac:dyDescent="0.55000000000000004">
      <c r="B52" s="90" t="s">
        <v>27</v>
      </c>
      <c r="C52" s="18">
        <f>C19/C$23*'Global Server Stock'!C$18-C61</f>
        <v>0</v>
      </c>
      <c r="D52" s="18">
        <f>D19/D$23*'Global Server Stock'!K$18-D61</f>
        <v>416.27728534652067</v>
      </c>
      <c r="F52" s="18">
        <f>F19/F$23*'Global Server Stock'!M$18-F61</f>
        <v>327.18795907795936</v>
      </c>
      <c r="G52" s="18">
        <f>G19/G$23*'Global Server Stock'!N$18-G61</f>
        <v>305.96025974025974</v>
      </c>
      <c r="H52" s="18">
        <f>H19/H$23*'Global Server Stock'!O$18-H61</f>
        <v>273.19442185007949</v>
      </c>
      <c r="I52" s="18">
        <f>I19/I$23*'Global Server Stock'!P$18-I61</f>
        <v>315.08925485049031</v>
      </c>
      <c r="J52" s="18">
        <f>J19/J$23*'Global Server Stock'!Q$18-J61</f>
        <v>362.59369707682731</v>
      </c>
    </row>
    <row r="53" spans="2:10" x14ac:dyDescent="0.55000000000000004">
      <c r="B53" s="90" t="s">
        <v>28</v>
      </c>
      <c r="C53" s="18">
        <f>C20/C$23*'Global Server Stock'!C$18-C62</f>
        <v>0</v>
      </c>
      <c r="D53" s="18">
        <f>D20/D$23*'Global Server Stock'!K$18-D62</f>
        <v>617.41343800351967</v>
      </c>
      <c r="F53" s="18">
        <f>F20/F$23*'Global Server Stock'!M$18-F62</f>
        <v>600.96088578088609</v>
      </c>
      <c r="G53" s="18">
        <f>G20/G$23*'Global Server Stock'!N$18-G62</f>
        <v>570.73792207792212</v>
      </c>
      <c r="H53" s="18">
        <f>H20/H$23*'Global Server Stock'!O$18-H62</f>
        <v>523.1131738437</v>
      </c>
      <c r="I53" s="18">
        <f>I20/I$23*'Global Server Stock'!P$18-I62</f>
        <v>590.76906316505119</v>
      </c>
      <c r="J53" s="18">
        <f>J20/J$23*'Global Server Stock'!Q$18-J62</f>
        <v>666.92301867777496</v>
      </c>
    </row>
    <row r="54" spans="2:10" x14ac:dyDescent="0.55000000000000004">
      <c r="B54" s="90" t="s">
        <v>29</v>
      </c>
      <c r="C54" s="18">
        <f>C21/C$23*'Global Server Stock'!C$18-C63</f>
        <v>449.30595714285732</v>
      </c>
      <c r="D54" s="18">
        <f>D21/D$23*'Global Server Stock'!K$18-D63</f>
        <v>4848.4871410756132</v>
      </c>
      <c r="F54" s="18">
        <f>F21/F$23*'Global Server Stock'!M$18-F63</f>
        <v>4783.1032521799207</v>
      </c>
      <c r="G54" s="18">
        <f>G21/G$23*'Global Server Stock'!N$18-G63</f>
        <v>5111.6553246753301</v>
      </c>
      <c r="H54" s="18">
        <f>H21/H$23*'Global Server Stock'!O$18-H63</f>
        <v>5316.8008173843682</v>
      </c>
      <c r="I54" s="18">
        <f>I21/I$23*'Global Server Stock'!P$18-I63</f>
        <v>6045.6333377530918</v>
      </c>
      <c r="J54" s="18">
        <f>J21/J$23*'Global Server Stock'!Q$18-J63</f>
        <v>6868.1928785846303</v>
      </c>
    </row>
    <row r="55" spans="2:10" x14ac:dyDescent="0.55000000000000004">
      <c r="B55" s="90" t="s">
        <v>30</v>
      </c>
      <c r="C55" s="18">
        <f>C22/C$23*'Global Server Stock'!C$18-C64</f>
        <v>117.11417571428575</v>
      </c>
      <c r="D55" s="18">
        <f>D22/D$23*'Global Server Stock'!K$18-D64</f>
        <v>2700.4276073589249</v>
      </c>
      <c r="F55" s="18">
        <f>F22/F$23*'Global Server Stock'!M$18-F64</f>
        <v>2536.1678580678599</v>
      </c>
      <c r="G55" s="18">
        <f>G22/G$23*'Global Server Stock'!N$18-G64</f>
        <v>2510.4207792207799</v>
      </c>
      <c r="H55" s="18">
        <f>H22/H$23*'Global Server Stock'!O$18-H64</f>
        <v>2412.726515151513</v>
      </c>
      <c r="I55" s="18">
        <f>I22/I$23*'Global Server Stock'!P$18-I64</f>
        <v>2749.6545811372889</v>
      </c>
      <c r="J55" s="18">
        <f>J22/J$23*'Global Server Stock'!Q$18-J64</f>
        <v>3130.2202818341184</v>
      </c>
    </row>
    <row r="56" spans="2:10" x14ac:dyDescent="0.55000000000000004">
      <c r="B56" s="10" t="s">
        <v>31</v>
      </c>
      <c r="C56" s="48">
        <f t="shared" ref="C56:H56" si="11">SUM(C50:C55)</f>
        <v>736.56714285714293</v>
      </c>
      <c r="D56" s="48">
        <f t="shared" si="11"/>
        <v>14195.87428337428</v>
      </c>
      <c r="F56" s="48">
        <f t="shared" si="11"/>
        <v>13942.571009237681</v>
      </c>
      <c r="G56" s="48">
        <f t="shared" si="11"/>
        <v>14445.454545454553</v>
      </c>
      <c r="H56" s="48">
        <f t="shared" si="11"/>
        <v>14414.270334928224</v>
      </c>
      <c r="I56" s="48">
        <f t="shared" ref="I56:J56" si="12">SUM(I50:I55)</f>
        <v>16398.237394882926</v>
      </c>
      <c r="J56" s="48">
        <f t="shared" si="12"/>
        <v>18637.742040722365</v>
      </c>
    </row>
    <row r="58" spans="2:10" x14ac:dyDescent="0.55000000000000004">
      <c r="B58" s="34" t="s">
        <v>124</v>
      </c>
      <c r="C58" s="34">
        <v>2010</v>
      </c>
      <c r="D58" s="15">
        <v>2018</v>
      </c>
      <c r="F58" s="15">
        <v>2019</v>
      </c>
      <c r="G58" s="15">
        <v>2020</v>
      </c>
      <c r="H58" s="15">
        <v>2021</v>
      </c>
      <c r="I58" s="15">
        <v>2022</v>
      </c>
      <c r="J58" s="15">
        <v>2023</v>
      </c>
    </row>
    <row r="59" spans="2:10" x14ac:dyDescent="0.55000000000000004">
      <c r="B59" s="11" t="s">
        <v>25</v>
      </c>
      <c r="C59" s="18">
        <f>C29*'Global Server Stock'!C$35</f>
        <v>632.30384285714285</v>
      </c>
      <c r="D59" s="18">
        <f>D29*'Global Server Stock'!K$35</f>
        <v>5762.0044226044238</v>
      </c>
      <c r="F59" s="18">
        <f>F29*'Global Server Stock'!M$35</f>
        <v>7234.6270655270682</v>
      </c>
      <c r="G59" s="18">
        <f>G29*'Global Server Stock'!N$35</f>
        <v>8491.7454545454566</v>
      </c>
      <c r="H59" s="18">
        <f>H29*'Global Server Stock'!O$35</f>
        <v>10146.843660287082</v>
      </c>
      <c r="I59" s="18">
        <f>I29*'Global Server Stock'!P$35</f>
        <v>11309.202515724563</v>
      </c>
      <c r="J59" s="18">
        <f>J29*'Global Server Stock'!Q$35</f>
        <v>12609.6242663994</v>
      </c>
    </row>
    <row r="60" spans="2:10" x14ac:dyDescent="0.55000000000000004">
      <c r="B60" s="90" t="s">
        <v>26</v>
      </c>
      <c r="C60" s="18">
        <f>C30*'Global Server Stock'!C$35</f>
        <v>2.7491471428571428</v>
      </c>
      <c r="D60" s="18">
        <f>D30*'Global Server Stock'!K$35</f>
        <v>99.463171580671599</v>
      </c>
      <c r="F60" s="18">
        <f>F30*'Global Server Stock'!M$35</f>
        <v>147.14495726495733</v>
      </c>
      <c r="G60" s="18">
        <f>G30*'Global Server Stock'!N$35</f>
        <v>196.31454545454548</v>
      </c>
      <c r="H60" s="18">
        <f>H30*'Global Server Stock'!O$35</f>
        <v>260.17547846889954</v>
      </c>
      <c r="I60" s="18">
        <f>I30*'Global Server Stock'!P$35</f>
        <v>289.97955168524516</v>
      </c>
      <c r="J60" s="18">
        <f>J30*'Global Server Stock'!Q$35</f>
        <v>323.32369913844616</v>
      </c>
    </row>
    <row r="61" spans="2:10" x14ac:dyDescent="0.55000000000000004">
      <c r="B61" s="90" t="s">
        <v>27</v>
      </c>
      <c r="C61" s="18">
        <f>C31*'Global Server Stock'!C$35</f>
        <v>0</v>
      </c>
      <c r="D61" s="18">
        <f>D31*'Global Server Stock'!K$35</f>
        <v>607.06832309582319</v>
      </c>
      <c r="F61" s="18">
        <f>F31*'Global Server Stock'!M$35</f>
        <v>747.98686609686627</v>
      </c>
      <c r="G61" s="18">
        <f>G31*'Global Server Stock'!N$35</f>
        <v>862.87090909090921</v>
      </c>
      <c r="H61" s="18">
        <f>H31*'Global Server Stock'!O$35</f>
        <v>1014.6843660287083</v>
      </c>
      <c r="I61" s="18">
        <f>I31*'Global Server Stock'!P$35</f>
        <v>1130.9202515724562</v>
      </c>
      <c r="J61" s="18">
        <f>J31*'Global Server Stock'!Q$35</f>
        <v>1260.9624266399398</v>
      </c>
    </row>
    <row r="62" spans="2:10" x14ac:dyDescent="0.55000000000000004">
      <c r="B62" s="90" t="s">
        <v>28</v>
      </c>
      <c r="C62" s="18">
        <f>C32*'Global Server Stock'!C$35</f>
        <v>0</v>
      </c>
      <c r="D62" s="18">
        <f>D32*'Global Server Stock'!K$35</f>
        <v>140.62034602784607</v>
      </c>
      <c r="F62" s="18">
        <f>F32*'Global Server Stock'!M$35</f>
        <v>220.71743589743596</v>
      </c>
      <c r="G62" s="18">
        <f>G32*'Global Server Stock'!N$35</f>
        <v>305.88545454545459</v>
      </c>
      <c r="H62" s="18">
        <f>H32*'Global Server Stock'!O$35</f>
        <v>416.28076555023932</v>
      </c>
      <c r="I62" s="18">
        <f>I32*'Global Server Stock'!P$35</f>
        <v>463.96728269639226</v>
      </c>
      <c r="J62" s="18">
        <f>J32*'Global Server Stock'!Q$35</f>
        <v>517.31791862151385</v>
      </c>
    </row>
    <row r="63" spans="2:10" x14ac:dyDescent="0.55000000000000004">
      <c r="B63" s="90" t="s">
        <v>29</v>
      </c>
      <c r="C63" s="18">
        <f>C33*'Global Server Stock'!C$35</f>
        <v>1676.9797571428569</v>
      </c>
      <c r="D63" s="18">
        <f>D33*'Global Server Stock'!K$35</f>
        <v>7384.2830487305491</v>
      </c>
      <c r="F63" s="18">
        <f>F33*'Global Server Stock'!M$35</f>
        <v>8285.078566001901</v>
      </c>
      <c r="G63" s="18">
        <f>G33*'Global Server Stock'!N$35</f>
        <v>8678.9290909090887</v>
      </c>
      <c r="H63" s="18">
        <f>H33*'Global Server Stock'!O$35</f>
        <v>9236.2294856459339</v>
      </c>
      <c r="I63" s="18">
        <f>I33*'Global Server Stock'!P$35</f>
        <v>10294.274084826204</v>
      </c>
      <c r="J63" s="18">
        <f>J33*'Global Server Stock'!Q$35</f>
        <v>11477.991319414838</v>
      </c>
    </row>
    <row r="64" spans="2:10" x14ac:dyDescent="0.55000000000000004">
      <c r="B64" s="90" t="s">
        <v>30</v>
      </c>
      <c r="C64" s="18">
        <f>C34*'Global Server Stock'!C$35</f>
        <v>437.11439571428576</v>
      </c>
      <c r="D64" s="18">
        <f>D34*'Global Server Stock'!K$35</f>
        <v>3155.3833742833745</v>
      </c>
      <c r="F64" s="18">
        <f>F34*'Global Server Stock'!M$35</f>
        <v>3801.2447293447303</v>
      </c>
      <c r="G64" s="18">
        <f>G34*'Global Server Stock'!N$35</f>
        <v>4291.5272727272732</v>
      </c>
      <c r="H64" s="18">
        <f>H34*'Global Server Stock'!O$35</f>
        <v>4943.3340909090921</v>
      </c>
      <c r="I64" s="18">
        <f>I34*'Global Server Stock'!P$35</f>
        <v>5509.6114820196581</v>
      </c>
      <c r="J64" s="18">
        <f>J34*'Global Server Stock'!Q$35</f>
        <v>6143.1502836304762</v>
      </c>
    </row>
    <row r="65" spans="2:10" x14ac:dyDescent="0.55000000000000004">
      <c r="B65" s="10" t="s">
        <v>31</v>
      </c>
      <c r="C65" s="48">
        <f t="shared" ref="C65" si="13">SUM(C59:C64)</f>
        <v>2749.1471428571426</v>
      </c>
      <c r="D65" s="48">
        <f t="shared" ref="D65:H65" si="14">SUM(D59:D64)</f>
        <v>17148.822686322688</v>
      </c>
      <c r="F65" s="48">
        <f t="shared" si="14"/>
        <v>20436.799620132955</v>
      </c>
      <c r="G65" s="48">
        <f t="shared" si="14"/>
        <v>22827.272727272728</v>
      </c>
      <c r="H65" s="48">
        <f t="shared" si="14"/>
        <v>26017.547846889956</v>
      </c>
      <c r="I65" s="48">
        <f t="shared" ref="I65:J65" si="15">SUM(I59:I64)</f>
        <v>28997.955168524517</v>
      </c>
      <c r="J65" s="48">
        <f t="shared" si="15"/>
        <v>32332.369913844614</v>
      </c>
    </row>
    <row r="68" spans="2:10" x14ac:dyDescent="0.55000000000000004">
      <c r="C68" s="18"/>
      <c r="D68" s="18"/>
      <c r="F68" s="18"/>
      <c r="G68" s="18"/>
      <c r="H68"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heetViews>
  <sheetFormatPr defaultRowHeight="14.4" x14ac:dyDescent="0.55000000000000004"/>
  <cols>
    <col min="1" max="1" width="2.68359375" customWidth="1"/>
    <col min="2" max="2" width="50.05078125" customWidth="1"/>
    <col min="3" max="8" width="7.26171875" customWidth="1"/>
  </cols>
  <sheetData>
    <row r="1" spans="1:10" x14ac:dyDescent="0.55000000000000004">
      <c r="A1" s="3"/>
    </row>
    <row r="2" spans="1:10" x14ac:dyDescent="0.55000000000000004">
      <c r="B2" s="3" t="s">
        <v>125</v>
      </c>
      <c r="C2" s="5" t="s">
        <v>20</v>
      </c>
      <c r="D2" s="5" t="s">
        <v>126</v>
      </c>
    </row>
    <row r="4" spans="1:10" x14ac:dyDescent="0.55000000000000004">
      <c r="C4" s="8" t="s">
        <v>111</v>
      </c>
      <c r="D4" s="1"/>
      <c r="F4" s="8" t="s">
        <v>234</v>
      </c>
      <c r="G4" s="1"/>
      <c r="H4" s="1"/>
      <c r="I4" s="1"/>
      <c r="J4" s="1"/>
    </row>
    <row r="5" spans="1:10" x14ac:dyDescent="0.55000000000000004">
      <c r="B5" s="14" t="s">
        <v>57</v>
      </c>
      <c r="C5" s="14">
        <v>2010</v>
      </c>
      <c r="D5" s="8">
        <v>2018</v>
      </c>
      <c r="F5" s="8">
        <v>2019</v>
      </c>
      <c r="G5" s="8">
        <v>2020</v>
      </c>
      <c r="H5" s="8">
        <v>2021</v>
      </c>
      <c r="I5" s="8">
        <v>2022</v>
      </c>
      <c r="J5" s="8">
        <v>2023</v>
      </c>
    </row>
    <row r="6" spans="1:10" x14ac:dyDescent="0.55000000000000004">
      <c r="B6" t="s">
        <v>25</v>
      </c>
      <c r="C6" s="18">
        <f>'Regional Server Stock'!C41/'Regional Server Stock'!C$47*'Global Server Energy'!C$36</f>
        <v>21.546846797318619</v>
      </c>
      <c r="D6" s="18">
        <f>'Regional Server Stock'!D41/'Regional Server Stock'!D$47*'Global Server Energy'!K$36</f>
        <v>7.730738440969759</v>
      </c>
      <c r="E6" s="11"/>
      <c r="F6" s="18">
        <f>'Regional Server Stock'!F41/'Regional Server Stock'!F$47*'Global Server Energy'!M$36</f>
        <v>7.0904761210578444</v>
      </c>
      <c r="G6" s="18">
        <f>'Regional Server Stock'!G41/'Regional Server Stock'!G$47*'Global Server Energy'!N$36</f>
        <v>6.1093162097542555</v>
      </c>
      <c r="H6" s="18">
        <f>'Regional Server Stock'!H41/'Regional Server Stock'!H$47*'Global Server Energy'!O$36</f>
        <v>5.2491226046359394</v>
      </c>
      <c r="I6" s="18">
        <f>'Regional Server Stock'!I41/'Regional Server Stock'!I$47*'Global Server Energy'!P$36</f>
        <v>4.833742696096893</v>
      </c>
      <c r="J6" s="18">
        <f>'Regional Server Stock'!J41/'Regional Server Stock'!J$47*'Global Server Energy'!Q$36</f>
        <v>4.4914301701676491</v>
      </c>
    </row>
    <row r="7" spans="1:10" x14ac:dyDescent="0.55000000000000004">
      <c r="B7" s="20" t="s">
        <v>26</v>
      </c>
      <c r="C7" s="18">
        <f>'Regional Server Stock'!C42/'Regional Server Stock'!C$47*'Global Server Energy'!C$36</f>
        <v>2.1124359605214336</v>
      </c>
      <c r="D7" s="18">
        <f>'Regional Server Stock'!D42/'Regional Server Stock'!D$47*'Global Server Energy'!K$36</f>
        <v>0.70924205880456559</v>
      </c>
      <c r="E7" s="11"/>
      <c r="F7" s="18">
        <f>'Regional Server Stock'!F42/'Regional Server Stock'!F$47*'Global Server Energy'!M$36</f>
        <v>0.6020215574483081</v>
      </c>
      <c r="G7" s="18">
        <f>'Regional Server Stock'!G42/'Regional Server Stock'!G$47*'Global Server Energy'!N$36</f>
        <v>0.51446873345299038</v>
      </c>
      <c r="H7" s="18">
        <f>'Regional Server Stock'!H42/'Regional Server Stock'!H$47*'Global Server Energy'!O$36</f>
        <v>0.50593952815768073</v>
      </c>
      <c r="I7" s="18">
        <f>'Regional Server Stock'!I42/'Regional Server Stock'!I$47*'Global Server Energy'!P$36</f>
        <v>0.46590291046717014</v>
      </c>
      <c r="J7" s="18">
        <f>'Regional Server Stock'!J42/'Regional Server Stock'!J$47*'Global Server Energy'!Q$36</f>
        <v>0.43290893206435166</v>
      </c>
    </row>
    <row r="8" spans="1:10" x14ac:dyDescent="0.55000000000000004">
      <c r="B8" s="20" t="s">
        <v>27</v>
      </c>
      <c r="C8" s="18">
        <f>'Regional Server Stock'!C43/'Regional Server Stock'!C$47*'Global Server Energy'!C$36</f>
        <v>2.1124359605214336</v>
      </c>
      <c r="D8" s="18">
        <f>'Regional Server Stock'!D43/'Regional Server Stock'!D$47*'Global Server Energy'!K$36</f>
        <v>0.56739364704365192</v>
      </c>
      <c r="E8" s="11"/>
      <c r="F8" s="18">
        <f>'Regional Server Stock'!F43/'Regional Server Stock'!F$47*'Global Server Energy'!M$36</f>
        <v>0.46823898912646122</v>
      </c>
      <c r="G8" s="18">
        <f>'Regional Server Stock'!G43/'Regional Server Stock'!G$47*'Global Server Energy'!N$36</f>
        <v>0.45016014177136576</v>
      </c>
      <c r="H8" s="18">
        <f>'Regional Server Stock'!H43/'Regional Server Stock'!H$47*'Global Server Energy'!O$36</f>
        <v>0.37945464611826113</v>
      </c>
      <c r="I8" s="18">
        <f>'Regional Server Stock'!I43/'Regional Server Stock'!I$47*'Global Server Energy'!P$36</f>
        <v>0.34942718285037816</v>
      </c>
      <c r="J8" s="18">
        <f>'Regional Server Stock'!J43/'Regional Server Stock'!J$47*'Global Server Energy'!Q$36</f>
        <v>0.32468169904826422</v>
      </c>
    </row>
    <row r="9" spans="1:10" x14ac:dyDescent="0.55000000000000004">
      <c r="B9" s="20" t="s">
        <v>28</v>
      </c>
      <c r="C9" s="18">
        <f>'Regional Server Stock'!C44/'Regional Server Stock'!C$47*'Global Server Energy'!C$36</f>
        <v>0.92510126546973126</v>
      </c>
      <c r="D9" s="18">
        <f>'Regional Server Stock'!D44/'Regional Server Stock'!D$47*'Global Server Energy'!K$36</f>
        <v>0.56739364704365292</v>
      </c>
      <c r="E9" s="11"/>
      <c r="F9" s="18">
        <f>'Regional Server Stock'!F44/'Regional Server Stock'!F$47*'Global Server Energy'!M$36</f>
        <v>0.46823898912646122</v>
      </c>
      <c r="G9" s="18">
        <f>'Regional Server Stock'!G44/'Regional Server Stock'!G$47*'Global Server Energy'!N$36</f>
        <v>0.45016014177136576</v>
      </c>
      <c r="H9" s="18">
        <f>'Regional Server Stock'!H44/'Regional Server Stock'!H$47*'Global Server Energy'!O$36</f>
        <v>0.37945464611825996</v>
      </c>
      <c r="I9" s="18">
        <f>'Regional Server Stock'!I44/'Regional Server Stock'!I$47*'Global Server Energy'!P$36</f>
        <v>0.34942718285037716</v>
      </c>
      <c r="J9" s="18">
        <f>'Regional Server Stock'!J44/'Regional Server Stock'!J$47*'Global Server Energy'!Q$36</f>
        <v>0.32468169904826333</v>
      </c>
    </row>
    <row r="10" spans="1:10" x14ac:dyDescent="0.55000000000000004">
      <c r="B10" s="20" t="s">
        <v>29</v>
      </c>
      <c r="C10" s="18">
        <f>'Regional Server Stock'!C45/'Regional Server Stock'!C$47*'Global Server Energy'!C$36</f>
        <v>24.202688698029359</v>
      </c>
      <c r="D10" s="18">
        <f>'Regional Server Stock'!D45/'Regional Server Stock'!D$47*'Global Server Energy'!K$36</f>
        <v>13.475599117286746</v>
      </c>
      <c r="E10" s="11"/>
      <c r="F10" s="18">
        <f>'Regional Server Stock'!F45/'Regional Server Stock'!F$47*'Global Server Energy'!M$36</f>
        <v>12.040431148966157</v>
      </c>
      <c r="G10" s="18">
        <f>'Regional Server Stock'!G45/'Regional Server Stock'!G$47*'Global Server Energy'!N$36</f>
        <v>10.67522621914954</v>
      </c>
      <c r="H10" s="18">
        <f>'Regional Server Stock'!H45/'Regional Server Stock'!H$47*'Global Server Energy'!O$36</f>
        <v>9.4231237119367979</v>
      </c>
      <c r="I10" s="18">
        <f>'Regional Server Stock'!I45/'Regional Server Stock'!I$47*'Global Server Energy'!P$36</f>
        <v>8.6774417074510399</v>
      </c>
      <c r="J10" s="18">
        <f>'Regional Server Stock'!J45/'Regional Server Stock'!J$47*'Global Server Energy'!Q$36</f>
        <v>8.0629288596985447</v>
      </c>
    </row>
    <row r="11" spans="1:10" x14ac:dyDescent="0.55000000000000004">
      <c r="B11" s="20" t="s">
        <v>30</v>
      </c>
      <c r="C11" s="18">
        <f>'Regional Server Stock'!C46/'Regional Server Stock'!C$47*'Global Server Energy'!C$36</f>
        <v>15.06385367709767</v>
      </c>
      <c r="D11" s="18">
        <f>'Regional Server Stock'!D46/'Regional Server Stock'!D$47*'Global Server Energy'!K$36</f>
        <v>5.9576332939583549</v>
      </c>
      <c r="E11" s="11"/>
      <c r="F11" s="18">
        <f>'Regional Server Stock'!F46/'Regional Server Stock'!F$47*'Global Server Energy'!M$36</f>
        <v>5.4850853011956957</v>
      </c>
      <c r="G11" s="18">
        <f>'Regional Server Stock'!G46/'Regional Server Stock'!G$47*'Global Server Energy'!N$36</f>
        <v>5.1446873345298991</v>
      </c>
      <c r="H11" s="18">
        <f>'Regional Server Stock'!H46/'Regional Server Stock'!H$47*'Global Server Energy'!O$36</f>
        <v>4.8696679585176739</v>
      </c>
      <c r="I11" s="18">
        <f>'Regional Server Stock'!I46/'Regional Server Stock'!I$47*'Global Server Energy'!P$36</f>
        <v>4.4843155132465107</v>
      </c>
      <c r="J11" s="18">
        <f>'Regional Server Stock'!J46/'Regional Server Stock'!J$47*'Global Server Energy'!Q$36</f>
        <v>4.1667484711193827</v>
      </c>
    </row>
    <row r="12" spans="1:10" x14ac:dyDescent="0.55000000000000004">
      <c r="B12" s="7" t="s">
        <v>31</v>
      </c>
      <c r="C12" s="48">
        <f t="shared" ref="C12" si="0">SUM(C6:C11)</f>
        <v>65.96336235895825</v>
      </c>
      <c r="D12" s="48">
        <f>SUM(D6:D11)</f>
        <v>29.008000205106732</v>
      </c>
      <c r="E12" s="11"/>
      <c r="F12" s="48">
        <f>SUM(F6:F11)</f>
        <v>26.154492106920927</v>
      </c>
      <c r="G12" s="48">
        <f>SUM(G6:G11)</f>
        <v>23.344018780429415</v>
      </c>
      <c r="H12" s="48">
        <f>SUM(H6:H11)</f>
        <v>20.806763095484612</v>
      </c>
      <c r="I12" s="48">
        <f t="shared" ref="I12:J12" si="1">SUM(I6:I11)</f>
        <v>19.160257192962369</v>
      </c>
      <c r="J12" s="48">
        <f t="shared" si="1"/>
        <v>17.803379831146458</v>
      </c>
    </row>
    <row r="13" spans="1:10" x14ac:dyDescent="0.55000000000000004">
      <c r="C13" s="5"/>
      <c r="D13" s="11"/>
      <c r="E13" s="11"/>
      <c r="F13" s="11"/>
      <c r="G13" s="11"/>
      <c r="H13" s="11"/>
      <c r="I13" s="11"/>
      <c r="J13" s="11"/>
    </row>
    <row r="14" spans="1:10" ht="14.5" customHeight="1" x14ac:dyDescent="0.55000000000000004">
      <c r="B14" s="14" t="s">
        <v>59</v>
      </c>
      <c r="C14" s="34">
        <v>2010</v>
      </c>
      <c r="D14" s="15">
        <v>2018</v>
      </c>
      <c r="E14" s="11"/>
      <c r="F14" s="15">
        <v>2019</v>
      </c>
      <c r="G14" s="15">
        <v>2020</v>
      </c>
      <c r="H14" s="15">
        <v>2021</v>
      </c>
      <c r="I14" s="15">
        <v>2022</v>
      </c>
      <c r="J14" s="15">
        <v>2023</v>
      </c>
    </row>
    <row r="15" spans="1:10" x14ac:dyDescent="0.55000000000000004">
      <c r="B15" t="s">
        <v>25</v>
      </c>
      <c r="C15" s="18">
        <f>'Regional Server Stock'!C50/'Regional Server Stock'!C$56*'Global Server Energy'!C$44</f>
        <v>2.2261471803646304</v>
      </c>
      <c r="D15" s="18">
        <f>'Regional Server Stock'!D50/'Regional Server Stock'!D$56*'Global Server Energy'!K$44</f>
        <v>12.10970217832724</v>
      </c>
      <c r="E15" s="11"/>
      <c r="F15" s="18">
        <f>'Regional Server Stock'!F50/'Regional Server Stock'!F$56*'Global Server Energy'!M$44</f>
        <v>12.195015265796895</v>
      </c>
      <c r="G15" s="18">
        <f>'Regional Server Stock'!G50/'Regional Server Stock'!G$56*'Global Server Energy'!N$44</f>
        <v>12.526347338389169</v>
      </c>
      <c r="H15" s="18">
        <f>'Regional Server Stock'!H50/'Regional Server Stock'!H$56*'Global Server Energy'!O$44</f>
        <v>12.143395940726318</v>
      </c>
      <c r="I15" s="18">
        <f>'Regional Server Stock'!I50/'Regional Server Stock'!I$56*'Global Server Energy'!P$44</f>
        <v>13.228265174062669</v>
      </c>
      <c r="J15" s="18">
        <f>'Regional Server Stock'!J50/'Regional Server Stock'!J$56*'Global Server Energy'!Q$44</f>
        <v>14.433239770370287</v>
      </c>
    </row>
    <row r="16" spans="1:10" x14ac:dyDescent="0.55000000000000004">
      <c r="B16" s="20" t="s">
        <v>26</v>
      </c>
      <c r="C16" s="18">
        <f>'Regional Server Stock'!C51/'Regional Server Stock'!C$56*'Global Server Energy'!C$44</f>
        <v>9.678900784194042E-3</v>
      </c>
      <c r="D16" s="18">
        <f>'Regional Server Stock'!D51/'Regional Server Stock'!D$56*'Global Server Energy'!K$44</f>
        <v>1.987024791371633</v>
      </c>
      <c r="E16" s="11"/>
      <c r="F16" s="18">
        <f>'Regional Server Stock'!F51/'Regional Server Stock'!F$56*'Global Server Energy'!M$44</f>
        <v>2.0348360096827749</v>
      </c>
      <c r="G16" s="18">
        <f>'Regional Server Stock'!G51/'Regional Server Stock'!G$56*'Global Server Energy'!N$44</f>
        <v>2.0448551854078625</v>
      </c>
      <c r="H16" s="18">
        <f>'Regional Server Stock'!H51/'Regional Server Stock'!H$56*'Global Server Energy'!O$44</f>
        <v>2.0370482109575057</v>
      </c>
      <c r="I16" s="18">
        <f>'Regional Server Stock'!I51/'Regional Server Stock'!I$56*'Global Server Energy'!P$44</f>
        <v>2.191709821173915</v>
      </c>
      <c r="J16" s="18">
        <f>'Regional Server Stock'!J51/'Regional Server Stock'!J$56*'Global Server Energy'!Q$44</f>
        <v>2.3641008428691741</v>
      </c>
    </row>
    <row r="17" spans="2:10" x14ac:dyDescent="0.55000000000000004">
      <c r="B17" s="20" t="s">
        <v>27</v>
      </c>
      <c r="C17" s="18">
        <f>'Regional Server Stock'!C52/'Regional Server Stock'!C$56*'Global Server Energy'!C$44</f>
        <v>0</v>
      </c>
      <c r="D17" s="18">
        <f>'Regional Server Stock'!D52/'Regional Server Stock'!D$56*'Global Server Energy'!K$44</f>
        <v>1.0454064168638033</v>
      </c>
      <c r="E17" s="11"/>
      <c r="F17" s="18">
        <f>'Regional Server Stock'!F52/'Regional Server Stock'!F$56*'Global Server Energy'!M$44</f>
        <v>0.81750878116391956</v>
      </c>
      <c r="G17" s="18">
        <f>'Regional Server Stock'!G52/'Regional Server Stock'!G$56*'Global Server Energy'!N$44</f>
        <v>0.74969709387126093</v>
      </c>
      <c r="H17" s="18">
        <f>'Regional Server Stock'!H52/'Regional Server Stock'!H$56*'Global Server Energy'!O$44</f>
        <v>0.65790281696723729</v>
      </c>
      <c r="I17" s="18">
        <f>'Regional Server Stock'!I52/'Regional Server Stock'!I$56*'Global Server Energy'!P$44</f>
        <v>0.72548936791386742</v>
      </c>
      <c r="J17" s="18">
        <f>'Regional Server Stock'!J52/'Regional Server Stock'!J$56*'Global Server Energy'!Q$44</f>
        <v>0.80036270308837376</v>
      </c>
    </row>
    <row r="18" spans="2:10" x14ac:dyDescent="0.55000000000000004">
      <c r="B18" s="20" t="s">
        <v>28</v>
      </c>
      <c r="C18" s="18">
        <f>'Regional Server Stock'!C53/'Regional Server Stock'!C$56*'Global Server Energy'!C$44</f>
        <v>0</v>
      </c>
      <c r="D18" s="18">
        <f>'Regional Server Stock'!D53/'Regional Server Stock'!D$56*'Global Server Energy'!K$44</f>
        <v>1.5505241161778327</v>
      </c>
      <c r="E18" s="11"/>
      <c r="F18" s="18">
        <f>'Regional Server Stock'!F53/'Regional Server Stock'!F$56*'Global Server Energy'!M$44</f>
        <v>1.5015552609161309</v>
      </c>
      <c r="G18" s="18">
        <f>'Regional Server Stock'!G53/'Regional Server Stock'!G$56*'Global Server Energy'!N$44</f>
        <v>1.3984841100186771</v>
      </c>
      <c r="H18" s="18">
        <f>'Regional Server Stock'!H53/'Regional Server Stock'!H$56*'Global Server Energy'!O$44</f>
        <v>1.2597535057040996</v>
      </c>
      <c r="I18" s="18">
        <f>'Regional Server Stock'!I53/'Regional Server Stock'!I$56*'Global Server Energy'!P$44</f>
        <v>1.3602389406203315</v>
      </c>
      <c r="J18" s="18">
        <f>'Regional Server Stock'!J53/'Regional Server Stock'!J$56*'Global Server Energy'!Q$44</f>
        <v>1.4721169018768221</v>
      </c>
    </row>
    <row r="19" spans="2:10" x14ac:dyDescent="0.55000000000000004">
      <c r="B19" s="20" t="s">
        <v>29</v>
      </c>
      <c r="C19" s="18">
        <f>'Regional Server Stock'!C54/'Regional Server Stock'!C$56*'Global Server Energy'!C$44</f>
        <v>5.9041294783583718</v>
      </c>
      <c r="D19" s="18">
        <f>'Regional Server Stock'!D54/'Regional Server Stock'!D$56*'Global Server Energy'!K$44</f>
        <v>12.176113729440718</v>
      </c>
      <c r="E19" s="11"/>
      <c r="F19" s="18">
        <f>'Regional Server Stock'!F54/'Regional Server Stock'!F$56*'Global Server Energy'!M$44</f>
        <v>11.951017148950438</v>
      </c>
      <c r="G19" s="18">
        <f>'Regional Server Stock'!G54/'Regional Server Stock'!G$56*'Global Server Energy'!N$44</f>
        <v>12.525133640015644</v>
      </c>
      <c r="H19" s="18">
        <f>'Regional Server Stock'!H54/'Regional Server Stock'!H$56*'Global Server Energy'!O$44</f>
        <v>12.803842081850572</v>
      </c>
      <c r="I19" s="18">
        <f>'Regional Server Stock'!I54/'Regional Server Stock'!I$56*'Global Server Energy'!P$44</f>
        <v>13.920000892847552</v>
      </c>
      <c r="J19" s="18">
        <f>'Regional Server Stock'!J54/'Regional Server Stock'!J$56*'Global Server Energy'!Q$44</f>
        <v>15.160344655609347</v>
      </c>
    </row>
    <row r="20" spans="2:10" x14ac:dyDescent="0.55000000000000004">
      <c r="B20" s="20" t="s">
        <v>30</v>
      </c>
      <c r="C20" s="18">
        <f>'Regional Server Stock'!C55/'Regional Server Stock'!C$56*'Global Server Energy'!C$44</f>
        <v>1.538945224686854</v>
      </c>
      <c r="D20" s="18">
        <f>'Regional Server Stock'!D55/'Regional Server Stock'!D$56*'Global Server Energy'!K$44</f>
        <v>6.7816439867940606</v>
      </c>
      <c r="E20" s="11"/>
      <c r="F20" s="18">
        <f>'Regional Server Stock'!F55/'Regional Server Stock'!F$56*'Global Server Energy'!M$44</f>
        <v>6.3368453421054776</v>
      </c>
      <c r="G20" s="18">
        <f>'Regional Server Stock'!G55/'Regional Server Stock'!G$56*'Global Server Energy'!N$44</f>
        <v>6.1513059381423814</v>
      </c>
      <c r="H20" s="18">
        <f>'Regional Server Stock'!H55/'Regional Server Stock'!H$56*'Global Server Energy'!O$44</f>
        <v>5.8102927583228912</v>
      </c>
      <c r="I20" s="18">
        <f>'Regional Server Stock'!I55/'Regional Server Stock'!I$56*'Global Server Energy'!P$44</f>
        <v>6.3310478962455088</v>
      </c>
      <c r="J20" s="18">
        <f>'Regional Server Stock'!J55/'Regional Server Stock'!J$56*'Global Server Energy'!Q$44</f>
        <v>6.9094184102708605</v>
      </c>
    </row>
    <row r="21" spans="2:10" x14ac:dyDescent="0.55000000000000004">
      <c r="B21" s="7" t="s">
        <v>31</v>
      </c>
      <c r="C21" s="48">
        <f t="shared" ref="C21" si="2">SUM(C15:C20)</f>
        <v>9.6789007841940506</v>
      </c>
      <c r="D21" s="48">
        <f>SUM(D15:D20)</f>
        <v>35.65041521897529</v>
      </c>
      <c r="E21" s="11"/>
      <c r="F21" s="48">
        <f>SUM(F15:F20)</f>
        <v>34.836777808615636</v>
      </c>
      <c r="G21" s="48">
        <f>SUM(G15:G20)</f>
        <v>35.395823305844992</v>
      </c>
      <c r="H21" s="48">
        <f>SUM(H15:H20)</f>
        <v>34.712235314528627</v>
      </c>
      <c r="I21" s="48">
        <f t="shared" ref="I21:J21" si="3">SUM(I15:I20)</f>
        <v>37.756752092863842</v>
      </c>
      <c r="J21" s="48">
        <f t="shared" si="3"/>
        <v>41.139583284084864</v>
      </c>
    </row>
    <row r="22" spans="2:10" x14ac:dyDescent="0.55000000000000004">
      <c r="C22" s="11"/>
      <c r="D22" s="11"/>
      <c r="E22" s="11"/>
      <c r="F22" s="11"/>
      <c r="G22" s="11"/>
      <c r="H22" s="11"/>
      <c r="I22" s="11"/>
      <c r="J22" s="11"/>
    </row>
    <row r="23" spans="2:10" x14ac:dyDescent="0.55000000000000004">
      <c r="B23" s="14" t="s">
        <v>58</v>
      </c>
      <c r="C23" s="34">
        <v>2010</v>
      </c>
      <c r="D23" s="15">
        <v>2018</v>
      </c>
      <c r="E23" s="11"/>
      <c r="F23" s="15">
        <v>2019</v>
      </c>
      <c r="G23" s="15">
        <v>2020</v>
      </c>
      <c r="H23" s="15">
        <v>2021</v>
      </c>
      <c r="I23" s="15">
        <v>2022</v>
      </c>
      <c r="J23" s="15">
        <v>2023</v>
      </c>
    </row>
    <row r="24" spans="2:10" x14ac:dyDescent="0.55000000000000004">
      <c r="B24" t="s">
        <v>25</v>
      </c>
      <c r="C24" s="18">
        <f>'Regional Server Stock'!C59/'Regional Server Stock'!C$65*'Global Server Energy'!C$52</f>
        <v>1.4726068379511907</v>
      </c>
      <c r="D24" s="18">
        <f>'Regional Server Stock'!D59/'Regional Server Stock'!D$65*'Global Server Energy'!K$52</f>
        <v>12.897919691127218</v>
      </c>
      <c r="E24" s="11"/>
      <c r="F24" s="18">
        <f>'Regional Server Stock'!F59/'Regional Server Stock'!F$65*'Global Server Energy'!M$52</f>
        <v>16.089095812578133</v>
      </c>
      <c r="G24" s="18">
        <f>'Regional Server Stock'!G59/'Regional Server Stock'!G$65*'Global Server Energy'!N$52</f>
        <v>18.722637741861824</v>
      </c>
      <c r="H24" s="18">
        <f>'Regional Server Stock'!H59/'Regional Server Stock'!H$65*'Global Server Energy'!O$52</f>
        <v>22.137693077710978</v>
      </c>
      <c r="I24" s="18">
        <f>'Regional Server Stock'!I59/'Regional Server Stock'!I$65*'Global Server Energy'!P$52</f>
        <v>24.415448152727148</v>
      </c>
      <c r="J24" s="18">
        <f>'Regional Server Stock'!J59/'Regional Server Stock'!J$65*'Global Server Energy'!Q$52</f>
        <v>26.938052267395129</v>
      </c>
    </row>
    <row r="25" spans="2:10" x14ac:dyDescent="0.55000000000000004">
      <c r="B25" s="20" t="s">
        <v>26</v>
      </c>
      <c r="C25" s="18">
        <f>'Regional Server Stock'!C60/'Regional Server Stock'!C$65*'Global Server Energy'!C$52</f>
        <v>6.4026384258747421E-3</v>
      </c>
      <c r="D25" s="18">
        <f>'Regional Server Stock'!D60/'Regional Server Stock'!D$65*'Global Server Energy'!K$52</f>
        <v>0.22264266133493413</v>
      </c>
      <c r="E25" s="11"/>
      <c r="F25" s="18">
        <f>'Regional Server Stock'!F60/'Regional Server Stock'!F$65*'Global Server Energy'!M$52</f>
        <v>0.32723584703548747</v>
      </c>
      <c r="G25" s="18">
        <f>'Regional Server Stock'!G60/'Regional Server Stock'!G$65*'Global Server Energy'!N$52</f>
        <v>0.43283517360218199</v>
      </c>
      <c r="H25" s="18">
        <f>'Regional Server Stock'!H60/'Regional Server Stock'!H$65*'Global Server Energy'!O$52</f>
        <v>0.56763315583874296</v>
      </c>
      <c r="I25" s="18">
        <f>'Regional Server Stock'!I60/'Regional Server Stock'!I$65*'Global Server Energy'!P$52</f>
        <v>0.62603713212120893</v>
      </c>
      <c r="J25" s="18">
        <f>'Regional Server Stock'!J60/'Regional Server Stock'!J$65*'Global Server Energy'!Q$52</f>
        <v>0.6907192889075674</v>
      </c>
    </row>
    <row r="26" spans="2:10" x14ac:dyDescent="0.55000000000000004">
      <c r="B26" s="20" t="s">
        <v>27</v>
      </c>
      <c r="C26" s="18">
        <f>'Regional Server Stock'!C61/'Regional Server Stock'!C$65*'Global Server Energy'!C$52</f>
        <v>0</v>
      </c>
      <c r="D26" s="18">
        <f>'Regional Server Stock'!D61/'Regional Server Stock'!D$65*'Global Server Energy'!K$52</f>
        <v>1.3588879674580461</v>
      </c>
      <c r="E26" s="11"/>
      <c r="F26" s="18">
        <f>'Regional Server Stock'!F61/'Regional Server Stock'!F$65*'Global Server Energy'!M$52</f>
        <v>1.6634488890970611</v>
      </c>
      <c r="G26" s="18">
        <f>'Regional Server Stock'!G61/'Regional Server Stock'!G$65*'Global Server Energy'!N$52</f>
        <v>1.902461576995637</v>
      </c>
      <c r="H26" s="18">
        <f>'Regional Server Stock'!H61/'Regional Server Stock'!H$65*'Global Server Energy'!O$52</f>
        <v>2.213769307771098</v>
      </c>
      <c r="I26" s="18">
        <f>'Regional Server Stock'!I61/'Regional Server Stock'!I$65*'Global Server Energy'!P$52</f>
        <v>2.4415448152727151</v>
      </c>
      <c r="J26" s="18">
        <f>'Regional Server Stock'!J61/'Regional Server Stock'!J$65*'Global Server Energy'!Q$52</f>
        <v>2.6938052267395127</v>
      </c>
    </row>
    <row r="27" spans="2:10" x14ac:dyDescent="0.55000000000000004">
      <c r="B27" s="20" t="s">
        <v>28</v>
      </c>
      <c r="C27" s="18">
        <f>'Regional Server Stock'!C62/'Regional Server Stock'!C$65*'Global Server Energy'!C$52</f>
        <v>0</v>
      </c>
      <c r="D27" s="18">
        <f>'Regional Server Stock'!D62/'Regional Server Stock'!D$65*'Global Server Energy'!K$52</f>
        <v>0.31477065912869995</v>
      </c>
      <c r="E27" s="11"/>
      <c r="F27" s="18">
        <f>'Regional Server Stock'!F62/'Regional Server Stock'!F$65*'Global Server Energy'!M$52</f>
        <v>0.49085377055323115</v>
      </c>
      <c r="G27" s="18">
        <f>'Regional Server Stock'!G62/'Regional Server Stock'!G$65*'Global Server Energy'!N$52</f>
        <v>0.67441759607781837</v>
      </c>
      <c r="H27" s="18">
        <f>'Regional Server Stock'!H62/'Regional Server Stock'!H$65*'Global Server Energy'!O$52</f>
        <v>0.90821304934198899</v>
      </c>
      <c r="I27" s="18">
        <f>'Regional Server Stock'!I62/'Regional Server Stock'!I$65*'Global Server Energy'!P$52</f>
        <v>1.0016594113939343</v>
      </c>
      <c r="J27" s="18">
        <f>'Regional Server Stock'!J62/'Regional Server Stock'!J$65*'Global Server Energy'!Q$52</f>
        <v>1.1051508622521078</v>
      </c>
    </row>
    <row r="28" spans="2:10" x14ac:dyDescent="0.55000000000000004">
      <c r="B28" s="20" t="s">
        <v>29</v>
      </c>
      <c r="C28" s="18">
        <f>'Regional Server Stock'!C63/'Regional Server Stock'!C$65*'Global Server Energy'!C$52</f>
        <v>3.9056094397835928</v>
      </c>
      <c r="D28" s="18">
        <f>'Regional Server Stock'!D63/'Regional Server Stock'!D$65*'Global Server Energy'!K$52</f>
        <v>16.529298270831486</v>
      </c>
      <c r="E28" s="11"/>
      <c r="F28" s="18">
        <f>'Regional Server Stock'!F63/'Regional Server Stock'!F$65*'Global Server Energy'!M$52</f>
        <v>18.425196165025913</v>
      </c>
      <c r="G28" s="18">
        <f>'Regional Server Stock'!G63/'Regional Server Stock'!G$65*'Global Server Energy'!N$52</f>
        <v>19.13534104692436</v>
      </c>
      <c r="H28" s="18">
        <f>'Regional Server Stock'!H63/'Regional Server Stock'!H$65*'Global Server Energy'!O$52</f>
        <v>20.150977032275378</v>
      </c>
      <c r="I28" s="18">
        <f>'Regional Server Stock'!I63/'Regional Server Stock'!I$65*'Global Server Energy'!P$52</f>
        <v>22.224318190302917</v>
      </c>
      <c r="J28" s="18">
        <f>'Regional Server Stock'!J63/'Regional Server Stock'!J$65*'Global Server Energy'!Q$52</f>
        <v>24.520534756218641</v>
      </c>
    </row>
    <row r="29" spans="2:10" x14ac:dyDescent="0.55000000000000004">
      <c r="B29" s="20" t="s">
        <v>30</v>
      </c>
      <c r="C29" s="18">
        <f>'Regional Server Stock'!C64/'Regional Server Stock'!C$65*'Global Server Energy'!C$52</f>
        <v>1.0180195097140843</v>
      </c>
      <c r="D29" s="18">
        <f>'Regional Server Stock'!D64/'Regional Server Stock'!D$65*'Global Server Energy'!K$52</f>
        <v>7.0631464975220473</v>
      </c>
      <c r="E29" s="11"/>
      <c r="F29" s="18">
        <f>'Regional Server Stock'!F64/'Regional Server Stock'!F$65*'Global Server Energy'!M$52</f>
        <v>8.453592715083424</v>
      </c>
      <c r="G29" s="18">
        <f>'Regional Server Stock'!G64/'Regional Server Stock'!G$65*'Global Server Energy'!N$52</f>
        <v>9.4619782136290915</v>
      </c>
      <c r="H29" s="18">
        <f>'Regional Server Stock'!H64/'Regional Server Stock'!H$65*'Global Server Energy'!O$52</f>
        <v>10.78502996093612</v>
      </c>
      <c r="I29" s="18">
        <f>'Regional Server Stock'!I64/'Regional Server Stock'!I$65*'Global Server Energy'!P$52</f>
        <v>11.89470551030297</v>
      </c>
      <c r="J29" s="18">
        <f>'Regional Server Stock'!J64/'Regional Server Stock'!J$65*'Global Server Energy'!Q$52</f>
        <v>13.12366648924378</v>
      </c>
    </row>
    <row r="30" spans="2:10" x14ac:dyDescent="0.55000000000000004">
      <c r="B30" s="7" t="s">
        <v>31</v>
      </c>
      <c r="C30" s="12">
        <f t="shared" ref="C30" si="4">SUM(C24:C29)</f>
        <v>6.4026384258747422</v>
      </c>
      <c r="D30" s="12">
        <f>SUM(D24:D29)</f>
        <v>38.386665747402432</v>
      </c>
      <c r="F30" s="12">
        <f>SUM(F24:F29)</f>
        <v>45.44942319937325</v>
      </c>
      <c r="G30" s="12">
        <f>SUM(G24:G29)</f>
        <v>50.329671349090916</v>
      </c>
      <c r="H30" s="12">
        <f>SUM(H24:H29)</f>
        <v>56.763315583874309</v>
      </c>
      <c r="I30" s="12">
        <f t="shared" ref="I30:J30" si="5">SUM(I24:I29)</f>
        <v>62.603713212120894</v>
      </c>
      <c r="J30" s="12">
        <f t="shared" si="5"/>
        <v>69.071928890756737</v>
      </c>
    </row>
    <row r="31" spans="2:10" x14ac:dyDescent="0.55000000000000004">
      <c r="C31" s="6"/>
      <c r="D31" s="6"/>
      <c r="E31" s="6"/>
      <c r="F31" s="6"/>
      <c r="G31" s="6"/>
      <c r="H31" s="6"/>
      <c r="I31" s="6"/>
      <c r="J31"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9"/>
  <sheetViews>
    <sheetView workbookViewId="0"/>
  </sheetViews>
  <sheetFormatPr defaultRowHeight="14.4" x14ac:dyDescent="0.55000000000000004"/>
  <cols>
    <col min="1" max="1" width="2.83984375" style="11" customWidth="1"/>
    <col min="2" max="2" width="43.7890625" style="11" customWidth="1"/>
    <col min="3" max="17" width="7.26171875" style="11" customWidth="1"/>
    <col min="18" max="16384" width="8.83984375" style="11"/>
  </cols>
  <sheetData>
    <row r="1" spans="2:18" x14ac:dyDescent="0.55000000000000004">
      <c r="C1" s="95"/>
      <c r="D1" s="95"/>
      <c r="E1" s="95"/>
      <c r="F1" s="95"/>
      <c r="G1" s="95"/>
      <c r="H1" s="95"/>
      <c r="I1" s="95"/>
      <c r="J1" s="95"/>
      <c r="K1" s="95"/>
      <c r="L1" s="95"/>
      <c r="M1" s="95"/>
      <c r="N1" s="95"/>
    </row>
    <row r="2" spans="2:18" x14ac:dyDescent="0.55000000000000004">
      <c r="B2" s="79" t="s">
        <v>127</v>
      </c>
      <c r="C2" s="95"/>
      <c r="D2" s="95"/>
      <c r="E2" s="95"/>
      <c r="F2" s="95"/>
      <c r="G2" s="95"/>
      <c r="H2" s="95"/>
      <c r="I2" s="95"/>
      <c r="J2" s="95"/>
      <c r="K2" s="95"/>
      <c r="L2" s="95"/>
      <c r="M2" s="95"/>
      <c r="N2" s="95"/>
    </row>
    <row r="3" spans="2:18" x14ac:dyDescent="0.55000000000000004">
      <c r="C3" s="15" t="s">
        <v>111</v>
      </c>
      <c r="D3" s="80"/>
      <c r="E3" s="80"/>
      <c r="F3" s="80"/>
      <c r="G3" s="80"/>
      <c r="H3" s="80"/>
      <c r="I3" s="80"/>
      <c r="J3" s="80"/>
      <c r="K3" s="80"/>
      <c r="M3" s="15" t="s">
        <v>234</v>
      </c>
      <c r="N3" s="80"/>
      <c r="O3" s="80"/>
      <c r="P3" s="80"/>
      <c r="Q3" s="80"/>
    </row>
    <row r="4" spans="2:18" x14ac:dyDescent="0.55000000000000004">
      <c r="B4" s="15" t="s">
        <v>128</v>
      </c>
      <c r="C4" s="34">
        <v>2010</v>
      </c>
      <c r="D4" s="34">
        <v>2011</v>
      </c>
      <c r="E4" s="34">
        <v>2012</v>
      </c>
      <c r="F4" s="34">
        <v>2013</v>
      </c>
      <c r="G4" s="34">
        <v>2014</v>
      </c>
      <c r="H4" s="15">
        <v>2015</v>
      </c>
      <c r="I4" s="15">
        <v>2016</v>
      </c>
      <c r="J4" s="15">
        <v>2017</v>
      </c>
      <c r="K4" s="15">
        <v>2018</v>
      </c>
      <c r="M4" s="15">
        <v>2019</v>
      </c>
      <c r="N4" s="15">
        <v>2020</v>
      </c>
      <c r="O4" s="15">
        <v>2021</v>
      </c>
      <c r="P4" s="15">
        <v>2022</v>
      </c>
      <c r="Q4" s="15">
        <v>2023</v>
      </c>
      <c r="R4" s="79" t="s">
        <v>96</v>
      </c>
    </row>
    <row r="5" spans="2:18" x14ac:dyDescent="0.55000000000000004">
      <c r="B5" s="11" t="s">
        <v>60</v>
      </c>
      <c r="C5" s="18">
        <v>1.1200000000000001</v>
      </c>
      <c r="D5" s="18">
        <v>3.56</v>
      </c>
      <c r="E5" s="18">
        <v>7.97</v>
      </c>
      <c r="F5" s="18">
        <v>16.13</v>
      </c>
      <c r="G5" s="18">
        <v>30.21</v>
      </c>
      <c r="H5" s="18">
        <v>53.45</v>
      </c>
      <c r="I5" s="18">
        <v>110.68</v>
      </c>
      <c r="J5" s="18">
        <v>172.6</v>
      </c>
      <c r="K5" s="18">
        <v>260.86</v>
      </c>
      <c r="M5" s="18">
        <v>371.76</v>
      </c>
      <c r="N5" s="18">
        <v>545.91</v>
      </c>
      <c r="O5" s="18">
        <f>$N5/$N$7*2354</f>
        <v>719.2755818248985</v>
      </c>
      <c r="P5" s="18">
        <f>$N5/$N$7*P$7</f>
        <v>955.43039337524579</v>
      </c>
      <c r="Q5" s="18">
        <f t="shared" ref="Q5:Q6" si="0">$N5/$N$7*Q$7</f>
        <v>1269.1202922100611</v>
      </c>
    </row>
    <row r="6" spans="2:18" x14ac:dyDescent="0.55000000000000004">
      <c r="B6" s="11" t="s">
        <v>61</v>
      </c>
      <c r="C6" s="18">
        <v>39.4</v>
      </c>
      <c r="D6" s="18">
        <v>60.64</v>
      </c>
      <c r="E6" s="18">
        <v>87.76</v>
      </c>
      <c r="F6" s="18">
        <v>129.11000000000001</v>
      </c>
      <c r="G6" s="18">
        <v>187.3</v>
      </c>
      <c r="H6" s="18">
        <v>267.25</v>
      </c>
      <c r="I6" s="18">
        <v>458.55</v>
      </c>
      <c r="J6" s="18">
        <v>604.1</v>
      </c>
      <c r="K6" s="18">
        <v>782.59</v>
      </c>
      <c r="M6" s="18">
        <v>966.58</v>
      </c>
      <c r="N6" s="18">
        <v>1240.71</v>
      </c>
      <c r="O6" s="18">
        <f>$N6/$N$7*2354</f>
        <v>1634.7244181751018</v>
      </c>
      <c r="P6" s="18">
        <f>$N6/$N$7*P$7</f>
        <v>2171.4422585492139</v>
      </c>
      <c r="Q6" s="18">
        <f t="shared" si="0"/>
        <v>2884.3769810920207</v>
      </c>
    </row>
    <row r="7" spans="2:18" x14ac:dyDescent="0.55000000000000004">
      <c r="B7" s="10" t="s">
        <v>31</v>
      </c>
      <c r="C7" s="48">
        <f>SUM(C5:C6)</f>
        <v>40.519999999999996</v>
      </c>
      <c r="D7" s="48">
        <f t="shared" ref="D7" si="1">SUM(D5:D6)</f>
        <v>64.2</v>
      </c>
      <c r="E7" s="48">
        <f t="shared" ref="E7" si="2">SUM(E5:E6)</f>
        <v>95.73</v>
      </c>
      <c r="F7" s="48">
        <f t="shared" ref="F7" si="3">SUM(F5:F6)</f>
        <v>145.24</v>
      </c>
      <c r="G7" s="48">
        <f t="shared" ref="G7" si="4">SUM(G5:G6)</f>
        <v>217.51000000000002</v>
      </c>
      <c r="H7" s="48">
        <f t="shared" ref="H7" si="5">SUM(H5:H6)</f>
        <v>320.7</v>
      </c>
      <c r="I7" s="48">
        <f t="shared" ref="I7" si="6">SUM(I5:I6)</f>
        <v>569.23</v>
      </c>
      <c r="J7" s="48">
        <f t="shared" ref="J7" si="7">SUM(J5:J6)</f>
        <v>776.7</v>
      </c>
      <c r="K7" s="48">
        <f t="shared" ref="K7" si="8">SUM(K5:K6)</f>
        <v>1043.45</v>
      </c>
      <c r="M7" s="48">
        <f t="shared" ref="M7" si="9">SUM(M5:M6)</f>
        <v>1338.3400000000001</v>
      </c>
      <c r="N7" s="48">
        <f t="shared" ref="N7" si="10">SUM(N5:N6)</f>
        <v>1786.62</v>
      </c>
      <c r="O7" s="48">
        <f t="shared" ref="O7" si="11">SUM(O5:O6)</f>
        <v>2354.0000000000005</v>
      </c>
      <c r="P7" s="48">
        <f>O7*(1+$R$7)</f>
        <v>3126.8726519244592</v>
      </c>
      <c r="Q7" s="48">
        <f>P7*(1+$R$7)</f>
        <v>4153.4972733020813</v>
      </c>
      <c r="R7" s="65">
        <f>(O7/I7)^(1/5)-1</f>
        <v>0.32832313165864857</v>
      </c>
    </row>
    <row r="8" spans="2:18" s="32" customFormat="1" x14ac:dyDescent="0.55000000000000004">
      <c r="B8" s="30" t="s">
        <v>62</v>
      </c>
      <c r="C8" s="96" t="s">
        <v>210</v>
      </c>
      <c r="D8" s="31"/>
      <c r="E8" s="31"/>
      <c r="F8" s="31"/>
      <c r="G8" s="31"/>
      <c r="H8" s="31"/>
      <c r="I8" s="31"/>
      <c r="J8" s="31"/>
      <c r="K8" s="31"/>
      <c r="L8" s="11"/>
      <c r="M8" s="31"/>
      <c r="N8" s="31"/>
      <c r="O8" s="31"/>
    </row>
    <row r="9" spans="2:18" s="62" customFormat="1" x14ac:dyDescent="0.55000000000000004">
      <c r="B9" s="27"/>
      <c r="C9" s="31" t="s">
        <v>129</v>
      </c>
      <c r="D9" s="61"/>
      <c r="E9" s="61"/>
      <c r="F9" s="61"/>
      <c r="G9" s="61"/>
      <c r="H9" s="61"/>
      <c r="I9" s="61"/>
      <c r="J9" s="61"/>
      <c r="K9" s="61"/>
      <c r="L9" s="11"/>
      <c r="M9" s="61"/>
      <c r="N9" s="61"/>
      <c r="O9" s="61"/>
    </row>
    <row r="10" spans="2:18" s="62" customFormat="1" x14ac:dyDescent="0.55000000000000004">
      <c r="B10" s="27"/>
      <c r="C10" s="31" t="s">
        <v>211</v>
      </c>
      <c r="D10" s="61"/>
      <c r="E10" s="61"/>
      <c r="F10" s="61"/>
      <c r="G10" s="61"/>
      <c r="H10" s="61"/>
      <c r="I10" s="61"/>
      <c r="J10" s="61"/>
      <c r="K10" s="61"/>
      <c r="L10" s="11"/>
      <c r="M10" s="61"/>
      <c r="N10" s="61"/>
      <c r="O10" s="61"/>
    </row>
    <row r="11" spans="2:18" s="62" customFormat="1" x14ac:dyDescent="0.55000000000000004">
      <c r="B11" s="27"/>
      <c r="C11" s="31" t="s">
        <v>213</v>
      </c>
      <c r="D11" s="61"/>
      <c r="E11" s="61"/>
      <c r="F11" s="61"/>
      <c r="G11" s="61"/>
      <c r="H11" s="61"/>
      <c r="I11" s="61"/>
      <c r="J11" s="61"/>
      <c r="K11" s="61"/>
      <c r="L11" s="11"/>
      <c r="M11" s="61"/>
      <c r="N11" s="61"/>
      <c r="O11" s="61"/>
    </row>
    <row r="12" spans="2:18" s="62" customFormat="1" x14ac:dyDescent="0.55000000000000004">
      <c r="B12" s="27"/>
      <c r="C12" s="31" t="s">
        <v>214</v>
      </c>
      <c r="D12" s="61"/>
      <c r="E12" s="61"/>
      <c r="F12" s="61"/>
      <c r="G12" s="61"/>
      <c r="H12" s="61"/>
      <c r="I12" s="61"/>
      <c r="J12" s="61"/>
      <c r="K12" s="61"/>
      <c r="L12" s="11"/>
      <c r="M12" s="61"/>
      <c r="N12" s="61"/>
      <c r="O12" s="61"/>
    </row>
    <row r="13" spans="2:18" s="62" customFormat="1" x14ac:dyDescent="0.55000000000000004">
      <c r="B13" s="27"/>
      <c r="C13" s="32" t="s">
        <v>215</v>
      </c>
      <c r="D13" s="61"/>
      <c r="E13" s="61"/>
      <c r="F13" s="61"/>
      <c r="G13" s="61"/>
      <c r="H13" s="61"/>
      <c r="I13" s="61"/>
      <c r="J13" s="61"/>
      <c r="K13" s="61"/>
      <c r="L13" s="11"/>
      <c r="M13" s="61"/>
      <c r="N13" s="61"/>
      <c r="O13" s="61"/>
    </row>
    <row r="14" spans="2:18" s="62" customFormat="1" x14ac:dyDescent="0.55000000000000004">
      <c r="B14" s="27"/>
      <c r="C14" s="32" t="s">
        <v>216</v>
      </c>
      <c r="D14" s="61"/>
      <c r="E14" s="61"/>
      <c r="F14" s="61"/>
      <c r="G14" s="61"/>
      <c r="H14" s="61"/>
      <c r="I14" s="61"/>
      <c r="J14" s="61"/>
      <c r="K14" s="61"/>
      <c r="L14" s="11"/>
      <c r="M14" s="61"/>
      <c r="N14" s="61"/>
      <c r="O14" s="61"/>
    </row>
    <row r="15" spans="2:18" s="62" customFormat="1" x14ac:dyDescent="0.55000000000000004">
      <c r="B15" s="27"/>
      <c r="C15" s="97"/>
      <c r="D15" s="97"/>
      <c r="E15" s="97"/>
      <c r="F15" s="97"/>
      <c r="G15" s="97"/>
      <c r="H15" s="97"/>
      <c r="I15" s="97"/>
      <c r="J15" s="97"/>
      <c r="K15" s="97"/>
      <c r="L15" s="97"/>
      <c r="M15" s="97"/>
      <c r="N15" s="97"/>
      <c r="O15" s="98"/>
      <c r="P15" s="98"/>
      <c r="Q15" s="98"/>
    </row>
    <row r="16" spans="2:18" s="62" customFormat="1" x14ac:dyDescent="0.55000000000000004">
      <c r="B16" s="15" t="s">
        <v>130</v>
      </c>
      <c r="C16" s="34">
        <v>2010</v>
      </c>
      <c r="D16" s="34">
        <v>2011</v>
      </c>
      <c r="E16" s="34">
        <v>2012</v>
      </c>
      <c r="F16" s="34">
        <v>2013</v>
      </c>
      <c r="G16" s="34">
        <v>2014</v>
      </c>
      <c r="H16" s="15">
        <v>2015</v>
      </c>
      <c r="I16" s="15">
        <v>2016</v>
      </c>
      <c r="J16" s="15">
        <v>2017</v>
      </c>
      <c r="K16" s="15">
        <v>2018</v>
      </c>
      <c r="L16" s="11"/>
      <c r="M16" s="15">
        <v>2019</v>
      </c>
      <c r="N16" s="15">
        <v>2020</v>
      </c>
      <c r="O16" s="15">
        <v>2021</v>
      </c>
      <c r="P16" s="15">
        <v>2022</v>
      </c>
      <c r="Q16" s="15">
        <v>2023</v>
      </c>
    </row>
    <row r="17" spans="2:17" s="62" customFormat="1" x14ac:dyDescent="0.55000000000000004">
      <c r="B17" s="85" t="s">
        <v>38</v>
      </c>
      <c r="C17" s="99">
        <f>100%-C18</f>
        <v>0.82699999999999996</v>
      </c>
      <c r="D17" s="91">
        <f>($H17-$C17)/5+C17</f>
        <v>0.73159999999999992</v>
      </c>
      <c r="E17" s="91">
        <f t="shared" ref="E17:G18" si="12">($H17-$C17)/5+D17</f>
        <v>0.63619999999999988</v>
      </c>
      <c r="F17" s="91">
        <f t="shared" si="12"/>
        <v>0.54079999999999984</v>
      </c>
      <c r="G17" s="91">
        <f t="shared" si="12"/>
        <v>0.44539999999999985</v>
      </c>
      <c r="H17" s="99">
        <v>0.35</v>
      </c>
      <c r="I17" s="91">
        <f>($N17-$H17)/5+H17</f>
        <v>0.30399999999999999</v>
      </c>
      <c r="J17" s="91">
        <f>($N17-$H17)/5+I17</f>
        <v>0.25800000000000001</v>
      </c>
      <c r="K17" s="91">
        <f>($N17-$H17)/5+J17</f>
        <v>0.21200000000000002</v>
      </c>
      <c r="L17" s="91"/>
      <c r="M17" s="91">
        <f>($N17-$H17)/5+K17</f>
        <v>0.16600000000000004</v>
      </c>
      <c r="N17" s="99">
        <v>0.12</v>
      </c>
      <c r="O17" s="99">
        <v>0.10352242188453295</v>
      </c>
      <c r="P17" s="99">
        <v>0.10015966197259416</v>
      </c>
      <c r="Q17" s="99">
        <v>9.6906135925353354E-2</v>
      </c>
    </row>
    <row r="18" spans="2:17" s="62" customFormat="1" x14ac:dyDescent="0.55000000000000004">
      <c r="B18" s="60" t="s">
        <v>131</v>
      </c>
      <c r="C18" s="100">
        <v>0.17299999999999999</v>
      </c>
      <c r="D18" s="100">
        <f>($H18-$C18)/5+C18</f>
        <v>0.26839999999999997</v>
      </c>
      <c r="E18" s="100">
        <f t="shared" si="12"/>
        <v>0.36380000000000001</v>
      </c>
      <c r="F18" s="100">
        <f t="shared" si="12"/>
        <v>0.45920000000000005</v>
      </c>
      <c r="G18" s="100">
        <f t="shared" si="12"/>
        <v>0.55460000000000009</v>
      </c>
      <c r="H18" s="101">
        <v>0.65</v>
      </c>
      <c r="I18" s="100">
        <f t="shared" ref="I18" si="13">($N18-$H18)/5+H18</f>
        <v>0.69600000000000006</v>
      </c>
      <c r="J18" s="100">
        <f>($N18-$H18)/5+I18</f>
        <v>0.7420000000000001</v>
      </c>
      <c r="K18" s="100">
        <f>($N18-$H18)/5+J18</f>
        <v>0.78800000000000014</v>
      </c>
      <c r="L18" s="91"/>
      <c r="M18" s="100">
        <f>($N18-$H18)/5+K18</f>
        <v>0.83400000000000019</v>
      </c>
      <c r="N18" s="101">
        <v>0.88</v>
      </c>
      <c r="O18" s="101">
        <v>0.89647757811546702</v>
      </c>
      <c r="P18" s="101">
        <v>0.89984033802740582</v>
      </c>
      <c r="Q18" s="101">
        <v>0.90309386407464665</v>
      </c>
    </row>
    <row r="19" spans="2:17" s="62" customFormat="1" x14ac:dyDescent="0.55000000000000004">
      <c r="B19" s="30" t="s">
        <v>132</v>
      </c>
      <c r="C19" s="31">
        <v>12</v>
      </c>
      <c r="D19" s="61"/>
      <c r="E19" s="61"/>
      <c r="F19" s="61"/>
      <c r="G19" s="61"/>
      <c r="H19" s="61">
        <v>6</v>
      </c>
      <c r="I19" s="61"/>
      <c r="J19" s="61"/>
      <c r="K19" s="61"/>
      <c r="L19" s="11"/>
      <c r="M19" s="61"/>
      <c r="N19" s="61">
        <v>6</v>
      </c>
      <c r="O19" s="61"/>
    </row>
    <row r="20" spans="2:17" s="62" customFormat="1" x14ac:dyDescent="0.55000000000000004">
      <c r="B20" s="30" t="s">
        <v>62</v>
      </c>
      <c r="C20" s="31" t="s">
        <v>133</v>
      </c>
      <c r="D20" s="61"/>
      <c r="E20" s="61"/>
      <c r="F20" s="61"/>
      <c r="G20" s="61"/>
      <c r="H20" s="61"/>
      <c r="I20" s="61"/>
      <c r="J20" s="61"/>
      <c r="K20" s="61"/>
      <c r="L20" s="11"/>
      <c r="M20" s="61"/>
      <c r="N20" s="61"/>
      <c r="O20" s="102"/>
    </row>
    <row r="21" spans="2:17" s="62" customFormat="1" x14ac:dyDescent="0.55000000000000004">
      <c r="B21" s="27"/>
      <c r="C21" s="31" t="s">
        <v>217</v>
      </c>
      <c r="D21" s="61"/>
      <c r="E21" s="61"/>
      <c r="F21" s="61"/>
      <c r="G21" s="61"/>
      <c r="H21" s="61"/>
      <c r="I21" s="61"/>
      <c r="J21" s="61"/>
      <c r="K21" s="61"/>
      <c r="L21" s="11"/>
      <c r="M21" s="61"/>
      <c r="N21" s="61"/>
      <c r="O21" s="61"/>
    </row>
    <row r="22" spans="2:17" s="62" customFormat="1" x14ac:dyDescent="0.55000000000000004">
      <c r="B22" s="27"/>
      <c r="C22" s="31" t="s">
        <v>134</v>
      </c>
      <c r="D22" s="61"/>
      <c r="E22" s="61"/>
      <c r="F22" s="61"/>
      <c r="G22" s="61"/>
      <c r="H22" s="61"/>
      <c r="I22" s="61"/>
      <c r="J22" s="61"/>
      <c r="K22" s="61"/>
      <c r="L22" s="11"/>
      <c r="M22" s="61"/>
      <c r="N22" s="61"/>
      <c r="O22" s="61"/>
    </row>
    <row r="23" spans="2:17" s="62" customFormat="1" x14ac:dyDescent="0.55000000000000004">
      <c r="B23" s="27"/>
      <c r="C23" s="31" t="s">
        <v>218</v>
      </c>
      <c r="D23" s="61"/>
      <c r="E23" s="61"/>
      <c r="F23" s="61"/>
      <c r="G23" s="61"/>
      <c r="H23" s="61"/>
      <c r="I23" s="61"/>
      <c r="J23" s="61"/>
      <c r="K23" s="61"/>
      <c r="L23" s="11"/>
      <c r="M23" s="61"/>
      <c r="N23" s="61"/>
      <c r="O23" s="61"/>
    </row>
    <row r="25" spans="2:17" x14ac:dyDescent="0.55000000000000004">
      <c r="B25" s="15" t="s">
        <v>135</v>
      </c>
      <c r="C25" s="34">
        <v>2010</v>
      </c>
      <c r="D25" s="34">
        <v>2011</v>
      </c>
      <c r="E25" s="34">
        <v>2012</v>
      </c>
      <c r="F25" s="34">
        <v>2013</v>
      </c>
      <c r="G25" s="34">
        <v>2014</v>
      </c>
      <c r="H25" s="15">
        <v>2015</v>
      </c>
      <c r="I25" s="15">
        <v>2016</v>
      </c>
      <c r="J25" s="15">
        <v>2017</v>
      </c>
      <c r="K25" s="15">
        <v>2018</v>
      </c>
      <c r="M25" s="15">
        <v>2019</v>
      </c>
      <c r="N25" s="15">
        <v>2020</v>
      </c>
      <c r="O25" s="15">
        <v>2021</v>
      </c>
      <c r="P25" s="15">
        <v>2022</v>
      </c>
      <c r="Q25" s="15">
        <v>2023</v>
      </c>
    </row>
    <row r="26" spans="2:17" x14ac:dyDescent="0.55000000000000004">
      <c r="B26" s="85" t="s">
        <v>38</v>
      </c>
      <c r="C26" s="36">
        <f t="shared" ref="C26:K26" si="14">C$5*C17</f>
        <v>0.92624000000000006</v>
      </c>
      <c r="D26" s="36">
        <f t="shared" si="14"/>
        <v>2.6044959999999997</v>
      </c>
      <c r="E26" s="36">
        <f t="shared" si="14"/>
        <v>5.0705139999999993</v>
      </c>
      <c r="F26" s="18">
        <f t="shared" si="14"/>
        <v>8.7231039999999975</v>
      </c>
      <c r="G26" s="18">
        <f t="shared" si="14"/>
        <v>13.455533999999997</v>
      </c>
      <c r="H26" s="18">
        <f t="shared" si="14"/>
        <v>18.7075</v>
      </c>
      <c r="I26" s="18">
        <f t="shared" si="14"/>
        <v>33.646720000000002</v>
      </c>
      <c r="J26" s="18">
        <f t="shared" si="14"/>
        <v>44.530799999999999</v>
      </c>
      <c r="K26" s="18">
        <f t="shared" si="14"/>
        <v>55.302320000000009</v>
      </c>
      <c r="L26" s="18"/>
      <c r="M26" s="18">
        <f t="shared" ref="M26:Q26" si="15">M$5*M17</f>
        <v>61.712160000000011</v>
      </c>
      <c r="N26" s="18">
        <f t="shared" si="15"/>
        <v>65.509199999999993</v>
      </c>
      <c r="O26" s="18">
        <f t="shared" si="15"/>
        <v>74.461150232920048</v>
      </c>
      <c r="P26" s="18">
        <f t="shared" si="15"/>
        <v>95.695585238807283</v>
      </c>
      <c r="Q26" s="18">
        <f t="shared" si="15"/>
        <v>122.98554354253234</v>
      </c>
    </row>
    <row r="27" spans="2:17" x14ac:dyDescent="0.55000000000000004">
      <c r="B27" s="43" t="s">
        <v>39</v>
      </c>
      <c r="C27" s="36">
        <f>C$5*C18*'Global Server Stock'!C34/SUM('Global Server Stock'!C$34:C$35)</f>
        <v>4.0943473245901633E-2</v>
      </c>
      <c r="D27" s="36">
        <f>D$5*D18*'Global Server Stock'!D34/SUM('Global Server Stock'!D$34:D$35)</f>
        <v>0.34322958294520661</v>
      </c>
      <c r="E27" s="36">
        <f>E$5*E18*'Global Server Stock'!E34/SUM('Global Server Stock'!E$34:E$35)</f>
        <v>1.2293402190248448</v>
      </c>
      <c r="F27" s="18">
        <f>F$5*F18*'Global Server Stock'!F34/SUM('Global Server Stock'!F$34:F$35)</f>
        <v>4.197572892886714</v>
      </c>
      <c r="G27" s="18">
        <f>G$5*G18*'Global Server Stock'!G34/SUM('Global Server Stock'!G$34:G$35)</f>
        <v>9.7519362338570481</v>
      </c>
      <c r="H27" s="18">
        <f>H$5*H18*'Global Server Stock'!H34/SUM('Global Server Stock'!H$34:H$35)</f>
        <v>19.453976947693853</v>
      </c>
      <c r="I27" s="18">
        <f>I$5*I18*'Global Server Stock'!I34/SUM('Global Server Stock'!I$34:I$35)</f>
        <v>40.132639048345034</v>
      </c>
      <c r="J27" s="18">
        <f>J$5*J18*'Global Server Stock'!J34/SUM('Global Server Stock'!J$34:J$35)</f>
        <v>63.732492822715706</v>
      </c>
      <c r="K27" s="18">
        <f>K$5*K18*'Global Server Stock'!K34/SUM('Global Server Stock'!K$34:K$35)</f>
        <v>93.096161882923184</v>
      </c>
      <c r="L27" s="18"/>
      <c r="M27" s="18">
        <f>M$5*M18*'Global Server Stock'!M34/SUM('Global Server Stock'!M$34:M$35)</f>
        <v>125.74005708434053</v>
      </c>
      <c r="N27" s="18">
        <f>N$5*N18*'Global Server Stock'!N34/SUM('Global Server Stock'!N$34:N$35)</f>
        <v>186.18460273170729</v>
      </c>
      <c r="O27" s="18">
        <f>O$5*O18*'Global Server Stock'!O34/SUM('Global Server Stock'!O$34:O$35)</f>
        <v>229.88156236341419</v>
      </c>
      <c r="P27" s="18">
        <f>P$5*P18*'Global Server Stock'!P34/SUM('Global Server Stock'!P$34:P$35)</f>
        <v>310.55766319551532</v>
      </c>
      <c r="Q27" s="18">
        <f>Q$5*Q18*'Global Server Stock'!Q34/SUM('Global Server Stock'!Q$34:Q$35)</f>
        <v>419.09587737641937</v>
      </c>
    </row>
    <row r="28" spans="2:17" x14ac:dyDescent="0.55000000000000004">
      <c r="B28" s="80" t="s">
        <v>40</v>
      </c>
      <c r="C28" s="36">
        <f>C$5*C18*'Global Server Stock'!C35/SUM('Global Server Stock'!C$34:C$35)</f>
        <v>0.15281652675409838</v>
      </c>
      <c r="D28" s="36">
        <f>D$5*D18*'Global Server Stock'!D35/SUM('Global Server Stock'!D$34:D$35)</f>
        <v>0.61227441705479324</v>
      </c>
      <c r="E28" s="36">
        <f>E$5*E18*'Global Server Stock'!E35/SUM('Global Server Stock'!E$34:E$35)</f>
        <v>1.6701457809751552</v>
      </c>
      <c r="F28" s="18">
        <f>F$5*F18*'Global Server Stock'!F35/SUM('Global Server Stock'!F$34:F$35)</f>
        <v>3.2093231071132866</v>
      </c>
      <c r="G28" s="18">
        <f>G$5*G18*'Global Server Stock'!G35/SUM('Global Server Stock'!G$34:G$35)</f>
        <v>7.0025297661429544</v>
      </c>
      <c r="H28" s="18">
        <f>H$5*H18*'Global Server Stock'!H35/SUM('Global Server Stock'!H$34:H$35)</f>
        <v>15.288523052306147</v>
      </c>
      <c r="I28" s="18">
        <f>I$5*I18*'Global Server Stock'!I35/SUM('Global Server Stock'!I$34:I$35)</f>
        <v>36.900640951654971</v>
      </c>
      <c r="J28" s="18">
        <f>J$5*J18*'Global Server Stock'!J35/SUM('Global Server Stock'!J$34:J$35)</f>
        <v>64.336707177284325</v>
      </c>
      <c r="K28" s="18">
        <f>K$5*K18*'Global Server Stock'!K35/SUM('Global Server Stock'!K$34:K$35)</f>
        <v>112.46151811707688</v>
      </c>
      <c r="L28" s="18"/>
      <c r="M28" s="18">
        <f>M$5*M18*'Global Server Stock'!M35/SUM('Global Server Stock'!M$34:M$35)</f>
        <v>184.30778291565954</v>
      </c>
      <c r="N28" s="18">
        <f>N$5*N18*'Global Server Stock'!N35/SUM('Global Server Stock'!N$34:N$35)</f>
        <v>294.21619726829266</v>
      </c>
      <c r="O28" s="18">
        <f>O$5*O18*'Global Server Stock'!O35/SUM('Global Server Stock'!O$34:O$35)</f>
        <v>414.93286922856419</v>
      </c>
      <c r="P28" s="18">
        <f>P$5*P18*'Global Server Stock'!P35/SUM('Global Server Stock'!P$34:P$35)</f>
        <v>549.1771449409232</v>
      </c>
      <c r="Q28" s="18">
        <f>Q$5*Q18*'Global Server Stock'!Q35/SUM('Global Server Stock'!Q$34:Q$35)</f>
        <v>727.03887129110944</v>
      </c>
    </row>
    <row r="29" spans="2:17" x14ac:dyDescent="0.55000000000000004">
      <c r="B29" s="10" t="s">
        <v>64</v>
      </c>
      <c r="C29" s="39">
        <f>SUM(C26:C28)</f>
        <v>1.1200000000000001</v>
      </c>
      <c r="D29" s="39">
        <f t="shared" ref="D29:O29" si="16">SUM(D26:D28)</f>
        <v>3.5599999999999996</v>
      </c>
      <c r="E29" s="39">
        <f t="shared" si="16"/>
        <v>7.97</v>
      </c>
      <c r="F29" s="48">
        <f t="shared" si="16"/>
        <v>16.129999999999995</v>
      </c>
      <c r="G29" s="48">
        <f t="shared" si="16"/>
        <v>30.21</v>
      </c>
      <c r="H29" s="48">
        <f t="shared" si="16"/>
        <v>53.45</v>
      </c>
      <c r="I29" s="48">
        <f t="shared" si="16"/>
        <v>110.68</v>
      </c>
      <c r="J29" s="48">
        <f t="shared" si="16"/>
        <v>172.60000000000002</v>
      </c>
      <c r="K29" s="48">
        <f t="shared" si="16"/>
        <v>260.86000000000007</v>
      </c>
      <c r="L29" s="18"/>
      <c r="M29" s="48">
        <f t="shared" si="16"/>
        <v>371.7600000000001</v>
      </c>
      <c r="N29" s="48">
        <f t="shared" si="16"/>
        <v>545.91</v>
      </c>
      <c r="O29" s="48">
        <f t="shared" si="16"/>
        <v>719.27558182489838</v>
      </c>
      <c r="P29" s="48">
        <f t="shared" ref="P29:Q29" si="17">SUM(P26:P28)</f>
        <v>955.43039337524579</v>
      </c>
      <c r="Q29" s="48">
        <f t="shared" si="17"/>
        <v>1269.1202922100611</v>
      </c>
    </row>
    <row r="30" spans="2:17" x14ac:dyDescent="0.55000000000000004">
      <c r="B30" s="26" t="s">
        <v>62</v>
      </c>
      <c r="C30" s="32" t="s">
        <v>137</v>
      </c>
      <c r="D30" s="70"/>
      <c r="E30" s="70"/>
      <c r="F30" s="70"/>
      <c r="G30" s="70"/>
      <c r="H30" s="70"/>
      <c r="I30" s="70"/>
      <c r="J30" s="70"/>
      <c r="K30" s="70"/>
      <c r="L30" s="36"/>
      <c r="M30" s="70"/>
      <c r="N30" s="70"/>
      <c r="O30" s="70"/>
      <c r="P30" s="70"/>
      <c r="Q30" s="70"/>
    </row>
    <row r="31" spans="2:17" x14ac:dyDescent="0.55000000000000004">
      <c r="B31" s="26"/>
      <c r="C31" s="32"/>
    </row>
    <row r="32" spans="2:17" x14ac:dyDescent="0.55000000000000004">
      <c r="B32" s="15" t="s">
        <v>136</v>
      </c>
      <c r="C32" s="34">
        <v>2010</v>
      </c>
      <c r="D32" s="34">
        <v>2011</v>
      </c>
      <c r="E32" s="34">
        <v>2012</v>
      </c>
      <c r="F32" s="34">
        <v>2013</v>
      </c>
      <c r="G32" s="34">
        <v>2014</v>
      </c>
      <c r="H32" s="15">
        <v>2015</v>
      </c>
      <c r="I32" s="15">
        <v>2016</v>
      </c>
      <c r="J32" s="15">
        <v>2017</v>
      </c>
      <c r="K32" s="15">
        <v>2018</v>
      </c>
      <c r="M32" s="15">
        <v>2019</v>
      </c>
      <c r="N32" s="15">
        <v>2020</v>
      </c>
      <c r="O32" s="15">
        <v>2021</v>
      </c>
      <c r="P32" s="15">
        <v>2022</v>
      </c>
      <c r="Q32" s="15">
        <v>2023</v>
      </c>
    </row>
    <row r="33" spans="2:20" x14ac:dyDescent="0.55000000000000004">
      <c r="B33" s="85" t="s">
        <v>38</v>
      </c>
      <c r="C33" s="18">
        <f t="shared" ref="C33:K33" si="18">C$6*C17</f>
        <v>32.583799999999997</v>
      </c>
      <c r="D33" s="18">
        <f t="shared" si="18"/>
        <v>44.364223999999993</v>
      </c>
      <c r="E33" s="18">
        <f t="shared" si="18"/>
        <v>55.832911999999993</v>
      </c>
      <c r="F33" s="18">
        <f t="shared" si="18"/>
        <v>69.822687999999985</v>
      </c>
      <c r="G33" s="18">
        <f t="shared" si="18"/>
        <v>83.423419999999979</v>
      </c>
      <c r="H33" s="18">
        <f t="shared" si="18"/>
        <v>93.537499999999994</v>
      </c>
      <c r="I33" s="18">
        <f t="shared" si="18"/>
        <v>139.39920000000001</v>
      </c>
      <c r="J33" s="18">
        <f t="shared" si="18"/>
        <v>155.8578</v>
      </c>
      <c r="K33" s="18">
        <f t="shared" si="18"/>
        <v>165.90908000000002</v>
      </c>
      <c r="L33" s="18"/>
      <c r="M33" s="18">
        <f t="shared" ref="M33:Q33" si="19">M$6*M17</f>
        <v>160.45228000000003</v>
      </c>
      <c r="N33" s="18">
        <f t="shared" si="19"/>
        <v>148.8852</v>
      </c>
      <c r="O33" s="18">
        <f t="shared" si="19"/>
        <v>169.23063088327055</v>
      </c>
      <c r="P33" s="18">
        <f t="shared" si="19"/>
        <v>217.49092260929567</v>
      </c>
      <c r="Q33" s="18">
        <f t="shared" si="19"/>
        <v>279.51382778966371</v>
      </c>
    </row>
    <row r="34" spans="2:20" x14ac:dyDescent="0.55000000000000004">
      <c r="B34" s="43" t="s">
        <v>39</v>
      </c>
      <c r="C34" s="18">
        <f>C$6*C18*'Global Server Stock'!C34/SUM('Global Server Stock'!C$34:C$35)</f>
        <v>1.4403328981147538</v>
      </c>
      <c r="D34" s="18">
        <f>D$6*D18*'Global Server Stock'!D34/SUM('Global Server Stock'!D$34:D$35)</f>
        <v>5.8464724465722835</v>
      </c>
      <c r="E34" s="18">
        <f>E$6*E18*'Global Server Stock'!E34/SUM('Global Server Stock'!E$34:E$35)</f>
        <v>13.536624544745342</v>
      </c>
      <c r="F34" s="18">
        <f>F$6*F18*'Global Server Stock'!F34/SUM('Global Server Stock'!F$34:F$35)</f>
        <v>33.598799516466443</v>
      </c>
      <c r="G34" s="18">
        <f>G$6*G18*'Global Server Stock'!G34/SUM('Global Server Stock'!G$34:G$35)</f>
        <v>60.461359040100142</v>
      </c>
      <c r="H34" s="18">
        <f>H$6*H18*'Global Server Stock'!H34/SUM('Global Server Stock'!H$34:H$35)</f>
        <v>97.269884738469273</v>
      </c>
      <c r="I34" s="18">
        <f>I$6*I18*'Global Server Stock'!I34/SUM('Global Server Stock'!I$34:I$35)</f>
        <v>166.27052435506522</v>
      </c>
      <c r="J34" s="18">
        <f>J$6*J18*'Global Server Stock'!J34/SUM('Global Server Stock'!J$34:J$35)</f>
        <v>223.06372487950497</v>
      </c>
      <c r="K34" s="18">
        <f>K$6*K18*'Global Server Stock'!K34/SUM('Global Server Stock'!K$34:K$35)</f>
        <v>279.29205446583171</v>
      </c>
      <c r="L34" s="18"/>
      <c r="M34" s="18">
        <f>M$6*M18*'Global Server Stock'!M34/SUM('Global Server Stock'!M$34:M$35)</f>
        <v>326.92550133575924</v>
      </c>
      <c r="N34" s="18">
        <f>N$6*N18*'Global Server Stock'!N34/SUM('Global Server Stock'!N$34:N$35)</f>
        <v>423.14868468292684</v>
      </c>
      <c r="O34" s="18">
        <f>O$6*O18*'Global Server Stock'!O34/SUM('Global Server Stock'!O$34:O$35)</f>
        <v>522.46039317820089</v>
      </c>
      <c r="P34" s="18">
        <f>P$6*P18*'Global Server Stock'!P34/SUM('Global Server Stock'!P$34:P$35)</f>
        <v>705.81597388453758</v>
      </c>
      <c r="Q34" s="18">
        <f>Q$6*Q18*'Global Server Stock'!Q34/SUM('Global Server Stock'!Q$34:Q$35)</f>
        <v>952.49481786319598</v>
      </c>
    </row>
    <row r="35" spans="2:20" x14ac:dyDescent="0.55000000000000004">
      <c r="B35" s="80" t="s">
        <v>40</v>
      </c>
      <c r="C35" s="18">
        <f>C$6*C18*'Global Server Stock'!C35/SUM('Global Server Stock'!C$34:C$35)</f>
        <v>5.3758671018852455</v>
      </c>
      <c r="D35" s="18">
        <f>D$6*D18*'Global Server Stock'!D35/SUM('Global Server Stock'!D$34:D$35)</f>
        <v>10.429303553427713</v>
      </c>
      <c r="E35" s="18">
        <f>E$6*E18*'Global Server Stock'!E35/SUM('Global Server Stock'!E$34:E$35)</f>
        <v>18.390463455254658</v>
      </c>
      <c r="F35" s="18">
        <f>F$6*F18*'Global Server Stock'!F35/SUM('Global Server Stock'!F$34:F$35)</f>
        <v>25.688512483533572</v>
      </c>
      <c r="G35" s="18">
        <f>G$6*G18*'Global Server Stock'!G35/SUM('Global Server Stock'!G$34:G$35)</f>
        <v>43.415220959899877</v>
      </c>
      <c r="H35" s="18">
        <f>H$6*H18*'Global Server Stock'!H35/SUM('Global Server Stock'!H$34:H$35)</f>
        <v>76.442615261530733</v>
      </c>
      <c r="I35" s="18">
        <f>I$6*I18*'Global Server Stock'!I35/SUM('Global Server Stock'!I$34:I$35)</f>
        <v>152.88027564493484</v>
      </c>
      <c r="J35" s="18">
        <f>J$6*J18*'Global Server Stock'!J35/SUM('Global Server Stock'!J$34:J$35)</f>
        <v>225.17847512049514</v>
      </c>
      <c r="K35" s="18">
        <f>K$6*K18*'Global Server Stock'!K35/SUM('Global Server Stock'!K$34:K$35)</f>
        <v>337.38886553416847</v>
      </c>
      <c r="L35" s="18"/>
      <c r="M35" s="18">
        <f>M$6*M18*'Global Server Stock'!M35/SUM('Global Server Stock'!M$34:M$35)</f>
        <v>479.20221866424089</v>
      </c>
      <c r="N35" s="18">
        <f>N$6*N18*'Global Server Stock'!N35/SUM('Global Server Stock'!N$34:N$35)</f>
        <v>668.67611531707325</v>
      </c>
      <c r="O35" s="18">
        <f>O$6*O18*'Global Server Stock'!O35/SUM('Global Server Stock'!O$34:O$35)</f>
        <v>943.03339411363038</v>
      </c>
      <c r="P35" s="18">
        <f>P$6*P18*'Global Server Stock'!P35/SUM('Global Server Stock'!P$34:P$35)</f>
        <v>1248.1353620553805</v>
      </c>
      <c r="Q35" s="18">
        <f>Q$6*Q18*'Global Server Stock'!Q35/SUM('Global Server Stock'!Q$34:Q$35)</f>
        <v>1652.3683354391612</v>
      </c>
    </row>
    <row r="36" spans="2:20" x14ac:dyDescent="0.55000000000000004">
      <c r="B36" s="10" t="s">
        <v>64</v>
      </c>
      <c r="C36" s="48">
        <f>SUM(C33:C35)</f>
        <v>39.4</v>
      </c>
      <c r="D36" s="48">
        <f t="shared" ref="D36:Q36" si="20">SUM(D33:D35)</f>
        <v>60.639999999999993</v>
      </c>
      <c r="E36" s="48">
        <f t="shared" si="20"/>
        <v>87.759999999999991</v>
      </c>
      <c r="F36" s="48">
        <f t="shared" si="20"/>
        <v>129.11000000000001</v>
      </c>
      <c r="G36" s="48">
        <f t="shared" si="20"/>
        <v>187.29999999999998</v>
      </c>
      <c r="H36" s="48">
        <f t="shared" si="20"/>
        <v>267.25</v>
      </c>
      <c r="I36" s="48">
        <f t="shared" si="20"/>
        <v>458.55000000000007</v>
      </c>
      <c r="J36" s="48">
        <f t="shared" si="20"/>
        <v>604.10000000000014</v>
      </c>
      <c r="K36" s="48">
        <f t="shared" si="20"/>
        <v>782.59000000000015</v>
      </c>
      <c r="M36" s="48">
        <f t="shared" si="20"/>
        <v>966.58000000000015</v>
      </c>
      <c r="N36" s="48">
        <f t="shared" si="20"/>
        <v>1240.71</v>
      </c>
      <c r="O36" s="48">
        <f t="shared" si="20"/>
        <v>1634.7244181751018</v>
      </c>
      <c r="P36" s="48">
        <f t="shared" si="20"/>
        <v>2171.4422585492139</v>
      </c>
      <c r="Q36" s="48">
        <f t="shared" si="20"/>
        <v>2884.3769810920212</v>
      </c>
    </row>
    <row r="37" spans="2:20" x14ac:dyDescent="0.55000000000000004">
      <c r="B37" s="26" t="s">
        <v>62</v>
      </c>
      <c r="C37" s="32" t="s">
        <v>137</v>
      </c>
      <c r="D37" s="87"/>
      <c r="E37" s="87"/>
      <c r="F37" s="87"/>
      <c r="G37" s="87"/>
      <c r="H37" s="87"/>
      <c r="I37" s="87"/>
      <c r="J37" s="87"/>
      <c r="K37" s="87"/>
      <c r="M37" s="87"/>
      <c r="N37" s="87"/>
      <c r="O37" s="87"/>
      <c r="P37" s="87"/>
      <c r="Q37" s="87"/>
    </row>
    <row r="39" spans="2:20" x14ac:dyDescent="0.55000000000000004">
      <c r="B39" s="15" t="s">
        <v>140</v>
      </c>
      <c r="C39" s="34">
        <v>2010</v>
      </c>
      <c r="D39" s="34">
        <v>2011</v>
      </c>
      <c r="E39" s="34">
        <v>2012</v>
      </c>
      <c r="F39" s="34">
        <v>2013</v>
      </c>
      <c r="G39" s="34">
        <v>2014</v>
      </c>
      <c r="H39" s="15">
        <v>2015</v>
      </c>
      <c r="I39" s="15">
        <v>2016</v>
      </c>
      <c r="J39" s="15">
        <v>2017</v>
      </c>
      <c r="K39" s="15">
        <v>2018</v>
      </c>
      <c r="M39" s="15">
        <v>2019</v>
      </c>
      <c r="N39" s="15">
        <v>2020</v>
      </c>
      <c r="O39" s="15">
        <v>2021</v>
      </c>
      <c r="P39" s="15">
        <v>2022</v>
      </c>
      <c r="Q39" s="15">
        <v>2023</v>
      </c>
    </row>
    <row r="40" spans="2:20" x14ac:dyDescent="0.55000000000000004">
      <c r="B40" s="11" t="s">
        <v>65</v>
      </c>
      <c r="C40" s="47">
        <v>0.2</v>
      </c>
      <c r="D40" s="47">
        <v>0.27</v>
      </c>
      <c r="E40" s="47">
        <v>0.38</v>
      </c>
      <c r="F40" s="47">
        <v>0.52</v>
      </c>
      <c r="G40" s="47">
        <v>0.72</v>
      </c>
      <c r="H40" s="47">
        <v>1</v>
      </c>
      <c r="I40" s="47">
        <v>1.38</v>
      </c>
      <c r="J40" s="47">
        <v>1.9</v>
      </c>
      <c r="K40" s="47">
        <v>2.62</v>
      </c>
      <c r="M40" s="47">
        <v>3.62</v>
      </c>
      <c r="N40" s="47">
        <v>5</v>
      </c>
      <c r="O40" s="47">
        <f>N40*(1.25)</f>
        <v>6.25</v>
      </c>
      <c r="P40" s="47">
        <f t="shared" ref="P40:Q40" si="21">O40*(1.25)</f>
        <v>7.8125</v>
      </c>
      <c r="Q40" s="47">
        <f t="shared" si="21"/>
        <v>9.765625</v>
      </c>
    </row>
    <row r="41" spans="2:20" x14ac:dyDescent="0.55000000000000004">
      <c r="B41" s="80" t="s">
        <v>66</v>
      </c>
      <c r="C41" s="46">
        <v>0.88</v>
      </c>
      <c r="D41" s="46">
        <v>1.1200000000000001</v>
      </c>
      <c r="E41" s="46">
        <v>1.43</v>
      </c>
      <c r="F41" s="46">
        <v>1.82</v>
      </c>
      <c r="G41" s="46">
        <v>2.3199999999999998</v>
      </c>
      <c r="H41" s="46">
        <v>2.96</v>
      </c>
      <c r="I41" s="46">
        <v>3.78</v>
      </c>
      <c r="J41" s="46">
        <v>4.82</v>
      </c>
      <c r="K41" s="46">
        <v>6.15</v>
      </c>
      <c r="M41" s="46">
        <v>7.84</v>
      </c>
      <c r="N41" s="46">
        <v>10</v>
      </c>
      <c r="O41" s="46">
        <f>N41*(1.25)</f>
        <v>12.5</v>
      </c>
      <c r="P41" s="46">
        <f t="shared" ref="P41:Q41" si="22">O41*(1.25)</f>
        <v>15.625</v>
      </c>
      <c r="Q41" s="46">
        <f t="shared" si="22"/>
        <v>19.53125</v>
      </c>
    </row>
    <row r="42" spans="2:20" x14ac:dyDescent="0.55000000000000004">
      <c r="B42" s="26" t="s">
        <v>0</v>
      </c>
      <c r="C42" s="32">
        <v>9</v>
      </c>
      <c r="D42" s="32">
        <v>9</v>
      </c>
      <c r="E42" s="32">
        <v>9</v>
      </c>
      <c r="F42" s="32">
        <v>9</v>
      </c>
      <c r="G42" s="32">
        <v>9</v>
      </c>
      <c r="H42" s="32">
        <v>9</v>
      </c>
      <c r="I42" s="32">
        <v>9</v>
      </c>
      <c r="J42" s="32">
        <v>9</v>
      </c>
      <c r="K42" s="32">
        <v>9</v>
      </c>
      <c r="M42" s="32">
        <v>9</v>
      </c>
      <c r="N42" s="32">
        <v>9</v>
      </c>
      <c r="O42" s="32"/>
    </row>
    <row r="43" spans="2:20" x14ac:dyDescent="0.55000000000000004">
      <c r="B43" s="26" t="s">
        <v>20</v>
      </c>
      <c r="C43" s="32" t="s">
        <v>219</v>
      </c>
      <c r="D43" s="32"/>
      <c r="E43" s="32"/>
      <c r="F43" s="32"/>
      <c r="G43" s="32"/>
      <c r="H43" s="32"/>
      <c r="I43" s="32"/>
      <c r="J43" s="32"/>
      <c r="K43" s="32"/>
      <c r="M43" s="32"/>
      <c r="N43" s="32"/>
      <c r="O43" s="32"/>
      <c r="T43" s="99"/>
    </row>
    <row r="44" spans="2:20" x14ac:dyDescent="0.55000000000000004">
      <c r="B44" s="26"/>
      <c r="C44" s="32" t="s">
        <v>285</v>
      </c>
      <c r="D44" s="32"/>
      <c r="E44" s="32"/>
      <c r="F44" s="32"/>
      <c r="G44" s="32"/>
      <c r="H44" s="32"/>
      <c r="I44" s="32"/>
      <c r="J44" s="32"/>
      <c r="K44" s="32"/>
      <c r="M44" s="32"/>
      <c r="N44" s="32"/>
      <c r="O44" s="32"/>
      <c r="T44" s="99"/>
    </row>
    <row r="46" spans="2:20" x14ac:dyDescent="0.55000000000000004">
      <c r="B46" s="15" t="s">
        <v>138</v>
      </c>
      <c r="C46" s="34">
        <v>2010</v>
      </c>
      <c r="D46" s="34">
        <v>2011</v>
      </c>
      <c r="E46" s="34">
        <v>2012</v>
      </c>
      <c r="F46" s="34">
        <v>2013</v>
      </c>
      <c r="G46" s="34">
        <v>2014</v>
      </c>
      <c r="H46" s="15">
        <v>2015</v>
      </c>
      <c r="I46" s="15">
        <v>2016</v>
      </c>
      <c r="J46" s="15">
        <v>2017</v>
      </c>
      <c r="K46" s="15">
        <v>2018</v>
      </c>
      <c r="M46" s="15">
        <v>2019</v>
      </c>
      <c r="N46" s="15">
        <v>2020</v>
      </c>
      <c r="O46" s="15">
        <v>2021</v>
      </c>
      <c r="P46" s="15">
        <v>2022</v>
      </c>
      <c r="Q46" s="15">
        <v>2023</v>
      </c>
      <c r="S46" s="38"/>
      <c r="T46" s="38"/>
    </row>
    <row r="47" spans="2:20" x14ac:dyDescent="0.55000000000000004">
      <c r="B47" s="85" t="s">
        <v>38</v>
      </c>
      <c r="C47" s="18">
        <f t="shared" ref="C47:K47" si="23">C26/C$40</f>
        <v>4.6311999999999998</v>
      </c>
      <c r="D47" s="18">
        <f t="shared" si="23"/>
        <v>9.6462814814814806</v>
      </c>
      <c r="E47" s="18">
        <f t="shared" si="23"/>
        <v>13.34345789473684</v>
      </c>
      <c r="F47" s="18">
        <f t="shared" si="23"/>
        <v>16.775199999999995</v>
      </c>
      <c r="G47" s="18">
        <f t="shared" si="23"/>
        <v>18.688241666666663</v>
      </c>
      <c r="H47" s="18">
        <f t="shared" si="23"/>
        <v>18.7075</v>
      </c>
      <c r="I47" s="18">
        <f t="shared" si="23"/>
        <v>24.381681159420292</v>
      </c>
      <c r="J47" s="18">
        <f t="shared" si="23"/>
        <v>23.437263157894737</v>
      </c>
      <c r="K47" s="18">
        <f t="shared" si="23"/>
        <v>21.107755725190842</v>
      </c>
      <c r="L47" s="18"/>
      <c r="M47" s="18">
        <f t="shared" ref="M47:O49" si="24">M26/M$40</f>
        <v>17.047558011049727</v>
      </c>
      <c r="N47" s="18">
        <f t="shared" si="24"/>
        <v>13.101839999999999</v>
      </c>
      <c r="O47" s="18">
        <f t="shared" si="24"/>
        <v>11.913784037267208</v>
      </c>
      <c r="P47" s="18">
        <f t="shared" ref="P47:Q47" si="25">P26/P$40</f>
        <v>12.249034910567332</v>
      </c>
      <c r="Q47" s="18">
        <f t="shared" si="25"/>
        <v>12.593719658755312</v>
      </c>
      <c r="T47" s="38"/>
    </row>
    <row r="48" spans="2:20" x14ac:dyDescent="0.55000000000000004">
      <c r="B48" s="43" t="s">
        <v>39</v>
      </c>
      <c r="C48" s="18">
        <f t="shared" ref="C48:K48" si="26">C27/C$40</f>
        <v>0.20471736622950815</v>
      </c>
      <c r="D48" s="18">
        <f t="shared" si="26"/>
        <v>1.2712206775748391</v>
      </c>
      <c r="E48" s="18">
        <f t="shared" si="26"/>
        <v>3.2351058395390653</v>
      </c>
      <c r="F48" s="18">
        <f t="shared" si="26"/>
        <v>8.0722555632436812</v>
      </c>
      <c r="G48" s="18">
        <f t="shared" si="26"/>
        <v>13.544355880357012</v>
      </c>
      <c r="H48" s="18">
        <f t="shared" si="26"/>
        <v>19.453976947693853</v>
      </c>
      <c r="I48" s="18">
        <f t="shared" si="26"/>
        <v>29.081622498800751</v>
      </c>
      <c r="J48" s="18">
        <f t="shared" si="26"/>
        <v>33.543417275113534</v>
      </c>
      <c r="K48" s="18">
        <f t="shared" si="26"/>
        <v>35.532886214856177</v>
      </c>
      <c r="L48" s="18"/>
      <c r="M48" s="18">
        <f t="shared" si="24"/>
        <v>34.734822398989095</v>
      </c>
      <c r="N48" s="18">
        <f t="shared" si="24"/>
        <v>37.236920546341459</v>
      </c>
      <c r="O48" s="18">
        <f t="shared" si="24"/>
        <v>36.781049978146271</v>
      </c>
      <c r="P48" s="18">
        <f t="shared" ref="P48:Q48" si="27">P27/P$40</f>
        <v>39.75138088902596</v>
      </c>
      <c r="Q48" s="18">
        <f t="shared" si="27"/>
        <v>42.915417843345345</v>
      </c>
      <c r="T48" s="38"/>
    </row>
    <row r="49" spans="2:20" x14ac:dyDescent="0.55000000000000004">
      <c r="B49" s="80" t="s">
        <v>40</v>
      </c>
      <c r="C49" s="18">
        <f t="shared" ref="C49:K49" si="28">C28/C$40</f>
        <v>0.76408263377049179</v>
      </c>
      <c r="D49" s="18">
        <f t="shared" si="28"/>
        <v>2.2676830261288639</v>
      </c>
      <c r="E49" s="18">
        <f t="shared" si="28"/>
        <v>4.3951204762504084</v>
      </c>
      <c r="F49" s="18">
        <f t="shared" si="28"/>
        <v>6.1717752059870898</v>
      </c>
      <c r="G49" s="18">
        <f t="shared" si="28"/>
        <v>9.7257357863096594</v>
      </c>
      <c r="H49" s="18">
        <f t="shared" si="28"/>
        <v>15.288523052306147</v>
      </c>
      <c r="I49" s="18">
        <f t="shared" si="28"/>
        <v>26.739594892503604</v>
      </c>
      <c r="J49" s="18">
        <f t="shared" si="28"/>
        <v>33.861424830149645</v>
      </c>
      <c r="K49" s="18">
        <f t="shared" si="28"/>
        <v>42.924243556136211</v>
      </c>
      <c r="L49" s="18"/>
      <c r="M49" s="18">
        <f t="shared" si="24"/>
        <v>50.913752186646285</v>
      </c>
      <c r="N49" s="18">
        <f t="shared" si="24"/>
        <v>58.843239453658533</v>
      </c>
      <c r="O49" s="18">
        <f t="shared" si="24"/>
        <v>66.389259076570269</v>
      </c>
      <c r="P49" s="18">
        <f t="shared" ref="P49:Q49" si="29">P28/P$40</f>
        <v>70.294674552438167</v>
      </c>
      <c r="Q49" s="18">
        <f t="shared" si="29"/>
        <v>74.448780420209602</v>
      </c>
      <c r="T49" s="38"/>
    </row>
    <row r="50" spans="2:20" x14ac:dyDescent="0.55000000000000004">
      <c r="B50" s="10" t="s">
        <v>67</v>
      </c>
      <c r="C50" s="48">
        <f>SUM(C47:C49)</f>
        <v>5.6</v>
      </c>
      <c r="D50" s="48">
        <f t="shared" ref="D50:O50" si="30">SUM(D47:D49)</f>
        <v>13.185185185185183</v>
      </c>
      <c r="E50" s="48">
        <f t="shared" si="30"/>
        <v>20.973684210526315</v>
      </c>
      <c r="F50" s="48">
        <f t="shared" si="30"/>
        <v>31.019230769230766</v>
      </c>
      <c r="G50" s="48">
        <f t="shared" si="30"/>
        <v>41.958333333333329</v>
      </c>
      <c r="H50" s="48">
        <f t="shared" si="30"/>
        <v>53.45</v>
      </c>
      <c r="I50" s="48">
        <f t="shared" si="30"/>
        <v>80.202898550724655</v>
      </c>
      <c r="J50" s="48">
        <f t="shared" si="30"/>
        <v>90.842105263157919</v>
      </c>
      <c r="K50" s="48">
        <f t="shared" si="30"/>
        <v>99.564885496183223</v>
      </c>
      <c r="M50" s="48">
        <f t="shared" si="30"/>
        <v>102.69613259668512</v>
      </c>
      <c r="N50" s="48">
        <f t="shared" si="30"/>
        <v>109.18199999999999</v>
      </c>
      <c r="O50" s="48">
        <f t="shared" si="30"/>
        <v>115.08409309198375</v>
      </c>
      <c r="P50" s="48">
        <f t="shared" ref="P50:Q50" si="31">SUM(P47:P49)</f>
        <v>122.29509035203145</v>
      </c>
      <c r="Q50" s="48">
        <f t="shared" si="31"/>
        <v>129.95791792231026</v>
      </c>
      <c r="T50" s="38"/>
    </row>
    <row r="51" spans="2:20" x14ac:dyDescent="0.55000000000000004">
      <c r="B51" s="26"/>
      <c r="C51" s="32"/>
    </row>
    <row r="52" spans="2:20" x14ac:dyDescent="0.55000000000000004">
      <c r="B52" s="15" t="s">
        <v>139</v>
      </c>
      <c r="C52" s="34">
        <v>2010</v>
      </c>
      <c r="D52" s="34">
        <v>2011</v>
      </c>
      <c r="E52" s="34">
        <v>2012</v>
      </c>
      <c r="F52" s="34">
        <v>2013</v>
      </c>
      <c r="G52" s="34">
        <v>2014</v>
      </c>
      <c r="H52" s="15">
        <v>2015</v>
      </c>
      <c r="I52" s="15">
        <v>2016</v>
      </c>
      <c r="J52" s="15">
        <v>2017</v>
      </c>
      <c r="K52" s="15">
        <v>2018</v>
      </c>
      <c r="M52" s="15">
        <v>2019</v>
      </c>
      <c r="N52" s="15">
        <v>2020</v>
      </c>
      <c r="O52" s="15">
        <v>2021</v>
      </c>
      <c r="P52" s="15">
        <v>2022</v>
      </c>
      <c r="Q52" s="15">
        <v>2023</v>
      </c>
    </row>
    <row r="53" spans="2:20" x14ac:dyDescent="0.55000000000000004">
      <c r="B53" s="85" t="s">
        <v>38</v>
      </c>
      <c r="C53" s="18">
        <f t="shared" ref="C53:K53" si="32">C33/C$41</f>
        <v>37.027045454545451</v>
      </c>
      <c r="D53" s="18">
        <f t="shared" si="32"/>
        <v>39.610914285714273</v>
      </c>
      <c r="E53" s="18">
        <f t="shared" si="32"/>
        <v>39.043994405594404</v>
      </c>
      <c r="F53" s="18">
        <f t="shared" si="32"/>
        <v>38.36411428571428</v>
      </c>
      <c r="G53" s="18">
        <f t="shared" si="32"/>
        <v>35.958370689655169</v>
      </c>
      <c r="H53" s="18">
        <f t="shared" si="32"/>
        <v>31.600506756756754</v>
      </c>
      <c r="I53" s="18">
        <f t="shared" si="32"/>
        <v>36.878095238095241</v>
      </c>
      <c r="J53" s="18">
        <f t="shared" si="32"/>
        <v>32.335643153526966</v>
      </c>
      <c r="K53" s="18">
        <f t="shared" si="32"/>
        <v>26.977086178861789</v>
      </c>
      <c r="L53" s="18"/>
      <c r="M53" s="18">
        <f t="shared" ref="M53:N55" si="33">M33/M$41</f>
        <v>20.46585204081633</v>
      </c>
      <c r="N53" s="18">
        <f t="shared" si="33"/>
        <v>14.88852</v>
      </c>
      <c r="O53" s="18">
        <f t="shared" ref="O53:Q53" si="34">O33/O$41</f>
        <v>13.538450470661644</v>
      </c>
      <c r="P53" s="18">
        <f t="shared" si="34"/>
        <v>13.919419046994923</v>
      </c>
      <c r="Q53" s="18">
        <f t="shared" si="34"/>
        <v>14.311107982830782</v>
      </c>
    </row>
    <row r="54" spans="2:20" x14ac:dyDescent="0.55000000000000004">
      <c r="B54" s="43" t="s">
        <v>39</v>
      </c>
      <c r="C54" s="18">
        <f t="shared" ref="C54:K54" si="35">C34/C$41</f>
        <v>1.6367419296758567</v>
      </c>
      <c r="D54" s="18">
        <f t="shared" si="35"/>
        <v>5.2200646844395386</v>
      </c>
      <c r="E54" s="18">
        <f t="shared" si="35"/>
        <v>9.4661710103114292</v>
      </c>
      <c r="F54" s="18">
        <f t="shared" si="35"/>
        <v>18.46087885520134</v>
      </c>
      <c r="G54" s="18">
        <f t="shared" si="35"/>
        <v>26.060930620732822</v>
      </c>
      <c r="H54" s="18">
        <f t="shared" si="35"/>
        <v>32.861447546780163</v>
      </c>
      <c r="I54" s="18">
        <f t="shared" si="35"/>
        <v>43.986911205043711</v>
      </c>
      <c r="J54" s="18">
        <f t="shared" si="35"/>
        <v>46.278781095332981</v>
      </c>
      <c r="K54" s="18">
        <f t="shared" si="35"/>
        <v>45.41334218956613</v>
      </c>
      <c r="L54" s="18"/>
      <c r="M54" s="18">
        <f t="shared" si="33"/>
        <v>41.699681292826433</v>
      </c>
      <c r="N54" s="18">
        <f t="shared" si="33"/>
        <v>42.314868468292687</v>
      </c>
      <c r="O54" s="18">
        <f t="shared" ref="O54:Q54" si="36">O34/O$41</f>
        <v>41.796831454256072</v>
      </c>
      <c r="P54" s="18">
        <f t="shared" si="36"/>
        <v>45.172222328610403</v>
      </c>
      <c r="Q54" s="18">
        <f t="shared" si="36"/>
        <v>48.767734674595637</v>
      </c>
    </row>
    <row r="55" spans="2:20" x14ac:dyDescent="0.55000000000000004">
      <c r="B55" s="80" t="s">
        <v>40</v>
      </c>
      <c r="C55" s="18">
        <f t="shared" ref="C55:K55" si="37">C35/C$41</f>
        <v>6.1089398885059607</v>
      </c>
      <c r="D55" s="18">
        <f t="shared" si="37"/>
        <v>9.3118781727033149</v>
      </c>
      <c r="E55" s="18">
        <f t="shared" si="37"/>
        <v>12.860463954723537</v>
      </c>
      <c r="F55" s="18">
        <f t="shared" si="37"/>
        <v>14.114567298644818</v>
      </c>
      <c r="G55" s="18">
        <f t="shared" si="37"/>
        <v>18.713457310301671</v>
      </c>
      <c r="H55" s="18">
        <f t="shared" si="37"/>
        <v>25.825207858625248</v>
      </c>
      <c r="I55" s="18">
        <f t="shared" si="37"/>
        <v>40.444517366384879</v>
      </c>
      <c r="J55" s="18">
        <f t="shared" si="37"/>
        <v>46.717525958608945</v>
      </c>
      <c r="K55" s="18">
        <f t="shared" si="37"/>
        <v>54.859978135637149</v>
      </c>
      <c r="L55" s="18"/>
      <c r="M55" s="18">
        <f t="shared" si="33"/>
        <v>61.122731972479706</v>
      </c>
      <c r="N55" s="18">
        <f t="shared" si="33"/>
        <v>66.867611531707325</v>
      </c>
      <c r="O55" s="18">
        <f t="shared" ref="O55:Q55" si="38">O35/O$41</f>
        <v>75.442671529090433</v>
      </c>
      <c r="P55" s="18">
        <f t="shared" si="38"/>
        <v>79.880663171544356</v>
      </c>
      <c r="Q55" s="18">
        <f t="shared" si="38"/>
        <v>84.601258774485061</v>
      </c>
    </row>
    <row r="56" spans="2:20" x14ac:dyDescent="0.55000000000000004">
      <c r="B56" s="10" t="s">
        <v>67</v>
      </c>
      <c r="C56" s="48">
        <f>SUM(C53:C55)</f>
        <v>44.772727272727266</v>
      </c>
      <c r="D56" s="48">
        <f t="shared" ref="D56:N56" si="39">SUM(D53:D55)</f>
        <v>54.142857142857125</v>
      </c>
      <c r="E56" s="48">
        <f t="shared" si="39"/>
        <v>61.370629370629366</v>
      </c>
      <c r="F56" s="48">
        <f t="shared" si="39"/>
        <v>70.939560439560438</v>
      </c>
      <c r="G56" s="48">
        <f t="shared" si="39"/>
        <v>80.732758620689651</v>
      </c>
      <c r="H56" s="48">
        <f t="shared" si="39"/>
        <v>90.287162162162161</v>
      </c>
      <c r="I56" s="48">
        <f t="shared" si="39"/>
        <v>121.30952380952382</v>
      </c>
      <c r="J56" s="48">
        <f t="shared" si="39"/>
        <v>125.33195020746889</v>
      </c>
      <c r="K56" s="48">
        <f t="shared" si="39"/>
        <v>127.25040650406507</v>
      </c>
      <c r="M56" s="48">
        <f t="shared" si="39"/>
        <v>123.28826530612247</v>
      </c>
      <c r="N56" s="48">
        <f t="shared" si="39"/>
        <v>124.07100000000001</v>
      </c>
      <c r="O56" s="48">
        <f t="shared" ref="O56:Q56" si="40">SUM(O53:O55)</f>
        <v>130.77795345400816</v>
      </c>
      <c r="P56" s="48">
        <f t="shared" si="40"/>
        <v>138.97230454714969</v>
      </c>
      <c r="Q56" s="48">
        <f t="shared" si="40"/>
        <v>147.68010143191148</v>
      </c>
    </row>
    <row r="58" spans="2:20" x14ac:dyDescent="0.55000000000000004">
      <c r="C58" s="95"/>
      <c r="D58" s="95"/>
      <c r="E58" s="95"/>
      <c r="F58" s="95"/>
      <c r="G58" s="95"/>
      <c r="H58" s="95"/>
      <c r="I58" s="95"/>
      <c r="J58" s="95"/>
      <c r="K58" s="95"/>
      <c r="L58" s="95"/>
      <c r="M58" s="95"/>
      <c r="N58" s="95"/>
    </row>
    <row r="59" spans="2:20" x14ac:dyDescent="0.55000000000000004">
      <c r="C59" s="95"/>
      <c r="D59" s="95"/>
      <c r="E59" s="95"/>
      <c r="F59" s="95"/>
      <c r="G59" s="95"/>
      <c r="H59" s="95"/>
      <c r="I59" s="95"/>
      <c r="J59" s="95"/>
      <c r="K59" s="95"/>
      <c r="L59" s="95"/>
      <c r="M59" s="95"/>
      <c r="N59" s="9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7"/>
  <sheetViews>
    <sheetView workbookViewId="0"/>
  </sheetViews>
  <sheetFormatPr defaultRowHeight="14.4" x14ac:dyDescent="0.55000000000000004"/>
  <cols>
    <col min="1" max="1" width="2.83984375" style="11" customWidth="1"/>
    <col min="2" max="2" width="56.83984375" style="11" customWidth="1"/>
    <col min="3" max="21" width="7.26171875" style="11" customWidth="1"/>
    <col min="22" max="16384" width="8.83984375" style="11"/>
  </cols>
  <sheetData>
    <row r="2" spans="2:18" x14ac:dyDescent="0.55000000000000004">
      <c r="B2" s="79" t="s">
        <v>142</v>
      </c>
    </row>
    <row r="3" spans="2:18" x14ac:dyDescent="0.55000000000000004">
      <c r="C3" s="15" t="s">
        <v>111</v>
      </c>
      <c r="D3" s="80"/>
      <c r="E3" s="80"/>
      <c r="F3" s="80"/>
      <c r="G3" s="80"/>
      <c r="H3" s="80"/>
      <c r="I3" s="80"/>
      <c r="J3" s="80"/>
      <c r="K3" s="80"/>
      <c r="M3" s="15" t="s">
        <v>234</v>
      </c>
      <c r="N3" s="80"/>
      <c r="O3" s="80"/>
      <c r="P3" s="80"/>
      <c r="Q3" s="80"/>
    </row>
    <row r="4" spans="2:18" x14ac:dyDescent="0.55000000000000004">
      <c r="B4" s="15" t="s">
        <v>141</v>
      </c>
      <c r="C4" s="34">
        <v>2010</v>
      </c>
      <c r="D4" s="34">
        <v>2011</v>
      </c>
      <c r="E4" s="34">
        <v>2012</v>
      </c>
      <c r="F4" s="34">
        <v>2013</v>
      </c>
      <c r="G4" s="34">
        <v>2014</v>
      </c>
      <c r="H4" s="15">
        <v>2015</v>
      </c>
      <c r="I4" s="15">
        <v>2016</v>
      </c>
      <c r="J4" s="15">
        <v>2017</v>
      </c>
      <c r="K4" s="15">
        <v>2018</v>
      </c>
      <c r="M4" s="15">
        <v>2019</v>
      </c>
      <c r="N4" s="15">
        <v>2020</v>
      </c>
      <c r="O4" s="15">
        <v>2021</v>
      </c>
      <c r="P4" s="15">
        <v>2022</v>
      </c>
      <c r="Q4" s="15">
        <v>2023</v>
      </c>
      <c r="R4" s="79" t="s">
        <v>96</v>
      </c>
    </row>
    <row r="5" spans="2:18" x14ac:dyDescent="0.55000000000000004">
      <c r="B5" s="11" t="s">
        <v>65</v>
      </c>
      <c r="C5" s="36">
        <v>6</v>
      </c>
      <c r="D5" s="36">
        <v>6</v>
      </c>
      <c r="E5" s="36">
        <v>6</v>
      </c>
      <c r="F5" s="36">
        <v>6</v>
      </c>
      <c r="G5" s="36">
        <v>6</v>
      </c>
      <c r="H5" s="36">
        <v>6</v>
      </c>
      <c r="I5" s="36">
        <v>6</v>
      </c>
      <c r="J5" s="36">
        <v>6</v>
      </c>
      <c r="K5" s="36">
        <v>6</v>
      </c>
      <c r="M5" s="36">
        <f>($Q$5-$K$5)/5+K5</f>
        <v>5.78</v>
      </c>
      <c r="N5" s="36">
        <f>($Q$5-$K$5)/5+M5</f>
        <v>5.5600000000000005</v>
      </c>
      <c r="O5" s="36">
        <f t="shared" ref="O5:P5" si="0">($Q$5-$K$5)/5+N5</f>
        <v>5.3400000000000007</v>
      </c>
      <c r="P5" s="36">
        <f t="shared" si="0"/>
        <v>5.120000000000001</v>
      </c>
      <c r="Q5" s="36">
        <v>4.9000000000000004</v>
      </c>
    </row>
    <row r="6" spans="2:18" x14ac:dyDescent="0.55000000000000004">
      <c r="B6" s="80" t="s">
        <v>66</v>
      </c>
      <c r="C6" s="63">
        <v>11.25</v>
      </c>
      <c r="D6" s="63">
        <v>10.65</v>
      </c>
      <c r="E6" s="63">
        <v>10.08</v>
      </c>
      <c r="F6" s="63">
        <v>9.5500000000000007</v>
      </c>
      <c r="G6" s="63">
        <v>9.0399999999999991</v>
      </c>
      <c r="H6" s="63">
        <v>8.56</v>
      </c>
      <c r="I6" s="63">
        <v>8.11</v>
      </c>
      <c r="J6" s="63">
        <v>7.67</v>
      </c>
      <c r="K6" s="63">
        <v>7.27</v>
      </c>
      <c r="M6" s="63">
        <v>6.88</v>
      </c>
      <c r="N6" s="63">
        <v>6.51</v>
      </c>
      <c r="O6" s="63">
        <f>N6*(1+$R$6)</f>
        <v>6.1634494038392225</v>
      </c>
      <c r="P6" s="63">
        <f>O6*(1+$R$6)</f>
        <v>5.8353469360500876</v>
      </c>
      <c r="Q6" s="63">
        <f>P6*(1+$R$6)</f>
        <v>5.5247105367423881</v>
      </c>
      <c r="R6" s="58">
        <f>(N6/C6)^(1/10)-1</f>
        <v>-5.3233578519320646E-2</v>
      </c>
    </row>
    <row r="7" spans="2:18" x14ac:dyDescent="0.55000000000000004">
      <c r="B7" s="30" t="s">
        <v>0</v>
      </c>
      <c r="C7" s="31">
        <v>9</v>
      </c>
      <c r="D7" s="32">
        <v>9</v>
      </c>
      <c r="E7" s="32">
        <v>9</v>
      </c>
      <c r="F7" s="31">
        <v>9</v>
      </c>
      <c r="G7" s="32">
        <v>9</v>
      </c>
      <c r="H7" s="32">
        <v>9</v>
      </c>
      <c r="I7" s="31">
        <v>9</v>
      </c>
      <c r="J7" s="32">
        <v>9</v>
      </c>
      <c r="K7" s="32">
        <v>9</v>
      </c>
      <c r="M7" s="31">
        <v>9</v>
      </c>
      <c r="N7" s="32">
        <v>9</v>
      </c>
      <c r="P7" s="31"/>
      <c r="Q7" s="32"/>
    </row>
    <row r="8" spans="2:18" x14ac:dyDescent="0.55000000000000004">
      <c r="B8" s="26" t="s">
        <v>20</v>
      </c>
      <c r="C8" s="32" t="s">
        <v>221</v>
      </c>
    </row>
    <row r="9" spans="2:18" x14ac:dyDescent="0.55000000000000004">
      <c r="B9" s="26"/>
      <c r="C9" s="32" t="s">
        <v>222</v>
      </c>
    </row>
    <row r="10" spans="2:18" x14ac:dyDescent="0.55000000000000004">
      <c r="B10" s="26"/>
      <c r="C10" s="32" t="s">
        <v>286</v>
      </c>
    </row>
    <row r="12" spans="2:18" x14ac:dyDescent="0.55000000000000004">
      <c r="B12" s="15" t="s">
        <v>144</v>
      </c>
      <c r="C12" s="34">
        <v>2010</v>
      </c>
      <c r="D12" s="34">
        <v>2011</v>
      </c>
      <c r="E12" s="34">
        <v>2012</v>
      </c>
      <c r="F12" s="34">
        <v>2013</v>
      </c>
      <c r="G12" s="34">
        <v>2014</v>
      </c>
      <c r="H12" s="15">
        <v>2015</v>
      </c>
      <c r="I12" s="15">
        <v>2016</v>
      </c>
      <c r="J12" s="15">
        <v>2017</v>
      </c>
      <c r="K12" s="15">
        <v>2018</v>
      </c>
      <c r="M12" s="15">
        <v>2019</v>
      </c>
      <c r="N12" s="15">
        <v>2020</v>
      </c>
      <c r="O12" s="15">
        <v>2021</v>
      </c>
      <c r="P12" s="15">
        <v>2022</v>
      </c>
      <c r="Q12" s="15">
        <v>2023</v>
      </c>
    </row>
    <row r="13" spans="2:18" x14ac:dyDescent="0.55000000000000004">
      <c r="B13" s="82" t="s">
        <v>84</v>
      </c>
      <c r="C13" s="37">
        <v>1</v>
      </c>
      <c r="D13" s="37">
        <v>1</v>
      </c>
      <c r="E13" s="37">
        <v>1</v>
      </c>
      <c r="F13" s="37">
        <v>1</v>
      </c>
      <c r="G13" s="37">
        <v>1</v>
      </c>
      <c r="H13" s="37">
        <v>1</v>
      </c>
      <c r="I13" s="37">
        <v>1</v>
      </c>
      <c r="J13" s="37">
        <v>1</v>
      </c>
      <c r="K13" s="37">
        <v>1</v>
      </c>
      <c r="M13" s="37">
        <v>1</v>
      </c>
      <c r="N13" s="37">
        <v>1</v>
      </c>
      <c r="O13" s="37">
        <v>1</v>
      </c>
      <c r="P13" s="37">
        <v>1</v>
      </c>
      <c r="Q13" s="37">
        <v>1</v>
      </c>
    </row>
    <row r="14" spans="2:18" x14ac:dyDescent="0.55000000000000004">
      <c r="B14" s="30" t="s">
        <v>0</v>
      </c>
      <c r="C14" s="31">
        <v>15</v>
      </c>
      <c r="D14" s="32">
        <v>15</v>
      </c>
      <c r="E14" s="31">
        <v>15</v>
      </c>
      <c r="F14" s="32">
        <v>15</v>
      </c>
      <c r="G14" s="31">
        <v>15</v>
      </c>
      <c r="H14" s="32"/>
      <c r="I14" s="31"/>
      <c r="J14" s="32"/>
      <c r="K14" s="31"/>
      <c r="M14" s="32"/>
      <c r="N14" s="31"/>
    </row>
    <row r="15" spans="2:18" x14ac:dyDescent="0.55000000000000004">
      <c r="B15" s="30" t="s">
        <v>20</v>
      </c>
      <c r="C15" s="31" t="s">
        <v>143</v>
      </c>
      <c r="D15" s="32"/>
      <c r="E15" s="31"/>
      <c r="F15" s="32"/>
      <c r="G15" s="31"/>
      <c r="H15" s="32"/>
      <c r="I15" s="31"/>
      <c r="J15" s="32"/>
      <c r="K15" s="31"/>
      <c r="M15" s="32"/>
      <c r="N15" s="31"/>
    </row>
    <row r="16" spans="2:18" x14ac:dyDescent="0.55000000000000004">
      <c r="B16" s="30"/>
      <c r="C16" s="31" t="s">
        <v>223</v>
      </c>
      <c r="D16" s="32"/>
      <c r="E16" s="31"/>
      <c r="F16" s="32"/>
      <c r="G16" s="31"/>
      <c r="H16" s="32"/>
      <c r="I16" s="31"/>
      <c r="J16" s="32"/>
      <c r="K16" s="31"/>
      <c r="M16" s="32"/>
      <c r="N16" s="31"/>
    </row>
    <row r="17" spans="2:18" x14ac:dyDescent="0.55000000000000004">
      <c r="B17" s="26"/>
      <c r="C17" s="103"/>
      <c r="D17" s="103"/>
      <c r="E17" s="103"/>
      <c r="F17" s="103"/>
      <c r="G17" s="103"/>
      <c r="H17" s="103"/>
      <c r="I17" s="103"/>
      <c r="J17" s="103"/>
      <c r="K17" s="103"/>
      <c r="L17" s="103"/>
      <c r="M17" s="103"/>
      <c r="N17" s="103"/>
    </row>
    <row r="18" spans="2:18" x14ac:dyDescent="0.55000000000000004">
      <c r="B18" s="15" t="s">
        <v>145</v>
      </c>
      <c r="C18" s="34">
        <v>2010</v>
      </c>
      <c r="D18" s="34">
        <v>2011</v>
      </c>
      <c r="E18" s="34">
        <v>2012</v>
      </c>
      <c r="F18" s="34">
        <v>2013</v>
      </c>
      <c r="G18" s="34">
        <v>2014</v>
      </c>
      <c r="H18" s="15">
        <v>2015</v>
      </c>
      <c r="I18" s="15">
        <v>2016</v>
      </c>
      <c r="J18" s="15">
        <v>2017</v>
      </c>
      <c r="K18" s="15">
        <v>2018</v>
      </c>
      <c r="M18" s="15">
        <v>2019</v>
      </c>
      <c r="N18" s="15">
        <v>2020</v>
      </c>
      <c r="O18" s="15">
        <v>2021</v>
      </c>
      <c r="P18" s="15">
        <v>2022</v>
      </c>
      <c r="Q18" s="15">
        <v>2023</v>
      </c>
      <c r="R18" s="79" t="s">
        <v>96</v>
      </c>
    </row>
    <row r="19" spans="2:18" x14ac:dyDescent="0.55000000000000004">
      <c r="B19" s="82" t="s">
        <v>68</v>
      </c>
      <c r="C19" s="64">
        <v>0.69899999999999995</v>
      </c>
      <c r="D19" s="64">
        <v>0.70199999999999996</v>
      </c>
      <c r="E19" s="64">
        <v>0.70499999999999996</v>
      </c>
      <c r="F19" s="64">
        <v>0.70699999999999996</v>
      </c>
      <c r="G19" s="64">
        <v>0.71</v>
      </c>
      <c r="H19" s="64">
        <v>0.71299999999999997</v>
      </c>
      <c r="I19" s="64">
        <v>0.71499999999999997</v>
      </c>
      <c r="J19" s="64">
        <v>0.71799999999999997</v>
      </c>
      <c r="K19" s="64">
        <v>0.72099999999999997</v>
      </c>
      <c r="M19" s="64">
        <v>0.72299999999999998</v>
      </c>
      <c r="N19" s="64">
        <v>0.76300000000000001</v>
      </c>
      <c r="O19" s="64">
        <f>N19*(1+$R$19)</f>
        <v>0.76971380211417462</v>
      </c>
      <c r="P19" s="64">
        <f>O19*(1+$R$19)</f>
        <v>0.7764866804260272</v>
      </c>
      <c r="Q19" s="64">
        <f>P19*(1+$R$19)</f>
        <v>0.78331915475980529</v>
      </c>
      <c r="R19" s="58">
        <f>(N19/C19)^(1/10)-1</f>
        <v>8.7992164012773433E-3</v>
      </c>
    </row>
    <row r="20" spans="2:18" x14ac:dyDescent="0.55000000000000004">
      <c r="B20" s="30" t="s">
        <v>0</v>
      </c>
      <c r="C20" s="31">
        <v>9</v>
      </c>
      <c r="D20" s="32">
        <v>9</v>
      </c>
      <c r="E20" s="32">
        <v>9</v>
      </c>
      <c r="F20" s="31">
        <v>9</v>
      </c>
      <c r="G20" s="32">
        <v>9</v>
      </c>
      <c r="H20" s="32">
        <v>9</v>
      </c>
      <c r="I20" s="31">
        <v>9</v>
      </c>
      <c r="J20" s="32">
        <v>9</v>
      </c>
      <c r="K20" s="32">
        <v>9</v>
      </c>
      <c r="M20" s="31">
        <v>9</v>
      </c>
      <c r="N20" s="32">
        <v>9</v>
      </c>
    </row>
    <row r="21" spans="2:18" x14ac:dyDescent="0.55000000000000004">
      <c r="B21" s="30" t="s">
        <v>62</v>
      </c>
      <c r="C21" s="96" t="s">
        <v>210</v>
      </c>
      <c r="D21" s="32"/>
      <c r="E21" s="32"/>
      <c r="F21" s="31"/>
      <c r="G21" s="32"/>
      <c r="H21" s="32"/>
      <c r="I21" s="31"/>
      <c r="J21" s="32"/>
      <c r="K21" s="32"/>
      <c r="M21" s="31"/>
      <c r="N21" s="32"/>
    </row>
    <row r="22" spans="2:18" x14ac:dyDescent="0.55000000000000004">
      <c r="B22" s="27"/>
      <c r="C22" s="31" t="s">
        <v>129</v>
      </c>
    </row>
    <row r="23" spans="2:18" x14ac:dyDescent="0.55000000000000004">
      <c r="B23" s="27"/>
      <c r="C23" s="31" t="s">
        <v>224</v>
      </c>
    </row>
    <row r="24" spans="2:18" x14ac:dyDescent="0.55000000000000004">
      <c r="B24" s="27"/>
      <c r="C24" s="31"/>
    </row>
    <row r="25" spans="2:18" x14ac:dyDescent="0.55000000000000004">
      <c r="B25" s="15" t="s">
        <v>146</v>
      </c>
      <c r="C25" s="34">
        <v>2010</v>
      </c>
      <c r="D25" s="34">
        <v>2011</v>
      </c>
      <c r="E25" s="34">
        <v>2012</v>
      </c>
      <c r="F25" s="34">
        <v>2013</v>
      </c>
      <c r="G25" s="34">
        <v>2014</v>
      </c>
      <c r="H25" s="15">
        <v>2015</v>
      </c>
      <c r="I25" s="15">
        <v>2016</v>
      </c>
      <c r="J25" s="15">
        <v>2017</v>
      </c>
      <c r="K25" s="15">
        <v>2018</v>
      </c>
      <c r="M25" s="15">
        <v>2019</v>
      </c>
      <c r="N25" s="15">
        <v>2020</v>
      </c>
      <c r="O25" s="15">
        <v>2021</v>
      </c>
      <c r="P25" s="15">
        <v>2022</v>
      </c>
      <c r="Q25" s="15">
        <v>2023</v>
      </c>
    </row>
    <row r="26" spans="2:18" x14ac:dyDescent="0.55000000000000004">
      <c r="B26" s="85" t="s">
        <v>38</v>
      </c>
      <c r="C26" s="36">
        <f>'Global Storage Stock'!C47*10^6*C$5*24*365/10^12*(1+C$13*C$19)</f>
        <v>0.41356356652799997</v>
      </c>
      <c r="D26" s="36">
        <f>'Global Storage Stock'!D47*10^6*D$5*24*365/10^12*(1+D$13*D$19)</f>
        <v>0.8629285600426666</v>
      </c>
      <c r="E26" s="36">
        <f>'Global Storage Stock'!E47*10^6*E$5*24*365/10^12*(1+E$13*E$19)</f>
        <v>1.195771310545263</v>
      </c>
      <c r="F26" s="36">
        <f>'Global Storage Stock'!F47*10^6*F$5*24*365/10^12*(1+F$13*F$19)</f>
        <v>1.5050696019839993</v>
      </c>
      <c r="G26" s="36">
        <f>'Global Storage Stock'!G47*10^6*G$5*24*365/10^12*(1+G$13*G$19)</f>
        <v>1.6796543092199998</v>
      </c>
      <c r="H26" s="36">
        <f>'Global Storage Stock'!H47*10^6*H$5*24*365/10^12*(1+H$13*H$19)</f>
        <v>1.6843350006</v>
      </c>
      <c r="I26" s="36">
        <f>'Global Storage Stock'!I47*10^6*I$5*24*365/10^12*(1+I$13*I$19)</f>
        <v>2.1977744923826088</v>
      </c>
      <c r="J26" s="36">
        <f>'Global Storage Stock'!J47*10^6*J$5*24*365/10^12*(1+J$13*J$19)</f>
        <v>2.1163398636126316</v>
      </c>
      <c r="K26" s="36">
        <f>'Global Storage Stock'!K47*10^6*K$5*24*365/10^12*(1+K$13*K$19)</f>
        <v>1.9093180860164887</v>
      </c>
      <c r="M26" s="36">
        <f>'Global Storage Stock'!M47*10^6*M$5*24*365/10^12*(1+M$13*M$19)</f>
        <v>1.4872343206362166</v>
      </c>
      <c r="N26" s="36">
        <f>'Global Storage Stock'!N47*10^6*N$5*24*365/10^12*(1+N$13*N$19)</f>
        <v>1.1250284407499518</v>
      </c>
      <c r="O26" s="36">
        <f>'Global Storage Stock'!O47*10^6*O$5*24*365/10^12*(1+O$13*O$19)</f>
        <v>0.98627522641845877</v>
      </c>
      <c r="P26" s="36">
        <f>'Global Storage Stock'!P47*10^6*P$5*24*365/10^12*(1+P$13*P$19)</f>
        <v>0.97597320669316834</v>
      </c>
      <c r="Q26" s="36">
        <f>'Global Storage Stock'!Q47*10^6*Q$5*24*365/10^12*(1+Q$13*Q$19)</f>
        <v>0.96401386914295717</v>
      </c>
    </row>
    <row r="27" spans="2:18" x14ac:dyDescent="0.55000000000000004">
      <c r="B27" s="43" t="s">
        <v>39</v>
      </c>
      <c r="C27" s="36">
        <f>'Global Storage Stock'!C48*10^6*C$5*24*365/10^12*(1+C$13*C$19)</f>
        <v>1.828114616256999E-2</v>
      </c>
      <c r="D27" s="36">
        <f>'Global Storage Stock'!D48*10^6*D$5*24*365/10^12*(1+D$13*D$19)</f>
        <v>0.11371974070029368</v>
      </c>
      <c r="E27" s="36">
        <f>'Global Storage Stock'!E48*10^6*E$5*24*365/10^12*(1+E$13*E$19)</f>
        <v>0.28991336278912538</v>
      </c>
      <c r="F27" s="36">
        <f>'Global Storage Stock'!F48*10^6*F$5*24*365/10^12*(1+F$13*F$19)</f>
        <v>0.72424212335377802</v>
      </c>
      <c r="G27" s="36">
        <f>'Global Storage Stock'!G48*10^6*G$5*24*365/10^12*(1+G$13*G$19)</f>
        <v>1.2173342000723755</v>
      </c>
      <c r="H27" s="36">
        <f>'Global Storage Stock'!H48*10^6*H$5*24*365/10^12*(1+H$13*H$19)</f>
        <v>1.7515442615991614</v>
      </c>
      <c r="I27" s="36">
        <f>'Global Storage Stock'!I48*10^6*I$5*24*365/10^12*(1+I$13*I$19)</f>
        <v>2.6214290846908987</v>
      </c>
      <c r="J27" s="36">
        <f>'Global Storage Stock'!J48*10^6*J$5*24*365/10^12*(1+J$13*J$19)</f>
        <v>3.0289061765815832</v>
      </c>
      <c r="K27" s="36">
        <f>'Global Storage Stock'!K48*10^6*K$5*24*365/10^12*(1+K$13*K$19)</f>
        <v>3.2141542275583386</v>
      </c>
      <c r="M27" s="36">
        <f>'Global Storage Stock'!M48*10^6*M$5*24*365/10^12*(1+M$13*M$19)</f>
        <v>3.0302768267159714</v>
      </c>
      <c r="N27" s="36">
        <f>'Global Storage Stock'!N48*10^6*N$5*24*365/10^12*(1+N$13*N$19)</f>
        <v>3.1974588806290098</v>
      </c>
      <c r="O27" s="36">
        <f>'Global Storage Stock'!O48*10^6*O$5*24*365/10^12*(1+O$13*O$19)</f>
        <v>3.0448964226336543</v>
      </c>
      <c r="P27" s="36">
        <f>'Global Storage Stock'!P48*10^6*P$5*24*365/10^12*(1+P$13*P$19)</f>
        <v>3.167293012062065</v>
      </c>
      <c r="Q27" s="36">
        <f>'Global Storage Stock'!Q48*10^6*Q$5*24*365/10^12*(1+Q$13*Q$19)</f>
        <v>3.2850547036187487</v>
      </c>
    </row>
    <row r="28" spans="2:18" x14ac:dyDescent="0.55000000000000004">
      <c r="B28" s="80" t="s">
        <v>40</v>
      </c>
      <c r="C28" s="36">
        <f>'Global Storage Stock'!C49*10^6*C$5*24*365/10^12*(1+C$13*C$19)</f>
        <v>6.823215130943E-2</v>
      </c>
      <c r="D28" s="36">
        <f>'Global Storage Stock'!D49*10^6*D$5*24*365/10^12*(1+D$13*D$19)</f>
        <v>0.20286039259037295</v>
      </c>
      <c r="E28" s="36">
        <f>'Global Storage Stock'!E49*10^6*E$5*24*365/10^12*(1+E$13*E$19)</f>
        <v>0.3938678424550851</v>
      </c>
      <c r="F28" s="36">
        <f>'Global Storage Stock'!F49*10^6*F$5*24*365/10^12*(1+F$13*F$19)</f>
        <v>0.55373117773914526</v>
      </c>
      <c r="G28" s="36">
        <f>'Global Storage Stock'!G49*10^6*G$5*24*365/10^12*(1+G$13*G$19)</f>
        <v>0.87412579070762508</v>
      </c>
      <c r="H28" s="36">
        <f>'Global Storage Stock'!H49*10^6*H$5*24*365/10^12*(1+H$13*H$19)</f>
        <v>1.3765064538008387</v>
      </c>
      <c r="I28" s="36">
        <f>'Global Storage Stock'!I49*10^6*I$5*24*365/10^12*(1+I$13*I$19)</f>
        <v>2.4103177794482318</v>
      </c>
      <c r="J28" s="36">
        <f>'Global Storage Stock'!J49*10^6*J$5*24*365/10^12*(1+J$13*J$19)</f>
        <v>3.0576216482268386</v>
      </c>
      <c r="K28" s="36">
        <f>'Global Storage Stock'!K49*10^6*K$5*24*365/10^12*(1+K$13*K$19)</f>
        <v>3.882745073295403</v>
      </c>
      <c r="M28" s="36">
        <f>'Global Storage Stock'!M49*10^6*M$5*24*365/10^12*(1+M$13*M$19)</f>
        <v>4.4417317480467089</v>
      </c>
      <c r="N28" s="36">
        <f>'Global Storage Stock'!N49*10^6*N$5*24*365/10^12*(1+N$13*N$19)</f>
        <v>5.0527496848706379</v>
      </c>
      <c r="O28" s="36">
        <f>'Global Storage Stock'!O49*10^6*O$5*24*365/10^12*(1+O$13*O$19)</f>
        <v>5.4959936593342409</v>
      </c>
      <c r="P28" s="36">
        <f>'Global Storage Stock'!P49*10^6*P$5*24*365/10^12*(1+P$13*P$19)</f>
        <v>5.600908107234563</v>
      </c>
      <c r="Q28" s="36">
        <f>'Global Storage Stock'!Q49*10^6*Q$5*24*365/10^12*(1+Q$13*Q$19)</f>
        <v>5.6988450442411978</v>
      </c>
    </row>
    <row r="29" spans="2:18" x14ac:dyDescent="0.55000000000000004">
      <c r="B29" s="10" t="s">
        <v>55</v>
      </c>
      <c r="C29" s="39">
        <f>SUM(C26:C28)</f>
        <v>0.50007686399999995</v>
      </c>
      <c r="D29" s="39">
        <f t="shared" ref="D29:O29" si="1">SUM(D26:D28)</f>
        <v>1.1795086933333332</v>
      </c>
      <c r="E29" s="39">
        <f t="shared" si="1"/>
        <v>1.8795525157894732</v>
      </c>
      <c r="F29" s="39">
        <f t="shared" si="1"/>
        <v>2.7830429030769226</v>
      </c>
      <c r="G29" s="39">
        <f t="shared" si="1"/>
        <v>3.7711143000000003</v>
      </c>
      <c r="H29" s="39">
        <f t="shared" si="1"/>
        <v>4.8123857159999996</v>
      </c>
      <c r="I29" s="39">
        <f t="shared" si="1"/>
        <v>7.2295213565217384</v>
      </c>
      <c r="J29" s="39">
        <f t="shared" si="1"/>
        <v>8.202867688421053</v>
      </c>
      <c r="K29" s="39">
        <f t="shared" si="1"/>
        <v>9.0062173868702295</v>
      </c>
      <c r="M29" s="39">
        <f t="shared" si="1"/>
        <v>8.9592428953988978</v>
      </c>
      <c r="N29" s="39">
        <f t="shared" si="1"/>
        <v>9.3752370062495984</v>
      </c>
      <c r="O29" s="39">
        <f t="shared" si="1"/>
        <v>9.5271653083863548</v>
      </c>
      <c r="P29" s="39">
        <f t="shared" ref="P29:Q29" si="2">SUM(P26:P28)</f>
        <v>9.7441743259897962</v>
      </c>
      <c r="Q29" s="39">
        <f t="shared" si="2"/>
        <v>9.9479136170029037</v>
      </c>
    </row>
    <row r="30" spans="2:18" x14ac:dyDescent="0.55000000000000004">
      <c r="B30" s="26"/>
      <c r="C30" s="32"/>
    </row>
    <row r="31" spans="2:18" x14ac:dyDescent="0.55000000000000004">
      <c r="B31" s="15" t="s">
        <v>147</v>
      </c>
      <c r="C31" s="34">
        <v>2010</v>
      </c>
      <c r="D31" s="34">
        <v>2011</v>
      </c>
      <c r="E31" s="34">
        <v>2012</v>
      </c>
      <c r="F31" s="34">
        <v>2013</v>
      </c>
      <c r="G31" s="34">
        <v>2014</v>
      </c>
      <c r="H31" s="15">
        <v>2015</v>
      </c>
      <c r="I31" s="15">
        <v>2016</v>
      </c>
      <c r="J31" s="15">
        <v>2017</v>
      </c>
      <c r="K31" s="15">
        <v>2018</v>
      </c>
      <c r="M31" s="15">
        <v>2019</v>
      </c>
      <c r="N31" s="15">
        <v>2020</v>
      </c>
      <c r="O31" s="15">
        <v>2021</v>
      </c>
      <c r="P31" s="15">
        <v>2022</v>
      </c>
      <c r="Q31" s="15">
        <v>2023</v>
      </c>
    </row>
    <row r="32" spans="2:18" x14ac:dyDescent="0.55000000000000004">
      <c r="B32" s="85" t="s">
        <v>38</v>
      </c>
      <c r="C32" s="36">
        <f>'Global Storage Stock'!C53*10^6*C$6*24*365/10^12*(1+C$13*C$19)</f>
        <v>6.1996770448977259</v>
      </c>
      <c r="D32" s="36">
        <f>'Global Storage Stock'!D53*10^6*D$6*24*365/10^12*(1+D$13*D$19)</f>
        <v>6.2896740048061703</v>
      </c>
      <c r="E32" s="36">
        <f>'Global Storage Stock'!E53*10^6*E$6*24*365/10^12*(1+E$13*E$19)</f>
        <v>5.8781851797622151</v>
      </c>
      <c r="F32" s="36">
        <f>'Global Storage Stock'!F53*10^6*F$6*24*365/10^12*(1+F$13*F$19)</f>
        <v>5.4785568794646844</v>
      </c>
      <c r="G32" s="36">
        <f>'Global Storage Stock'!G53*10^6*G$6*24*365/10^12*(1+G$13*G$19)</f>
        <v>4.8693237666281375</v>
      </c>
      <c r="H32" s="36">
        <f>'Global Storage Stock'!H53*10^6*H$6*24*365/10^12*(1+H$13*H$19)</f>
        <v>4.0590956095540536</v>
      </c>
      <c r="I32" s="36">
        <f>'Global Storage Stock'!I53*10^6*I$6*24*365/10^12*(1+I$13*I$19)</f>
        <v>4.4932187893599993</v>
      </c>
      <c r="J32" s="36">
        <f>'Global Storage Stock'!J53*10^6*J$6*24*365/10^12*(1+J$13*J$19)</f>
        <v>3.732537099360099</v>
      </c>
      <c r="K32" s="36">
        <f>'Global Storage Stock'!K53*10^6*K$6*24*365/10^12*(1+K$13*K$19)</f>
        <v>2.9567487825237619</v>
      </c>
      <c r="M32" s="36">
        <f>'Global Storage Stock'!M53*10^6*M$6*24*365/10^12*(1+M$13*M$19)</f>
        <v>2.1252383878118208</v>
      </c>
      <c r="N32" s="36">
        <f>'Global Storage Stock'!N53*10^6*N$6*24*365/10^12*(1+N$13*N$19)</f>
        <v>1.4968867208369763</v>
      </c>
      <c r="O32" s="36">
        <f>'Global Storage Stock'!O53*10^6*O$6*24*365/10^12*(1+O$13*O$19)</f>
        <v>1.2935998001676798</v>
      </c>
      <c r="P32" s="36">
        <f>'Global Storage Stock'!P53*10^6*P$6*24*365/10^12*(1+P$13*P$19)</f>
        <v>1.2640197307935488</v>
      </c>
      <c r="Q32" s="36">
        <f>'Global Storage Stock'!Q53*10^6*Q$6*24*365/10^12*(1+Q$13*Q$19)</f>
        <v>1.2351393772769534</v>
      </c>
    </row>
    <row r="33" spans="2:17" x14ac:dyDescent="0.55000000000000004">
      <c r="B33" s="43" t="s">
        <v>39</v>
      </c>
      <c r="C33" s="36">
        <f>'Global Storage Stock'!C54*10^6*C$6*24*365/10^12*(1+C$13*C$19)</f>
        <v>0.2740502582710751</v>
      </c>
      <c r="D33" s="36">
        <f>'Global Storage Stock'!D54*10^6*D$6*24*365/10^12*(1+D$13*D$19)</f>
        <v>0.82887521636851424</v>
      </c>
      <c r="E33" s="36">
        <f>'Global Storage Stock'!E54*10^6*E$6*24*365/10^12*(1+E$13*E$19)</f>
        <v>1.425159156716159</v>
      </c>
      <c r="F33" s="36">
        <f>'Global Storage Stock'!F54*10^6*F$6*24*365/10^12*(1+F$13*F$19)</f>
        <v>2.6362911469792163</v>
      </c>
      <c r="G33" s="36">
        <f>'Global Storage Stock'!G54*10^6*G$6*24*365/10^12*(1+G$13*G$19)</f>
        <v>3.5290561395900166</v>
      </c>
      <c r="H33" s="36">
        <f>'Global Storage Stock'!H54*10^6*H$6*24*365/10^12*(1+H$13*H$19)</f>
        <v>4.2210638736736561</v>
      </c>
      <c r="I33" s="36">
        <f>'Global Storage Stock'!I54*10^6*I$6*24*365/10^12*(1+I$13*I$19)</f>
        <v>5.3593553201805921</v>
      </c>
      <c r="J33" s="36">
        <f>'Global Storage Stock'!J54*10^6*J$6*24*365/10^12*(1+J$13*J$19)</f>
        <v>5.3420080909277985</v>
      </c>
      <c r="K33" s="36">
        <f>'Global Storage Stock'!K54*10^6*K$6*24*365/10^12*(1+K$13*K$19)</f>
        <v>4.977403539398856</v>
      </c>
      <c r="M33" s="36">
        <f>'Global Storage Stock'!M54*10^6*M$6*24*365/10^12*(1+M$13*M$19)</f>
        <v>4.3302259425255913</v>
      </c>
      <c r="N33" s="36">
        <f>'Global Storage Stock'!N54*10^6*N$6*24*365/10^12*(1+N$13*N$19)</f>
        <v>4.2543224379690248</v>
      </c>
      <c r="O33" s="36">
        <f>'Global Storage Stock'!O54*10^6*O$6*24*365/10^12*(1+O$13*O$19)</f>
        <v>3.9936898933918736</v>
      </c>
      <c r="P33" s="36">
        <f>'Global Storage Stock'!P54*10^6*P$6*24*365/10^12*(1+P$13*P$19)</f>
        <v>4.1020807056946484</v>
      </c>
      <c r="Q33" s="36">
        <f>'Global Storage Stock'!Q54*10^6*Q$6*24*365/10^12*(1+Q$13*Q$19)</f>
        <v>4.2089647782304764</v>
      </c>
    </row>
    <row r="34" spans="2:17" x14ac:dyDescent="0.55000000000000004">
      <c r="B34" s="80" t="s">
        <v>40</v>
      </c>
      <c r="C34" s="36">
        <f>'Global Storage Stock'!C55*10^6*C$6*24*365/10^12*(1+C$13*C$19)</f>
        <v>1.0228592081948338</v>
      </c>
      <c r="D34" s="36">
        <f>'Global Storage Stock'!D55*10^6*D$6*24*365/10^12*(1+D$13*D$19)</f>
        <v>1.4785995005395995</v>
      </c>
      <c r="E34" s="36">
        <f>'Global Storage Stock'!E55*10^6*E$6*24*365/10^12*(1+E$13*E$19)</f>
        <v>1.9361796807523952</v>
      </c>
      <c r="F34" s="36">
        <f>'Global Storage Stock'!F55*10^6*F$6*24*365/10^12*(1+F$13*F$19)</f>
        <v>2.0156195761165381</v>
      </c>
      <c r="G34" s="36">
        <f>'Global Storage Stock'!G55*10^6*G$6*24*365/10^12*(1+G$13*G$19)</f>
        <v>2.5340937503335694</v>
      </c>
      <c r="H34" s="36">
        <f>'Global Storage Stock'!H55*10^6*H$6*24*365/10^12*(1+H$13*H$19)</f>
        <v>3.3172565440695889</v>
      </c>
      <c r="I34" s="36">
        <f>'Global Storage Stock'!I55*10^6*I$6*24*365/10^12*(1+I$13*I$19)</f>
        <v>4.9277508554594087</v>
      </c>
      <c r="J34" s="36">
        <f>'Global Storage Stock'!J55*10^6*J$6*24*365/10^12*(1+J$13*J$19)</f>
        <v>5.3926528692473727</v>
      </c>
      <c r="K34" s="36">
        <f>'Global Storage Stock'!K55*10^6*K$6*24*365/10^12*(1+K$13*K$19)</f>
        <v>6.0127758975290924</v>
      </c>
      <c r="M34" s="36">
        <f>'Global Storage Stock'!M55*10^6*M$6*24*365/10^12*(1+M$13*M$19)</f>
        <v>6.3471765600952423</v>
      </c>
      <c r="N34" s="36">
        <f>'Global Storage Stock'!N55*10^6*N$6*24*365/10^12*(1+N$13*N$19)</f>
        <v>6.7228468481687989</v>
      </c>
      <c r="O34" s="36">
        <f>'Global Storage Stock'!O55*10^6*O$6*24*365/10^12*(1+O$13*O$19)</f>
        <v>7.208552044093552</v>
      </c>
      <c r="P34" s="36">
        <f>'Global Storage Stock'!P55*10^6*P$6*24*365/10^12*(1+P$13*P$19)</f>
        <v>7.2539474540429403</v>
      </c>
      <c r="Q34" s="36">
        <f>'Global Storage Stock'!Q55*10^6*Q$6*24*365/10^12*(1+Q$13*Q$19)</f>
        <v>7.3016251575298767</v>
      </c>
    </row>
    <row r="35" spans="2:17" x14ac:dyDescent="0.55000000000000004">
      <c r="B35" s="10" t="s">
        <v>55</v>
      </c>
      <c r="C35" s="39">
        <f>SUM(C32:C34)</f>
        <v>7.4965865113636347</v>
      </c>
      <c r="D35" s="39">
        <f t="shared" ref="D35:O35" si="3">SUM(D32:D34)</f>
        <v>8.5971487217142837</v>
      </c>
      <c r="E35" s="39">
        <f t="shared" si="3"/>
        <v>9.2395240172307691</v>
      </c>
      <c r="F35" s="39">
        <f t="shared" si="3"/>
        <v>10.13046760256044</v>
      </c>
      <c r="G35" s="39">
        <f t="shared" si="3"/>
        <v>10.932473656551723</v>
      </c>
      <c r="H35" s="39">
        <f t="shared" si="3"/>
        <v>11.597416027297299</v>
      </c>
      <c r="I35" s="39">
        <f t="shared" si="3"/>
        <v>14.780324964999998</v>
      </c>
      <c r="J35" s="39">
        <f t="shared" si="3"/>
        <v>14.467198059535271</v>
      </c>
      <c r="K35" s="39">
        <f t="shared" si="3"/>
        <v>13.94692821945171</v>
      </c>
      <c r="M35" s="39">
        <f t="shared" si="3"/>
        <v>12.802640890432654</v>
      </c>
      <c r="N35" s="39">
        <f t="shared" si="3"/>
        <v>12.474056006974799</v>
      </c>
      <c r="O35" s="39">
        <f t="shared" si="3"/>
        <v>12.495841737653105</v>
      </c>
      <c r="P35" s="39">
        <f t="shared" ref="P35:Q35" si="4">SUM(P32:P34)</f>
        <v>12.620047890531136</v>
      </c>
      <c r="Q35" s="39">
        <f t="shared" si="4"/>
        <v>12.745729313037307</v>
      </c>
    </row>
    <row r="36" spans="2:17" x14ac:dyDescent="0.55000000000000004">
      <c r="C36" s="36"/>
      <c r="D36" s="36"/>
      <c r="E36" s="36"/>
      <c r="F36" s="36"/>
      <c r="G36" s="36"/>
      <c r="H36" s="36"/>
      <c r="I36" s="36"/>
      <c r="J36" s="36"/>
      <c r="K36" s="36"/>
      <c r="M36" s="36"/>
      <c r="N36" s="36"/>
      <c r="O36" s="36"/>
    </row>
    <row r="37" spans="2:17" x14ac:dyDescent="0.55000000000000004">
      <c r="C37" s="36"/>
      <c r="D37" s="36"/>
      <c r="E37" s="36"/>
      <c r="F37" s="36"/>
      <c r="G37" s="36"/>
      <c r="H37" s="36"/>
      <c r="I37" s="36"/>
      <c r="J37" s="36"/>
      <c r="K37" s="36"/>
      <c r="M37" s="36"/>
      <c r="N37" s="36"/>
      <c r="O37" s="3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heetViews>
  <sheetFormatPr defaultRowHeight="14.4" x14ac:dyDescent="0.55000000000000004"/>
  <cols>
    <col min="1" max="1" width="2.68359375" customWidth="1"/>
    <col min="2" max="2" width="51.62890625" customWidth="1"/>
    <col min="3" max="11" width="7.26171875" customWidth="1"/>
  </cols>
  <sheetData>
    <row r="1" spans="1:10" x14ac:dyDescent="0.55000000000000004">
      <c r="A1" s="3"/>
    </row>
    <row r="2" spans="1:10" x14ac:dyDescent="0.55000000000000004">
      <c r="B2" s="3" t="s">
        <v>148</v>
      </c>
      <c r="C2" s="5" t="s">
        <v>20</v>
      </c>
      <c r="D2" s="5" t="s">
        <v>149</v>
      </c>
    </row>
    <row r="3" spans="1:10" x14ac:dyDescent="0.55000000000000004">
      <c r="B3" s="3"/>
      <c r="C3" s="5"/>
    </row>
    <row r="4" spans="1:10" x14ac:dyDescent="0.55000000000000004">
      <c r="C4" s="8" t="s">
        <v>111</v>
      </c>
      <c r="D4" s="1"/>
      <c r="F4" s="8" t="s">
        <v>234</v>
      </c>
      <c r="G4" s="1"/>
      <c r="H4" s="1"/>
      <c r="I4" s="1"/>
      <c r="J4" s="1"/>
    </row>
    <row r="5" spans="1:10" x14ac:dyDescent="0.55000000000000004">
      <c r="B5" s="14" t="s">
        <v>69</v>
      </c>
      <c r="C5" s="14">
        <v>2010</v>
      </c>
      <c r="D5" s="8">
        <v>2018</v>
      </c>
      <c r="F5" s="8">
        <v>2019</v>
      </c>
      <c r="G5" s="8">
        <v>2020</v>
      </c>
      <c r="H5" s="8">
        <v>2021</v>
      </c>
      <c r="I5" s="8">
        <v>2022</v>
      </c>
      <c r="J5" s="8">
        <v>2023</v>
      </c>
    </row>
    <row r="6" spans="1:10" x14ac:dyDescent="0.55000000000000004">
      <c r="B6" t="s">
        <v>25</v>
      </c>
      <c r="C6" s="36">
        <f>'Regional Server Stock'!C41/'Regional Server Stock'!C$47*('Global Storage Energy'!C$26+'Global Storage Energy'!C$32)</f>
        <v>2.1602064720832739</v>
      </c>
      <c r="D6" s="36">
        <f>'Regional Server Stock'!D41/'Regional Server Stock'!D$47*('Global Storage Energy'!K$26+'Global Storage Energy'!K$32)</f>
        <v>1.2968246666769849</v>
      </c>
      <c r="E6" s="11"/>
      <c r="F6" s="36">
        <f>'Regional Server Stock'!F41/'Regional Server Stock'!F$47*('Global Storage Energy'!M$26+'Global Storage Energy'!M$32)</f>
        <v>0.97934042735419902</v>
      </c>
      <c r="G6" s="36">
        <f>'Regional Server Stock'!G41/'Regional Server Stock'!G$47*('Global Storage Energy'!N$26+'Global Storage Energy'!N$32)</f>
        <v>0.68617614421696482</v>
      </c>
      <c r="H6" s="36">
        <f>'Regional Server Stock'!H41/'Regional Server Stock'!H$47*('Global Storage Energy'!O$26+'Global Storage Energy'!O$32)</f>
        <v>0.57516604014179218</v>
      </c>
      <c r="I6" s="36">
        <f>'Regional Server Stock'!I41/'Regional Server Stock'!I$47*('Global Storage Energy'!P$26+'Global Storage Energy'!P$32)</f>
        <v>0.56510460125044881</v>
      </c>
      <c r="J6" s="36">
        <f>'Regional Server Stock'!J41/'Regional Server Stock'!J$47*('Global Storage Energy'!Q$26+'Global Storage Energy'!Q$32)</f>
        <v>0.55480157888405068</v>
      </c>
    </row>
    <row r="7" spans="1:10" x14ac:dyDescent="0.55000000000000004">
      <c r="B7" s="20" t="s">
        <v>26</v>
      </c>
      <c r="C7" s="36">
        <f>'Regional Server Stock'!C42/'Regional Server Stock'!C$47*('Global Storage Energy'!C$26+'Global Storage Energy'!C$32)</f>
        <v>0.21178494824345823</v>
      </c>
      <c r="D7" s="36">
        <f>'Regional Server Stock'!D42/'Regional Server Stock'!D$47*('Global Storage Energy'!K$26+'Global Storage Energy'!K$32)</f>
        <v>0.11897474006210881</v>
      </c>
      <c r="E7" s="11"/>
      <c r="F7" s="36">
        <f>'Regional Server Stock'!F42/'Regional Server Stock'!F$47*('Global Storage Energy'!M$26+'Global Storage Energy'!M$32)</f>
        <v>8.3151545718752828E-2</v>
      </c>
      <c r="G7" s="36">
        <f>'Regional Server Stock'!G42/'Regional Server Stock'!G$47*('Global Storage Energy'!N$26+'Global Storage Energy'!N$32)</f>
        <v>5.7783254249849716E-2</v>
      </c>
      <c r="H7" s="36">
        <f>'Regional Server Stock'!H42/'Regional Server Stock'!H$47*('Global Storage Energy'!O$26+'Global Storage Energy'!O$32)</f>
        <v>5.5437690616076341E-2</v>
      </c>
      <c r="I7" s="36">
        <f>'Regional Server Stock'!I42/'Regional Server Stock'!I$47*('Global Storage Energy'!P$26+'Global Storage Energy'!P$32)</f>
        <v>5.4467913373537201E-2</v>
      </c>
      <c r="J7" s="36">
        <f>'Regional Server Stock'!J42/'Regional Server Stock'!J$47*('Global Storage Energy'!Q$26+'Global Storage Energy'!Q$32)</f>
        <v>5.3474850976775956E-2</v>
      </c>
    </row>
    <row r="8" spans="1:10" x14ac:dyDescent="0.55000000000000004">
      <c r="B8" s="20" t="s">
        <v>27</v>
      </c>
      <c r="C8" s="36">
        <f>'Regional Server Stock'!C43/'Regional Server Stock'!C$47*('Global Storage Energy'!C$26+'Global Storage Energy'!C$32)</f>
        <v>0.21178494824345823</v>
      </c>
      <c r="D8" s="36">
        <f>'Regional Server Stock'!D43/'Regional Server Stock'!D$47*('Global Storage Energy'!K$26+'Global Storage Energy'!K$32)</f>
        <v>9.5179792049686948E-2</v>
      </c>
      <c r="E8" s="11"/>
      <c r="F8" s="36">
        <f>'Regional Server Stock'!F43/'Regional Server Stock'!F$47*('Global Storage Energy'!M$26+'Global Storage Energy'!M$32)</f>
        <v>6.4673424447918779E-2</v>
      </c>
      <c r="G8" s="36">
        <f>'Regional Server Stock'!G43/'Regional Server Stock'!G$47*('Global Storage Energy'!N$26+'Global Storage Energy'!N$32)</f>
        <v>5.0560347468618407E-2</v>
      </c>
      <c r="H8" s="36">
        <f>'Regional Server Stock'!H43/'Regional Server Stock'!H$47*('Global Storage Energy'!O$26+'Global Storage Energy'!O$32)</f>
        <v>4.1578267962057318E-2</v>
      </c>
      <c r="I8" s="36">
        <f>'Regional Server Stock'!I43/'Regional Server Stock'!I$47*('Global Storage Energy'!P$26+'Global Storage Energy'!P$32)</f>
        <v>4.0850935030152961E-2</v>
      </c>
      <c r="J8" s="36">
        <f>'Regional Server Stock'!J43/'Regional Server Stock'!J$47*('Global Storage Energy'!Q$26+'Global Storage Energy'!Q$32)</f>
        <v>4.0106138232582023E-2</v>
      </c>
    </row>
    <row r="9" spans="1:10" x14ac:dyDescent="0.55000000000000004">
      <c r="B9" s="20" t="s">
        <v>28</v>
      </c>
      <c r="C9" s="36">
        <f>'Regional Server Stock'!C44/'Regional Server Stock'!C$47*('Global Storage Energy'!C$26+'Global Storage Energy'!C$32)</f>
        <v>9.2747201472135166E-2</v>
      </c>
      <c r="D9" s="36">
        <f>'Regional Server Stock'!D44/'Regional Server Stock'!D$47*('Global Storage Energy'!K$26+'Global Storage Energy'!K$32)</f>
        <v>9.5179792049687129E-2</v>
      </c>
      <c r="E9" s="11"/>
      <c r="F9" s="36">
        <f>'Regional Server Stock'!F44/'Regional Server Stock'!F$47*('Global Storage Energy'!M$26+'Global Storage Energy'!M$32)</f>
        <v>6.4673424447918779E-2</v>
      </c>
      <c r="G9" s="36">
        <f>'Regional Server Stock'!G44/'Regional Server Stock'!G$47*('Global Storage Energy'!N$26+'Global Storage Energy'!N$32)</f>
        <v>5.0560347468618407E-2</v>
      </c>
      <c r="H9" s="36">
        <f>'Regional Server Stock'!H44/'Regional Server Stock'!H$47*('Global Storage Energy'!O$26+'Global Storage Energy'!O$32)</f>
        <v>4.1578267962057193E-2</v>
      </c>
      <c r="I9" s="36">
        <f>'Regional Server Stock'!I44/'Regional Server Stock'!I$47*('Global Storage Energy'!P$26+'Global Storage Energy'!P$32)</f>
        <v>4.085093503015285E-2</v>
      </c>
      <c r="J9" s="36">
        <f>'Regional Server Stock'!J44/'Regional Server Stock'!J$47*('Global Storage Energy'!Q$26+'Global Storage Energy'!Q$32)</f>
        <v>4.0106138232581919E-2</v>
      </c>
    </row>
    <row r="10" spans="1:10" x14ac:dyDescent="0.55000000000000004">
      <c r="B10" s="20" t="s">
        <v>29</v>
      </c>
      <c r="C10" s="36">
        <f>'Regional Server Stock'!C45/'Regional Server Stock'!C$47*('Global Storage Energy'!C$26+'Global Storage Energy'!C$32)</f>
        <v>2.426471272530049</v>
      </c>
      <c r="D10" s="36">
        <f>'Regional Server Stock'!D45/'Regional Server Stock'!D$47*('Global Storage Energy'!K$26+'Global Storage Energy'!K$32)</f>
        <v>2.2605200611800678</v>
      </c>
      <c r="E10" s="11"/>
      <c r="F10" s="36">
        <f>'Regional Server Stock'!F45/'Regional Server Stock'!F$47*('Global Storage Energy'!M$26+'Global Storage Energy'!M$32)</f>
        <v>1.6630309143750557</v>
      </c>
      <c r="G10" s="36">
        <f>'Regional Server Stock'!G45/'Regional Server Stock'!G$47*('Global Storage Energy'!N$26+'Global Storage Energy'!N$32)</f>
        <v>1.1990025256843804</v>
      </c>
      <c r="H10" s="36">
        <f>'Regional Server Stock'!H45/'Regional Server Stock'!H$47*('Global Storage Energy'!O$26+'Global Storage Energy'!O$32)</f>
        <v>1.0325269877244214</v>
      </c>
      <c r="I10" s="36">
        <f>'Regional Server Stock'!I45/'Regional Server Stock'!I$47*('Global Storage Energy'!P$26+'Global Storage Energy'!P$32)</f>
        <v>1.01446488658213</v>
      </c>
      <c r="J10" s="36">
        <f>'Regional Server Stock'!J45/'Regional Server Stock'!J$47*('Global Storage Energy'!Q$26+'Global Storage Energy'!Q$32)</f>
        <v>0.9959690994424516</v>
      </c>
    </row>
    <row r="11" spans="1:10" x14ac:dyDescent="0.55000000000000004">
      <c r="B11" s="20" t="s">
        <v>30</v>
      </c>
      <c r="C11" s="36">
        <f>'Regional Server Stock'!C46/'Regional Server Stock'!C$47*('Global Storage Energy'!C$26+'Global Storage Energy'!C$32)</f>
        <v>1.5102457688533504</v>
      </c>
      <c r="D11" s="36">
        <f>'Regional Server Stock'!D46/'Regional Server Stock'!D$47*('Global Storage Energy'!K$26+'Global Storage Energy'!K$32)</f>
        <v>0.99938781652171471</v>
      </c>
      <c r="E11" s="11"/>
      <c r="F11" s="36">
        <f>'Regional Server Stock'!F46/'Regional Server Stock'!F$47*('Global Storage Energy'!M$26+'Global Storage Energy'!M$32)</f>
        <v>0.75760297210419236</v>
      </c>
      <c r="G11" s="36">
        <f>'Regional Server Stock'!G46/'Regional Server Stock'!G$47*('Global Storage Energy'!N$26+'Global Storage Energy'!N$32)</f>
        <v>0.57783254249849658</v>
      </c>
      <c r="H11" s="36">
        <f>'Regional Server Stock'!H46/'Regional Server Stock'!H$47*('Global Storage Energy'!O$26+'Global Storage Energy'!O$32)</f>
        <v>0.53358777217973452</v>
      </c>
      <c r="I11" s="36">
        <f>'Regional Server Stock'!I46/'Regional Server Stock'!I$47*('Global Storage Energy'!P$26+'Global Storage Energy'!P$32)</f>
        <v>0.52425366622029534</v>
      </c>
      <c r="J11" s="36">
        <f>'Regional Server Stock'!J46/'Regional Server Stock'!J$47*('Global Storage Energy'!Q$26+'Global Storage Energy'!Q$32)</f>
        <v>0.51469544065146822</v>
      </c>
    </row>
    <row r="12" spans="1:10" x14ac:dyDescent="0.55000000000000004">
      <c r="B12" s="7" t="s">
        <v>31</v>
      </c>
      <c r="C12" s="39">
        <f t="shared" ref="C12" si="0">SUM(C6:C11)</f>
        <v>6.6132406114257245</v>
      </c>
      <c r="D12" s="39">
        <f t="shared" ref="D12:H12" si="1">SUM(D6:D11)</f>
        <v>4.8660668685402504</v>
      </c>
      <c r="E12" s="11"/>
      <c r="F12" s="39">
        <f t="shared" si="1"/>
        <v>3.6124727084480375</v>
      </c>
      <c r="G12" s="39">
        <f t="shared" si="1"/>
        <v>2.6219151615869283</v>
      </c>
      <c r="H12" s="39">
        <f t="shared" si="1"/>
        <v>2.2798750265861392</v>
      </c>
      <c r="I12" s="39">
        <f t="shared" ref="I12:J12" si="2">SUM(I6:I11)</f>
        <v>2.2399929374867171</v>
      </c>
      <c r="J12" s="39">
        <f t="shared" si="2"/>
        <v>2.1991532464199106</v>
      </c>
    </row>
    <row r="13" spans="1:10" x14ac:dyDescent="0.55000000000000004">
      <c r="C13" s="11"/>
      <c r="D13" s="11"/>
      <c r="E13" s="11"/>
      <c r="F13" s="11"/>
      <c r="G13" s="11"/>
      <c r="H13" s="11"/>
      <c r="I13" s="11"/>
      <c r="J13" s="11"/>
    </row>
    <row r="14" spans="1:10" ht="14.5" customHeight="1" x14ac:dyDescent="0.55000000000000004">
      <c r="B14" s="14" t="s">
        <v>70</v>
      </c>
      <c r="C14" s="34">
        <v>2010</v>
      </c>
      <c r="D14" s="15">
        <v>2018</v>
      </c>
      <c r="E14" s="11"/>
      <c r="F14" s="15">
        <v>2019</v>
      </c>
      <c r="G14" s="15">
        <v>2020</v>
      </c>
      <c r="H14" s="15">
        <v>2021</v>
      </c>
      <c r="I14" s="15">
        <v>2022</v>
      </c>
      <c r="J14" s="15">
        <v>2023</v>
      </c>
    </row>
    <row r="15" spans="1:10" x14ac:dyDescent="0.55000000000000004">
      <c r="B15" t="s">
        <v>25</v>
      </c>
      <c r="C15" s="36">
        <f>'Regional Server Stock'!C50/'Regional Server Stock'!C$56*('Global Storage Energy'!C$27+'Global Storage Energy'!C$33)</f>
        <v>6.7236223019738348E-2</v>
      </c>
      <c r="D15" s="36">
        <f>'Regional Server Stock'!D50/'Regional Server Stock'!D$56*('Global Storage Energy'!K$27+'Global Storage Energy'!K$33)</f>
        <v>2.7825012506899554</v>
      </c>
      <c r="E15" s="11"/>
      <c r="F15" s="36">
        <f>'Regional Server Stock'!F50/'Regional Server Stock'!F$56*('Global Storage Energy'!M$27+'Global Storage Energy'!M$33)</f>
        <v>2.5766287607874538</v>
      </c>
      <c r="G15" s="36">
        <f>'Regional Server Stock'!G50/'Regional Server Stock'!G$56*('Global Storage Energy'!N$27+'Global Storage Energy'!N$33)</f>
        <v>2.6371360338174297</v>
      </c>
      <c r="H15" s="36">
        <f>'Regional Server Stock'!H50/'Regional Server Stock'!H$56*('Global Storage Energy'!O$27+'Global Storage Energy'!O$33)</f>
        <v>2.46231162366839</v>
      </c>
      <c r="I15" s="36">
        <f>'Regional Server Stock'!I50/'Regional Server Stock'!I$56*('Global Storage Energy'!P$27+'Global Storage Energy'!P$33)</f>
        <v>2.546861100534715</v>
      </c>
      <c r="J15" s="36">
        <f>'Regional Server Stock'!J50/'Regional Server Stock'!J$56*('Global Storage Energy'!Q$27+'Global Storage Energy'!Q$33)</f>
        <v>2.6291705309324214</v>
      </c>
    </row>
    <row r="16" spans="1:10" x14ac:dyDescent="0.55000000000000004">
      <c r="B16" s="20" t="s">
        <v>26</v>
      </c>
      <c r="C16" s="36">
        <f>'Regional Server Stock'!C51/'Regional Server Stock'!C$56*('Global Storage Energy'!C$27+'Global Storage Energy'!C$33)</f>
        <v>2.9233140443364489E-4</v>
      </c>
      <c r="D16" s="36">
        <f>'Regional Server Stock'!D51/'Regional Server Stock'!D$56*('Global Storage Energy'!K$27+'Global Storage Energy'!K$33)</f>
        <v>0.45656770791924178</v>
      </c>
      <c r="E16" s="11"/>
      <c r="F16" s="36">
        <f>'Regional Server Stock'!F51/'Regional Server Stock'!F$56*('Global Storage Energy'!M$27+'Global Storage Energy'!M$33)</f>
        <v>0.42993115398056098</v>
      </c>
      <c r="G16" s="36">
        <f>'Regional Server Stock'!G51/'Regional Server Stock'!G$56*('Global Storage Energy'!N$27+'Global Storage Energy'!N$33)</f>
        <v>0.43049750639207118</v>
      </c>
      <c r="H16" s="36">
        <f>'Regional Server Stock'!H51/'Regional Server Stock'!H$56*('Global Storage Energy'!O$27+'Global Storage Energy'!O$33)</f>
        <v>0.41305146536410786</v>
      </c>
      <c r="I16" s="36">
        <f>'Regional Server Stock'!I51/'Regional Server Stock'!I$56*('Global Storage Energy'!P$27+'Global Storage Energy'!P$33)</f>
        <v>0.42197373682473593</v>
      </c>
      <c r="J16" s="36">
        <f>'Regional Server Stock'!J51/'Regional Server Stock'!J$56*('Global Storage Energy'!Q$27+'Global Storage Energy'!Q$33)</f>
        <v>0.4306465053663186</v>
      </c>
    </row>
    <row r="17" spans="2:10" x14ac:dyDescent="0.55000000000000004">
      <c r="B17" s="20" t="s">
        <v>27</v>
      </c>
      <c r="C17" s="36">
        <f>'Regional Server Stock'!C52/'Regional Server Stock'!C$56*('Global Storage Energy'!C$27+'Global Storage Energy'!C$33)</f>
        <v>0</v>
      </c>
      <c r="D17" s="36">
        <f>'Regional Server Stock'!D52/'Regional Server Stock'!D$56*('Global Storage Energy'!K$27+'Global Storage Energy'!K$33)</f>
        <v>0.24020777881794678</v>
      </c>
      <c r="E17" s="11"/>
      <c r="F17" s="36">
        <f>'Regional Server Stock'!F52/'Regional Server Stock'!F$56*('Global Storage Energy'!M$27+'Global Storage Energy'!M$33)</f>
        <v>0.17272767535200015</v>
      </c>
      <c r="G17" s="36">
        <f>'Regional Server Stock'!G52/'Regional Server Stock'!G$56*('Global Storage Energy'!N$27+'Global Storage Energy'!N$33)</f>
        <v>0.15783158228712749</v>
      </c>
      <c r="H17" s="36">
        <f>'Regional Server Stock'!H52/'Regional Server Stock'!H$56*('Global Storage Energy'!O$27+'Global Storage Energy'!O$33)</f>
        <v>0.13340269570142277</v>
      </c>
      <c r="I17" s="36">
        <f>'Regional Server Stock'!I52/'Regional Server Stock'!I$56*('Global Storage Energy'!P$27+'Global Storage Energy'!P$33)</f>
        <v>0.13967974074289549</v>
      </c>
      <c r="J17" s="36">
        <f>'Regional Server Stock'!J52/'Regional Server Stock'!J$56*('Global Storage Energy'!Q$27+'Global Storage Energy'!Q$33)</f>
        <v>0.14579471182466067</v>
      </c>
    </row>
    <row r="18" spans="2:10" x14ac:dyDescent="0.55000000000000004">
      <c r="B18" s="20" t="s">
        <v>28</v>
      </c>
      <c r="C18" s="36">
        <f>'Regional Server Stock'!C53/'Regional Server Stock'!C$56*('Global Storage Energy'!C$27+'Global Storage Energy'!C$33)</f>
        <v>0</v>
      </c>
      <c r="D18" s="36">
        <f>'Regional Server Stock'!D53/'Regional Server Stock'!D$56*('Global Storage Energy'!K$27+'Global Storage Energy'!K$33)</f>
        <v>0.35627096595415308</v>
      </c>
      <c r="E18" s="11"/>
      <c r="F18" s="36">
        <f>'Regional Server Stock'!F53/'Regional Server Stock'!F$56*('Global Storage Energy'!M$27+'Global Storage Energy'!M$33)</f>
        <v>0.31725671406409611</v>
      </c>
      <c r="G18" s="36">
        <f>'Regional Server Stock'!G53/'Regional Server Stock'!G$56*('Global Storage Energy'!N$27+'Global Storage Energy'!N$33)</f>
        <v>0.29441885488428515</v>
      </c>
      <c r="H18" s="36">
        <f>'Regional Server Stock'!H53/'Regional Server Stock'!H$56*('Global Storage Energy'!O$27+'Global Storage Energy'!O$33)</f>
        <v>0.25543972338488019</v>
      </c>
      <c r="I18" s="36">
        <f>'Regional Server Stock'!I53/'Regional Server Stock'!I$56*('Global Storage Energy'!P$27+'Global Storage Energy'!P$33)</f>
        <v>0.26188918952813089</v>
      </c>
      <c r="J18" s="36">
        <f>'Regional Server Stock'!J53/'Regional Server Stock'!J$56*('Global Storage Energy'!Q$27+'Global Storage Energy'!Q$33)</f>
        <v>0.26816199537179713</v>
      </c>
    </row>
    <row r="19" spans="2:10" x14ac:dyDescent="0.55000000000000004">
      <c r="B19" s="20" t="s">
        <v>29</v>
      </c>
      <c r="C19" s="36">
        <f>'Regional Server Stock'!C54/'Regional Server Stock'!C$56*('Global Storage Energy'!C$27+'Global Storage Energy'!C$33)</f>
        <v>0.17832215670452356</v>
      </c>
      <c r="D19" s="36">
        <f>'Regional Server Stock'!D54/'Regional Server Stock'!D$56*('Global Storage Energy'!K$27+'Global Storage Energy'!K$33)</f>
        <v>2.797760934314895</v>
      </c>
      <c r="E19" s="11"/>
      <c r="F19" s="36">
        <f>'Regional Server Stock'!F54/'Regional Server Stock'!F$56*('Global Storage Energy'!M$27+'Global Storage Energy'!M$33)</f>
        <v>2.5250755194226944</v>
      </c>
      <c r="G19" s="36">
        <f>'Regional Server Stock'!G54/'Regional Server Stock'!G$56*('Global Storage Energy'!N$27+'Global Storage Energy'!N$33)</f>
        <v>2.6368805173744843</v>
      </c>
      <c r="H19" s="36">
        <f>'Regional Server Stock'!H54/'Regional Server Stock'!H$56*('Global Storage Energy'!O$27+'Global Storage Energy'!O$33)</f>
        <v>2.5962300282098396</v>
      </c>
      <c r="I19" s="36">
        <f>'Regional Server Stock'!I54/'Regional Server Stock'!I$56*('Global Storage Energy'!P$27+'Global Storage Energy'!P$33)</f>
        <v>2.6800421919962019</v>
      </c>
      <c r="J19" s="36">
        <f>'Regional Server Stock'!J54/'Regional Server Stock'!J$56*('Global Storage Energy'!Q$27+'Global Storage Energy'!Q$33)</f>
        <v>2.7616205399104463</v>
      </c>
    </row>
    <row r="20" spans="2:10" x14ac:dyDescent="0.55000000000000004">
      <c r="B20" s="20" t="s">
        <v>30</v>
      </c>
      <c r="C20" s="36">
        <f>'Regional Server Stock'!C55/'Regional Server Stock'!C$56*('Global Storage Energy'!C$27+'Global Storage Energy'!C$33)</f>
        <v>4.6480693304949576E-2</v>
      </c>
      <c r="D20" s="36">
        <f>'Regional Server Stock'!D55/'Regional Server Stock'!D$56*('Global Storage Energy'!K$27+'Global Storage Energy'!K$33)</f>
        <v>1.5582491292610028</v>
      </c>
      <c r="E20" s="11"/>
      <c r="F20" s="36">
        <f>'Regional Server Stock'!F55/'Regional Server Stock'!F$56*('Global Storage Energy'!M$27+'Global Storage Energy'!M$33)</f>
        <v>1.338882945634758</v>
      </c>
      <c r="G20" s="36">
        <f>'Regional Server Stock'!G55/'Regional Server Stock'!G$56*('Global Storage Energy'!N$27+'Global Storage Energy'!N$33)</f>
        <v>1.2950168238426363</v>
      </c>
      <c r="H20" s="36">
        <f>'Regional Server Stock'!H55/'Regional Server Stock'!H$56*('Global Storage Energy'!O$27+'Global Storage Energy'!O$33)</f>
        <v>1.1781507796968871</v>
      </c>
      <c r="I20" s="36">
        <f>'Regional Server Stock'!I55/'Regional Server Stock'!I$56*('Global Storage Energy'!P$27+'Global Storage Energy'!P$33)</f>
        <v>1.2189277581300353</v>
      </c>
      <c r="J20" s="36">
        <f>'Regional Server Stock'!J55/'Regional Server Stock'!J$56*('Global Storage Energy'!Q$27+'Global Storage Energy'!Q$33)</f>
        <v>1.2586251984435808</v>
      </c>
    </row>
    <row r="21" spans="2:10" x14ac:dyDescent="0.55000000000000004">
      <c r="B21" s="7" t="s">
        <v>31</v>
      </c>
      <c r="C21" s="39">
        <f t="shared" ref="C21:H21" si="3">SUM(C15:C20)</f>
        <v>0.29233140443364514</v>
      </c>
      <c r="D21" s="39">
        <f t="shared" si="3"/>
        <v>8.191557766957196</v>
      </c>
      <c r="E21" s="11"/>
      <c r="F21" s="39">
        <f t="shared" si="3"/>
        <v>7.3605027692415632</v>
      </c>
      <c r="G21" s="39">
        <f t="shared" si="3"/>
        <v>7.4517813185980346</v>
      </c>
      <c r="H21" s="39">
        <f t="shared" si="3"/>
        <v>7.038586316025528</v>
      </c>
      <c r="I21" s="39">
        <f t="shared" ref="I21:J21" si="4">SUM(I15:I20)</f>
        <v>7.2693737177567144</v>
      </c>
      <c r="J21" s="39">
        <f t="shared" si="4"/>
        <v>7.4940194818492243</v>
      </c>
    </row>
    <row r="22" spans="2:10" x14ac:dyDescent="0.55000000000000004">
      <c r="C22" s="11"/>
      <c r="D22" s="11"/>
      <c r="E22" s="11"/>
      <c r="F22" s="11"/>
      <c r="G22" s="11"/>
      <c r="H22" s="11"/>
      <c r="I22" s="11"/>
      <c r="J22" s="11"/>
    </row>
    <row r="23" spans="2:10" x14ac:dyDescent="0.55000000000000004">
      <c r="B23" s="14" t="s">
        <v>71</v>
      </c>
      <c r="C23" s="34">
        <v>2010</v>
      </c>
      <c r="D23" s="15">
        <v>2018</v>
      </c>
      <c r="E23" s="11"/>
      <c r="F23" s="15">
        <v>2019</v>
      </c>
      <c r="G23" s="15">
        <v>2020</v>
      </c>
      <c r="H23" s="15">
        <v>2021</v>
      </c>
      <c r="I23" s="15">
        <v>2022</v>
      </c>
      <c r="J23" s="15">
        <v>2023</v>
      </c>
    </row>
    <row r="24" spans="2:10" x14ac:dyDescent="0.55000000000000004">
      <c r="B24" t="s">
        <v>25</v>
      </c>
      <c r="C24" s="36">
        <f>'Regional Server Stock'!C59/'Regional Server Stock'!C$65*('Global Storage Energy'!C$28+'Global Storage Energy'!C$34)</f>
        <v>0.25095101268598069</v>
      </c>
      <c r="D24" s="36">
        <f>'Regional Server Stock'!D59/'Regional Server Stock'!D$65*('Global Storage Energy'!K$28+'Global Storage Energy'!K$34)</f>
        <v>3.3248950461970308</v>
      </c>
      <c r="E24" s="11"/>
      <c r="F24" s="36">
        <f>'Regional Server Stock'!F59/'Regional Server Stock'!F$65*('Global Storage Energy'!M$28+'Global Storage Energy'!M$34)</f>
        <v>3.8192735410822523</v>
      </c>
      <c r="G24" s="36">
        <f>'Regional Server Stock'!G59/'Regional Server Stock'!G$65*('Global Storage Energy'!N$28+'Global Storage Energy'!N$34)</f>
        <v>4.3805219102906712</v>
      </c>
      <c r="H24" s="36">
        <f>'Regional Server Stock'!H59/'Regional Server Stock'!H$65*('Global Storage Energy'!O$28+'Global Storage Energy'!O$34)</f>
        <v>4.954772824336839</v>
      </c>
      <c r="I24" s="36">
        <f>'Regional Server Stock'!I59/'Regional Server Stock'!I$65*('Global Storage Energy'!P$28+'Global Storage Energy'!P$34)</f>
        <v>5.0133936688982264</v>
      </c>
      <c r="J24" s="36">
        <f>'Regional Server Stock'!J59/'Regional Server Stock'!J$65*('Global Storage Energy'!Q$28+'Global Storage Energy'!Q$34)</f>
        <v>5.0701833786907189</v>
      </c>
    </row>
    <row r="25" spans="2:10" x14ac:dyDescent="0.55000000000000004">
      <c r="B25" s="20" t="s">
        <v>26</v>
      </c>
      <c r="C25" s="36">
        <f>'Regional Server Stock'!C60/'Regional Server Stock'!C$65*('Global Storage Energy'!C$28+'Global Storage Energy'!C$34)</f>
        <v>1.0910913595042638E-3</v>
      </c>
      <c r="D25" s="36">
        <f>'Regional Server Stock'!D60/'Regional Server Stock'!D$65*('Global Storage Energy'!K$28+'Global Storage Energy'!K$34)</f>
        <v>5.7394021630782083E-2</v>
      </c>
      <c r="E25" s="11"/>
      <c r="F25" s="36">
        <f>'Regional Server Stock'!F60/'Regional Server Stock'!F$65*('Global Storage Energy'!M$28+'Global Storage Energy'!M$34)</f>
        <v>7.7680139818622082E-2</v>
      </c>
      <c r="G25" s="36">
        <f>'Regional Server Stock'!G60/'Regional Server Stock'!G$65*('Global Storage Energy'!N$28+'Global Storage Energy'!N$34)</f>
        <v>0.10127013018413918</v>
      </c>
      <c r="H25" s="36">
        <f>'Regional Server Stock'!H60/'Regional Server Stock'!H$65*('Global Storage Energy'!O$28+'Global Storage Energy'!O$34)</f>
        <v>0.12704545703427791</v>
      </c>
      <c r="I25" s="36">
        <f>'Regional Server Stock'!I60/'Regional Server Stock'!I$65*('Global Storage Energy'!P$28+'Global Storage Energy'!P$34)</f>
        <v>0.12854855561277503</v>
      </c>
      <c r="J25" s="36">
        <f>'Regional Server Stock'!J60/'Regional Server Stock'!J$65*('Global Storage Energy'!Q$28+'Global Storage Energy'!Q$34)</f>
        <v>0.13000470201771075</v>
      </c>
    </row>
    <row r="26" spans="2:10" x14ac:dyDescent="0.55000000000000004">
      <c r="B26" s="20" t="s">
        <v>27</v>
      </c>
      <c r="C26" s="36">
        <f>'Regional Server Stock'!C61/'Regional Server Stock'!C$65*('Global Storage Energy'!C$28+'Global Storage Energy'!C$34)</f>
        <v>0</v>
      </c>
      <c r="D26" s="36">
        <f>'Regional Server Stock'!D61/'Regional Server Stock'!D$65*('Global Storage Energy'!K$28+'Global Storage Energy'!K$34)</f>
        <v>0.35030144236718713</v>
      </c>
      <c r="E26" s="11"/>
      <c r="F26" s="36">
        <f>'Regional Server Stock'!F61/'Regional Server Stock'!F$65*('Global Storage Energy'!M$28+'Global Storage Energy'!M$34)</f>
        <v>0.39487404407799553</v>
      </c>
      <c r="G26" s="36">
        <f>'Regional Server Stock'!G61/'Regional Server Stock'!G$65*('Global Storage Energy'!N$28+'Global Storage Energy'!N$34)</f>
        <v>0.44511754894889077</v>
      </c>
      <c r="H26" s="36">
        <f>'Regional Server Stock'!H61/'Regional Server Stock'!H$65*('Global Storage Energy'!O$28+'Global Storage Energy'!O$34)</f>
        <v>0.49547728243368394</v>
      </c>
      <c r="I26" s="36">
        <f>'Regional Server Stock'!I61/'Regional Server Stock'!I$65*('Global Storage Energy'!P$28+'Global Storage Energy'!P$34)</f>
        <v>0.50133936688982261</v>
      </c>
      <c r="J26" s="36">
        <f>'Regional Server Stock'!J61/'Regional Server Stock'!J$65*('Global Storage Energy'!Q$28+'Global Storage Energy'!Q$34)</f>
        <v>0.50701833786907191</v>
      </c>
    </row>
    <row r="27" spans="2:10" x14ac:dyDescent="0.55000000000000004">
      <c r="B27" s="20" t="s">
        <v>28</v>
      </c>
      <c r="C27" s="36">
        <f>'Regional Server Stock'!C62/'Regional Server Stock'!C$65*('Global Storage Energy'!C$28+'Global Storage Energy'!C$34)</f>
        <v>0</v>
      </c>
      <c r="D27" s="36">
        <f>'Regional Server Stock'!D62/'Regional Server Stock'!D$65*('Global Storage Energy'!K$28+'Global Storage Energy'!K$34)</f>
        <v>8.1143271960760877E-2</v>
      </c>
      <c r="E27" s="11"/>
      <c r="F27" s="36">
        <f>'Regional Server Stock'!F62/'Regional Server Stock'!F$65*('Global Storage Energy'!M$28+'Global Storage Energy'!M$34)</f>
        <v>0.1165202097279331</v>
      </c>
      <c r="G27" s="36">
        <f>'Regional Server Stock'!G62/'Regional Server Stock'!G$65*('Global Storage Energy'!N$28+'Global Storage Energy'!N$34)</f>
        <v>0.15779299354272847</v>
      </c>
      <c r="H27" s="36">
        <f>'Regional Server Stock'!H62/'Regional Server Stock'!H$65*('Global Storage Energy'!O$28+'Global Storage Energy'!O$34)</f>
        <v>0.20327273125484471</v>
      </c>
      <c r="I27" s="36">
        <f>'Regional Server Stock'!I62/'Regional Server Stock'!I$65*('Global Storage Energy'!P$28+'Global Storage Energy'!P$34)</f>
        <v>0.20567768898044006</v>
      </c>
      <c r="J27" s="36">
        <f>'Regional Server Stock'!J62/'Regional Server Stock'!J$65*('Global Storage Energy'!Q$28+'Global Storage Energy'!Q$34)</f>
        <v>0.20800752322833721</v>
      </c>
    </row>
    <row r="28" spans="2:10" x14ac:dyDescent="0.55000000000000004">
      <c r="B28" s="20" t="s">
        <v>29</v>
      </c>
      <c r="C28" s="36">
        <f>'Regional Server Stock'!C63/'Regional Server Stock'!C$65*('Global Storage Energy'!C$28+'Global Storage Energy'!C$34)</f>
        <v>0.66556572929760083</v>
      </c>
      <c r="D28" s="36">
        <f>'Regional Server Stock'!D63/'Regional Server Stock'!D$65*('Global Storage Energy'!K$28+'Global Storage Energy'!K$34)</f>
        <v>4.2610113300370278</v>
      </c>
      <c r="E28" s="11"/>
      <c r="F28" s="36">
        <f>'Regional Server Stock'!F63/'Regional Server Stock'!F$65*('Global Storage Energy'!M$28+'Global Storage Energy'!M$34)</f>
        <v>4.3738234281207475</v>
      </c>
      <c r="G28" s="36">
        <f>'Regional Server Stock'!G63/'Regional Server Stock'!G$65*('Global Storage Energy'!N$28+'Global Storage Energy'!N$34)</f>
        <v>4.4770818018615923</v>
      </c>
      <c r="H28" s="36">
        <f>'Regional Server Stock'!H63/'Regional Server Stock'!H$65*('Global Storage Energy'!O$28+'Global Storage Energy'!O$34)</f>
        <v>4.5101137247168666</v>
      </c>
      <c r="I28" s="36">
        <f>'Regional Server Stock'!I63/'Regional Server Stock'!I$65*('Global Storage Energy'!P$28+'Global Storage Energy'!P$34)</f>
        <v>4.5634737242535133</v>
      </c>
      <c r="J28" s="36">
        <f>'Regional Server Stock'!J63/'Regional Server Stock'!J$65*('Global Storage Energy'!Q$28+'Global Storage Energy'!Q$34)</f>
        <v>4.615166921628731</v>
      </c>
    </row>
    <row r="29" spans="2:10" x14ac:dyDescent="0.55000000000000004">
      <c r="B29" s="20" t="s">
        <v>30</v>
      </c>
      <c r="C29" s="36">
        <f>'Regional Server Stock'!C64/'Regional Server Stock'!C$65*('Global Storage Energy'!C$28+'Global Storage Energy'!C$34)</f>
        <v>0.17348352616117796</v>
      </c>
      <c r="D29" s="36">
        <f>'Regional Server Stock'!D64/'Regional Server Stock'!D$65*('Global Storage Energy'!K$28+'Global Storage Energy'!K$34)</f>
        <v>1.8207758586317071</v>
      </c>
      <c r="E29" s="11"/>
      <c r="F29" s="36">
        <f>'Regional Server Stock'!F64/'Regional Server Stock'!F$65*('Global Storage Energy'!M$28+'Global Storage Energy'!M$34)</f>
        <v>2.0067369453144033</v>
      </c>
      <c r="G29" s="36">
        <f>'Regional Server Stock'!G64/'Regional Server Stock'!G$65*('Global Storage Energy'!N$28+'Global Storage Energy'!N$34)</f>
        <v>2.2138121482114141</v>
      </c>
      <c r="H29" s="36">
        <f>'Regional Server Stock'!H64/'Regional Server Stock'!H$65*('Global Storage Energy'!O$28+'Global Storage Energy'!O$34)</f>
        <v>2.413863683651281</v>
      </c>
      <c r="I29" s="36">
        <f>'Regional Server Stock'!I64/'Regional Server Stock'!I$65*('Global Storage Energy'!P$28+'Global Storage Energy'!P$34)</f>
        <v>2.4424225566427258</v>
      </c>
      <c r="J29" s="36">
        <f>'Regional Server Stock'!J64/'Regional Server Stock'!J$65*('Global Storage Energy'!Q$28+'Global Storage Energy'!Q$34)</f>
        <v>2.4700893383365043</v>
      </c>
    </row>
    <row r="30" spans="2:10" x14ac:dyDescent="0.55000000000000004">
      <c r="B30" s="7" t="s">
        <v>31</v>
      </c>
      <c r="C30" s="39">
        <f t="shared" ref="C30" si="5">SUM(C24:C29)</f>
        <v>1.0910913595042637</v>
      </c>
      <c r="D30" s="39">
        <f t="shared" ref="D30:H30" si="6">SUM(D24:D29)</f>
        <v>9.8955209708244958</v>
      </c>
      <c r="E30" s="11"/>
      <c r="F30" s="39">
        <f t="shared" si="6"/>
        <v>10.788908308141954</v>
      </c>
      <c r="G30" s="39">
        <f t="shared" si="6"/>
        <v>11.775596533039437</v>
      </c>
      <c r="H30" s="39">
        <f t="shared" si="6"/>
        <v>12.704545703427792</v>
      </c>
      <c r="I30" s="39">
        <f t="shared" ref="I30:J30" si="7">SUM(I24:I29)</f>
        <v>12.854855561277503</v>
      </c>
      <c r="J30" s="39">
        <f t="shared" si="7"/>
        <v>13.000470201771073</v>
      </c>
    </row>
    <row r="31" spans="2:10" x14ac:dyDescent="0.55000000000000004">
      <c r="C31" s="2"/>
      <c r="D31" s="2"/>
      <c r="F31" s="2"/>
      <c r="G31" s="2"/>
      <c r="H31" s="2"/>
    </row>
    <row r="32" spans="2:10" x14ac:dyDescent="0.55000000000000004">
      <c r="C32" s="2"/>
      <c r="D32" s="2"/>
      <c r="F32" s="2"/>
      <c r="G3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6"/>
  <sheetViews>
    <sheetView zoomScaleNormal="100" workbookViewId="0"/>
  </sheetViews>
  <sheetFormatPr defaultRowHeight="14.4" x14ac:dyDescent="0.55000000000000004"/>
  <cols>
    <col min="1" max="1" width="2.68359375" style="11" customWidth="1"/>
    <col min="2" max="2" width="53" style="11" customWidth="1"/>
    <col min="3" max="24" width="7.26171875" style="11" customWidth="1"/>
    <col min="25" max="16384" width="8.83984375" style="11"/>
  </cols>
  <sheetData>
    <row r="2" spans="2:18" x14ac:dyDescent="0.55000000000000004">
      <c r="B2" s="79" t="s">
        <v>152</v>
      </c>
    </row>
    <row r="3" spans="2:18" x14ac:dyDescent="0.55000000000000004">
      <c r="C3" s="15" t="s">
        <v>111</v>
      </c>
      <c r="D3" s="80"/>
      <c r="E3" s="80"/>
      <c r="F3" s="80"/>
      <c r="G3" s="80"/>
      <c r="H3" s="80"/>
      <c r="I3" s="80"/>
      <c r="J3" s="80"/>
      <c r="K3" s="80"/>
      <c r="M3" s="15" t="s">
        <v>234</v>
      </c>
      <c r="N3" s="80"/>
      <c r="O3" s="80"/>
      <c r="P3" s="80"/>
      <c r="Q3" s="80"/>
    </row>
    <row r="4" spans="2:18" x14ac:dyDescent="0.55000000000000004">
      <c r="B4" s="34" t="s">
        <v>153</v>
      </c>
      <c r="C4" s="34">
        <v>2010</v>
      </c>
      <c r="D4" s="34">
        <v>2011</v>
      </c>
      <c r="E4" s="34">
        <v>2012</v>
      </c>
      <c r="F4" s="34">
        <v>2013</v>
      </c>
      <c r="G4" s="34">
        <v>2014</v>
      </c>
      <c r="H4" s="15">
        <v>2015</v>
      </c>
      <c r="I4" s="15">
        <v>2016</v>
      </c>
      <c r="J4" s="15">
        <v>2017</v>
      </c>
      <c r="K4" s="15">
        <v>2018</v>
      </c>
      <c r="M4" s="15">
        <v>2019</v>
      </c>
      <c r="N4" s="15">
        <v>2020</v>
      </c>
      <c r="O4" s="15">
        <v>2021</v>
      </c>
      <c r="P4" s="15">
        <v>2022</v>
      </c>
      <c r="Q4" s="15">
        <v>2023</v>
      </c>
      <c r="R4" s="79" t="s">
        <v>96</v>
      </c>
    </row>
    <row r="5" spans="2:18" x14ac:dyDescent="0.55000000000000004">
      <c r="B5" s="11" t="s">
        <v>154</v>
      </c>
      <c r="C5" s="11">
        <v>3.06</v>
      </c>
      <c r="D5" s="11">
        <v>3.29</v>
      </c>
      <c r="E5" s="11">
        <v>3.61</v>
      </c>
      <c r="F5" s="11">
        <v>4.01</v>
      </c>
      <c r="G5" s="11">
        <v>4.3600000000000003</v>
      </c>
      <c r="H5" s="11">
        <v>4.4800000000000004</v>
      </c>
      <c r="I5" s="11">
        <v>4.53</v>
      </c>
      <c r="J5" s="11">
        <v>4.57</v>
      </c>
      <c r="K5" s="95">
        <v>4.5999999999999996</v>
      </c>
      <c r="M5" s="11">
        <v>4.67</v>
      </c>
      <c r="N5" s="11">
        <v>4.78</v>
      </c>
      <c r="O5" s="95">
        <f>N5*(1+$R$5)</f>
        <v>4.8423689163628412</v>
      </c>
      <c r="P5" s="95">
        <f>O5*(1+$R$5)</f>
        <v>4.9055516155140237</v>
      </c>
      <c r="Q5" s="95">
        <f>P5*(1+$R$5)</f>
        <v>4.969558715602223</v>
      </c>
      <c r="R5" s="58">
        <f>(N5/H5)^(1/5)-1</f>
        <v>1.3047890452477118E-2</v>
      </c>
    </row>
    <row r="6" spans="2:18" x14ac:dyDescent="0.55000000000000004">
      <c r="B6" s="80" t="s">
        <v>155</v>
      </c>
      <c r="C6" s="29">
        <f>C5*'Global Server Stock'!C19*1000/10^6</f>
        <v>109.67914285714284</v>
      </c>
      <c r="D6" s="29">
        <f>D5*'Global Server Stock'!D19*1000/10^6</f>
        <v>123.67297766749383</v>
      </c>
      <c r="E6" s="29">
        <f>E5*'Global Server Stock'!E19*1000/10^6</f>
        <v>135.75772913816689</v>
      </c>
      <c r="F6" s="29">
        <f>F5*'Global Server Stock'!F19*1000/10^6</f>
        <v>159.95956871765387</v>
      </c>
      <c r="G6" s="29">
        <f>G5*'Global Server Stock'!G19*1000/10^6</f>
        <v>171.96780392156859</v>
      </c>
      <c r="H6" s="29">
        <f>H5*'Global Server Stock'!H19*1000/10^6</f>
        <v>174.89574097135741</v>
      </c>
      <c r="I6" s="29">
        <f>I5*'Global Server Stock'!I19*1000/10^6</f>
        <v>182.1094318181818</v>
      </c>
      <c r="J6" s="29">
        <f>J5*'Global Server Stock'!J19*1000/10^6</f>
        <v>194.47726039225364</v>
      </c>
      <c r="K6" s="29">
        <f>K5*'Global Server Stock'!K19*1000/10^6</f>
        <v>207.59101146601145</v>
      </c>
      <c r="M6" s="29">
        <f>M5*'Global Server Stock'!M19*1000/10^6</f>
        <v>216.90875960459297</v>
      </c>
      <c r="N6" s="29">
        <f>N5*'Global Server Stock'!N19*1000/10^6</f>
        <v>227.32159090909096</v>
      </c>
      <c r="O6" s="29">
        <f>O5*'Global Server Stock'!O19*1000/10^6</f>
        <v>237.710499950496</v>
      </c>
      <c r="P6" s="29">
        <f>P5*'Global Server Stock'!P19*1000/10^6</f>
        <v>259.57145751395029</v>
      </c>
      <c r="Q6" s="29">
        <f>Q5*'Global Server Stock'!Q19*1000/10^6</f>
        <v>285.73790798086821</v>
      </c>
    </row>
    <row r="7" spans="2:18" x14ac:dyDescent="0.55000000000000004">
      <c r="B7" s="30" t="s">
        <v>0</v>
      </c>
      <c r="C7" s="31">
        <v>9</v>
      </c>
      <c r="D7" s="32">
        <v>9</v>
      </c>
      <c r="E7" s="32">
        <v>9</v>
      </c>
      <c r="F7" s="31">
        <v>9</v>
      </c>
      <c r="G7" s="32">
        <v>9</v>
      </c>
      <c r="H7" s="32">
        <v>9</v>
      </c>
      <c r="I7" s="31">
        <v>9</v>
      </c>
      <c r="J7" s="32">
        <v>9</v>
      </c>
      <c r="K7" s="32">
        <v>9</v>
      </c>
      <c r="M7" s="31">
        <v>9</v>
      </c>
      <c r="N7" s="32">
        <v>9</v>
      </c>
    </row>
    <row r="8" spans="2:18" x14ac:dyDescent="0.55000000000000004">
      <c r="B8" s="30" t="s">
        <v>62</v>
      </c>
      <c r="C8" s="32" t="s">
        <v>287</v>
      </c>
    </row>
    <row r="9" spans="2:18" x14ac:dyDescent="0.55000000000000004">
      <c r="B9" s="30"/>
      <c r="C9" s="32" t="s">
        <v>227</v>
      </c>
    </row>
    <row r="11" spans="2:18" x14ac:dyDescent="0.55000000000000004">
      <c r="B11" s="15" t="s">
        <v>156</v>
      </c>
      <c r="C11" s="34">
        <v>2010</v>
      </c>
      <c r="D11" s="34">
        <v>2011</v>
      </c>
      <c r="E11" s="34">
        <v>2012</v>
      </c>
      <c r="F11" s="34">
        <v>2013</v>
      </c>
      <c r="G11" s="34">
        <v>2014</v>
      </c>
      <c r="H11" s="15">
        <v>2015</v>
      </c>
      <c r="I11" s="15">
        <v>2016</v>
      </c>
      <c r="J11" s="15">
        <v>2017</v>
      </c>
      <c r="K11" s="15">
        <v>2018</v>
      </c>
      <c r="M11" s="15">
        <v>2019</v>
      </c>
      <c r="N11" s="15">
        <v>2020</v>
      </c>
      <c r="O11" s="15">
        <v>2021</v>
      </c>
      <c r="P11" s="15">
        <v>2022</v>
      </c>
      <c r="Q11" s="15">
        <v>2023</v>
      </c>
    </row>
    <row r="12" spans="2:18" x14ac:dyDescent="0.55000000000000004">
      <c r="B12" s="85" t="s">
        <v>38</v>
      </c>
      <c r="C12" s="28">
        <f>'Global Server Stock'!C33/'Global Server Stock'!C$36*C$15</f>
        <v>99.012857142857115</v>
      </c>
      <c r="D12" s="28">
        <f>'Global Server Stock'!D33/'Global Server Stock'!D$36*D$15</f>
        <v>105.70451612903227</v>
      </c>
      <c r="E12" s="28">
        <f>'Global Server Stock'!E33/'Global Server Stock'!E$36*E$15</f>
        <v>108.72470588235295</v>
      </c>
      <c r="F12" s="28">
        <f>'Global Server Stock'!F33/'Global Server Stock'!F$36*F$15</f>
        <v>111.41297297297302</v>
      </c>
      <c r="G12" s="28">
        <f>'Global Server Stock'!G33/'Global Server Stock'!G$36*G$15</f>
        <v>100.49799999999998</v>
      </c>
      <c r="H12" s="28">
        <f>'Global Server Stock'!H33/'Global Server Stock'!H$36*H$15</f>
        <v>91.432727272727277</v>
      </c>
      <c r="I12" s="28">
        <f>'Global Server Stock'!I33/'Global Server Stock'!I$36*I$15</f>
        <v>79.46374999999999</v>
      </c>
      <c r="J12" s="28">
        <f>'Global Server Stock'!J33/'Global Server Stock'!J$36*J$15</f>
        <v>70.596268656716433</v>
      </c>
      <c r="K12" s="28">
        <f>'Global Server Stock'!K33/'Global Server Stock'!K$36*K$15</f>
        <v>63.405405405405403</v>
      </c>
      <c r="M12" s="28">
        <f>'Global Server Stock'!M33/'Global Server Stock'!M$36*M$15</f>
        <v>56.357098765432106</v>
      </c>
      <c r="N12" s="28">
        <f>'Global Server Stock'!N33/'Global Server Stock'!N$36*N$15</f>
        <v>49.157954545454558</v>
      </c>
      <c r="O12" s="28">
        <f>'Global Server Stock'!O33/'Global Server Stock'!O$36*O$15</f>
        <v>41.924720354825659</v>
      </c>
      <c r="P12" s="28">
        <f>'Global Server Stock'!P33/'Global Server Stock'!P$36*P$15</f>
        <v>36.87809174634117</v>
      </c>
      <c r="Q12" s="28">
        <f>'Global Server Stock'!Q33/'Global Server Stock'!Q$36*Q$15</f>
        <v>32.438943881828834</v>
      </c>
    </row>
    <row r="13" spans="2:18" x14ac:dyDescent="0.55000000000000004">
      <c r="B13" s="43" t="s">
        <v>39</v>
      </c>
      <c r="C13" s="28">
        <f>'Global Server Stock'!C34/'Global Server Stock'!C$36*C$15</f>
        <v>2.253895457142856</v>
      </c>
      <c r="D13" s="28">
        <f>'Global Server Stock'!D34/'Global Server Stock'!D$36*D$15</f>
        <v>6.4545073176178649</v>
      </c>
      <c r="E13" s="28">
        <f>'Global Server Stock'!E34/'Global Server Stock'!E$36*E$15</f>
        <v>11.461611723666211</v>
      </c>
      <c r="F13" s="28">
        <f>'Global Server Stock'!F34/'Global Server Stock'!F$36*F$15</f>
        <v>27.511912458309375</v>
      </c>
      <c r="G13" s="28">
        <f>'Global Server Stock'!G34/'Global Server Stock'!G$36*G$15</f>
        <v>41.598996380392165</v>
      </c>
      <c r="H13" s="28">
        <f>'Global Server Stock'!H34/'Global Server Stock'!H$36*H$15</f>
        <v>46.734908094645093</v>
      </c>
      <c r="I13" s="28">
        <f>'Global Server Stock'!I34/'Global Server Stock'!I$36*I$15</f>
        <v>53.476135227272721</v>
      </c>
      <c r="J13" s="28">
        <f>'Global Server Stock'!J34/'Global Server Stock'!J$36*J$15</f>
        <v>61.648268410016044</v>
      </c>
      <c r="K13" s="28">
        <f>'Global Server Stock'!K34/'Global Server Stock'!K$36*K$15</f>
        <v>65.301021703521698</v>
      </c>
      <c r="M13" s="28">
        <f>'Global Server Stock'!M34/'Global Server Stock'!M$36*M$15</f>
        <v>65.111806613139976</v>
      </c>
      <c r="N13" s="28">
        <f>'Global Server Stock'!N34/'Global Server Stock'!N$36*N$15</f>
        <v>69.049272727272736</v>
      </c>
      <c r="O13" s="28">
        <f>'Global Server Stock'!O34/'Global Server Stock'!O$36*O$15</f>
        <v>69.799214621907467</v>
      </c>
      <c r="P13" s="28">
        <f>'Global Server Stock'!P34/'Global Server Stock'!P$36*P$15</f>
        <v>80.44239994405045</v>
      </c>
      <c r="Q13" s="28">
        <f>'Global Server Stock'!Q34/'Global Server Stock'!Q$36*Q$15</f>
        <v>92.62135339761781</v>
      </c>
    </row>
    <row r="14" spans="2:18" x14ac:dyDescent="0.55000000000000004">
      <c r="B14" s="80" t="s">
        <v>40</v>
      </c>
      <c r="C14" s="29">
        <f>'Global Server Stock'!C35/'Global Server Stock'!C$36*C$15</f>
        <v>8.4123902571428548</v>
      </c>
      <c r="D14" s="29">
        <f>'Global Server Stock'!D35/'Global Server Stock'!D$36*D$15</f>
        <v>11.513954220843676</v>
      </c>
      <c r="E14" s="29">
        <f>'Global Server Stock'!E35/'Global Server Stock'!E$36*E$15</f>
        <v>15.571411532147742</v>
      </c>
      <c r="F14" s="29">
        <f>'Global Server Stock'!F35/'Global Server Stock'!F$36*F$15</f>
        <v>21.034683286371489</v>
      </c>
      <c r="G14" s="29">
        <f>'Global Server Stock'!G35/'Global Server Stock'!G$36*G$15</f>
        <v>29.870807541176461</v>
      </c>
      <c r="H14" s="29">
        <f>'Global Server Stock'!H35/'Global Server Stock'!H$36*H$15</f>
        <v>36.728105603985057</v>
      </c>
      <c r="I14" s="29">
        <f>'Global Server Stock'!I35/'Global Server Stock'!I$36*I$15</f>
        <v>49.169546590909093</v>
      </c>
      <c r="J14" s="29">
        <f>'Global Server Stock'!J35/'Global Server Stock'!J$36*J$15</f>
        <v>62.232723325521164</v>
      </c>
      <c r="K14" s="29">
        <f>'Global Server Stock'!K35/'Global Server Stock'!K$36*K$15</f>
        <v>78.88458435708435</v>
      </c>
      <c r="M14" s="29">
        <f>'Global Server Stock'!M35/'Global Server Stock'!M$36*M$15</f>
        <v>95.439854226020913</v>
      </c>
      <c r="N14" s="29">
        <f>'Global Server Stock'!N35/'Global Server Stock'!N$36*N$15</f>
        <v>109.11436363636365</v>
      </c>
      <c r="O14" s="29">
        <f>'Global Server Stock'!O35/'Global Server Stock'!O$36*O$15</f>
        <v>125.98656497376291</v>
      </c>
      <c r="P14" s="29">
        <f>'Global Server Stock'!P35/'Global Server Stock'!P$36*P$15</f>
        <v>142.25096582355869</v>
      </c>
      <c r="Q14" s="29">
        <f>'Global Server Stock'!Q35/'Global Server Stock'!Q$36*Q$15</f>
        <v>160.67761070142154</v>
      </c>
    </row>
    <row r="15" spans="2:18" x14ac:dyDescent="0.55000000000000004">
      <c r="B15" s="104" t="s">
        <v>31</v>
      </c>
      <c r="C15" s="35">
        <f>C6</f>
        <v>109.67914285714284</v>
      </c>
      <c r="D15" s="35">
        <f t="shared" ref="D15:Q15" si="0">D6</f>
        <v>123.67297766749383</v>
      </c>
      <c r="E15" s="35">
        <f t="shared" si="0"/>
        <v>135.75772913816689</v>
      </c>
      <c r="F15" s="35">
        <f t="shared" si="0"/>
        <v>159.95956871765387</v>
      </c>
      <c r="G15" s="35">
        <f t="shared" si="0"/>
        <v>171.96780392156859</v>
      </c>
      <c r="H15" s="35">
        <f t="shared" si="0"/>
        <v>174.89574097135741</v>
      </c>
      <c r="I15" s="35">
        <f t="shared" si="0"/>
        <v>182.1094318181818</v>
      </c>
      <c r="J15" s="35">
        <f t="shared" si="0"/>
        <v>194.47726039225364</v>
      </c>
      <c r="K15" s="35">
        <f t="shared" si="0"/>
        <v>207.59101146601145</v>
      </c>
      <c r="M15" s="35">
        <f t="shared" si="0"/>
        <v>216.90875960459297</v>
      </c>
      <c r="N15" s="35">
        <f t="shared" si="0"/>
        <v>227.32159090909096</v>
      </c>
      <c r="O15" s="35">
        <f t="shared" si="0"/>
        <v>237.710499950496</v>
      </c>
      <c r="P15" s="35">
        <f t="shared" si="0"/>
        <v>259.57145751395029</v>
      </c>
      <c r="Q15" s="35">
        <f t="shared" si="0"/>
        <v>285.73790798086821</v>
      </c>
    </row>
    <row r="16" spans="2:18" x14ac:dyDescent="0.55000000000000004">
      <c r="B16" s="30" t="s">
        <v>20</v>
      </c>
      <c r="C16" s="32" t="s">
        <v>228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workbookViewId="0"/>
  </sheetViews>
  <sheetFormatPr defaultRowHeight="14.4" x14ac:dyDescent="0.55000000000000004"/>
  <cols>
    <col min="1" max="1" width="2.68359375" style="11" customWidth="1"/>
    <col min="2" max="2" width="50" style="11" customWidth="1"/>
    <col min="3" max="17" width="7.26171875" style="11" customWidth="1"/>
    <col min="18" max="16384" width="8.83984375" style="11"/>
  </cols>
  <sheetData>
    <row r="1" spans="1:17" x14ac:dyDescent="0.55000000000000004">
      <c r="A1" s="79"/>
    </row>
    <row r="2" spans="1:17" x14ac:dyDescent="0.55000000000000004">
      <c r="B2" s="79" t="s">
        <v>157</v>
      </c>
      <c r="C2" s="95"/>
      <c r="D2" s="95"/>
      <c r="E2" s="95"/>
      <c r="F2" s="95"/>
      <c r="G2" s="95"/>
      <c r="H2" s="95"/>
      <c r="I2" s="95"/>
      <c r="J2" s="95"/>
      <c r="K2" s="95"/>
      <c r="M2" s="95"/>
      <c r="N2" s="95"/>
    </row>
    <row r="3" spans="1:17" x14ac:dyDescent="0.55000000000000004">
      <c r="C3" s="15" t="s">
        <v>111</v>
      </c>
      <c r="D3" s="80"/>
      <c r="E3" s="80"/>
      <c r="F3" s="80"/>
      <c r="G3" s="80"/>
      <c r="H3" s="80"/>
      <c r="I3" s="80"/>
      <c r="J3" s="80"/>
      <c r="K3" s="80"/>
      <c r="M3" s="15" t="s">
        <v>234</v>
      </c>
      <c r="N3" s="80"/>
      <c r="O3" s="80"/>
      <c r="P3" s="80"/>
      <c r="Q3" s="80"/>
    </row>
    <row r="4" spans="1:17" x14ac:dyDescent="0.55000000000000004">
      <c r="B4" s="34" t="s">
        <v>158</v>
      </c>
      <c r="C4" s="34">
        <v>2010</v>
      </c>
      <c r="D4" s="34">
        <v>2011</v>
      </c>
      <c r="E4" s="34">
        <v>2012</v>
      </c>
      <c r="F4" s="34">
        <v>2013</v>
      </c>
      <c r="G4" s="34">
        <v>2014</v>
      </c>
      <c r="H4" s="15">
        <v>2015</v>
      </c>
      <c r="I4" s="15">
        <v>2016</v>
      </c>
      <c r="J4" s="15">
        <v>2017</v>
      </c>
      <c r="K4" s="15">
        <v>2018</v>
      </c>
      <c r="M4" s="15">
        <v>2019</v>
      </c>
      <c r="N4" s="15">
        <v>2020</v>
      </c>
      <c r="O4" s="15">
        <v>2021</v>
      </c>
      <c r="P4" s="15">
        <v>2022</v>
      </c>
      <c r="Q4" s="15">
        <v>2023</v>
      </c>
    </row>
    <row r="5" spans="1:17" x14ac:dyDescent="0.55000000000000004">
      <c r="B5" s="85" t="s">
        <v>38</v>
      </c>
      <c r="C5" s="45">
        <v>2.38</v>
      </c>
      <c r="D5" s="45">
        <v>2.2999999999999998</v>
      </c>
      <c r="E5" s="45">
        <v>2.2000000000000002</v>
      </c>
      <c r="F5" s="45">
        <v>2.06</v>
      </c>
      <c r="G5" s="45">
        <v>1.93</v>
      </c>
      <c r="H5" s="45">
        <v>1.83</v>
      </c>
      <c r="I5" s="45">
        <v>1.71</v>
      </c>
      <c r="J5" s="45">
        <v>1.61</v>
      </c>
      <c r="K5" s="45">
        <v>1.51</v>
      </c>
      <c r="M5" s="45">
        <v>1.4</v>
      </c>
      <c r="N5" s="45">
        <v>1.26</v>
      </c>
      <c r="O5" s="45">
        <f>N5</f>
        <v>1.26</v>
      </c>
      <c r="P5" s="45">
        <f t="shared" ref="P5:Q5" si="0">O5</f>
        <v>1.26</v>
      </c>
      <c r="Q5" s="45">
        <f t="shared" si="0"/>
        <v>1.26</v>
      </c>
    </row>
    <row r="6" spans="1:17" x14ac:dyDescent="0.55000000000000004">
      <c r="B6" s="43" t="s">
        <v>39</v>
      </c>
      <c r="C6" s="45">
        <v>2.63</v>
      </c>
      <c r="D6" s="45">
        <v>3.01</v>
      </c>
      <c r="E6" s="45">
        <v>3.46</v>
      </c>
      <c r="F6" s="45">
        <v>2.97</v>
      </c>
      <c r="G6" s="45">
        <v>2.96</v>
      </c>
      <c r="H6" s="45">
        <v>2.84</v>
      </c>
      <c r="I6" s="45">
        <v>2.58</v>
      </c>
      <c r="J6" s="45">
        <v>2.33</v>
      </c>
      <c r="K6" s="45">
        <v>2.0699999999999998</v>
      </c>
      <c r="M6" s="45">
        <v>1.82</v>
      </c>
      <c r="N6" s="45">
        <v>1.57</v>
      </c>
      <c r="O6" s="45">
        <f>N6</f>
        <v>1.57</v>
      </c>
      <c r="P6" s="45">
        <f t="shared" ref="P6:Q6" si="1">O6</f>
        <v>1.57</v>
      </c>
      <c r="Q6" s="45">
        <f t="shared" si="1"/>
        <v>1.57</v>
      </c>
    </row>
    <row r="7" spans="1:17" x14ac:dyDescent="0.55000000000000004">
      <c r="B7" s="80" t="s">
        <v>40</v>
      </c>
      <c r="C7" s="46">
        <v>3.74</v>
      </c>
      <c r="D7" s="46">
        <v>3.86</v>
      </c>
      <c r="E7" s="46">
        <v>3.64</v>
      </c>
      <c r="F7" s="46">
        <v>3.46</v>
      </c>
      <c r="G7" s="46">
        <v>3.36</v>
      </c>
      <c r="H7" s="46">
        <v>3.3</v>
      </c>
      <c r="I7" s="46">
        <v>3.19</v>
      </c>
      <c r="J7" s="46">
        <v>3.06</v>
      </c>
      <c r="K7" s="46">
        <v>2.85</v>
      </c>
      <c r="M7" s="46">
        <v>2.58</v>
      </c>
      <c r="N7" s="46">
        <v>2.2799999999999998</v>
      </c>
      <c r="O7" s="46">
        <f>N7</f>
        <v>2.2799999999999998</v>
      </c>
      <c r="P7" s="46">
        <f t="shared" ref="P7:Q7" si="2">O7</f>
        <v>2.2799999999999998</v>
      </c>
      <c r="Q7" s="46">
        <f t="shared" si="2"/>
        <v>2.2799999999999998</v>
      </c>
    </row>
    <row r="8" spans="1:17" x14ac:dyDescent="0.55000000000000004">
      <c r="B8" s="30" t="s">
        <v>0</v>
      </c>
      <c r="C8" s="31">
        <v>9</v>
      </c>
      <c r="D8" s="32">
        <v>9</v>
      </c>
      <c r="E8" s="32">
        <v>9</v>
      </c>
      <c r="F8" s="31">
        <v>9</v>
      </c>
      <c r="G8" s="32">
        <v>9</v>
      </c>
      <c r="H8" s="32">
        <v>9</v>
      </c>
      <c r="I8" s="31">
        <v>9</v>
      </c>
      <c r="J8" s="32">
        <v>9</v>
      </c>
      <c r="K8" s="32">
        <v>9</v>
      </c>
      <c r="M8" s="31">
        <v>9</v>
      </c>
      <c r="N8" s="32">
        <v>9</v>
      </c>
      <c r="P8" s="31"/>
      <c r="Q8" s="32"/>
    </row>
    <row r="9" spans="1:17" x14ac:dyDescent="0.55000000000000004">
      <c r="B9" s="30" t="s">
        <v>20</v>
      </c>
      <c r="C9" s="31" t="s">
        <v>232</v>
      </c>
      <c r="D9" s="32"/>
      <c r="E9" s="32"/>
      <c r="F9" s="31"/>
      <c r="G9" s="32"/>
      <c r="H9" s="32"/>
      <c r="I9" s="31"/>
      <c r="J9" s="32"/>
      <c r="K9" s="32"/>
      <c r="M9" s="31"/>
      <c r="N9" s="32"/>
      <c r="P9" s="31"/>
      <c r="Q9" s="32"/>
    </row>
    <row r="10" spans="1:17" x14ac:dyDescent="0.55000000000000004">
      <c r="B10" s="30"/>
      <c r="C10" s="31" t="s">
        <v>159</v>
      </c>
      <c r="D10" s="32"/>
      <c r="E10" s="32"/>
      <c r="F10" s="31"/>
      <c r="G10" s="32"/>
      <c r="H10" s="32"/>
      <c r="I10" s="31"/>
      <c r="J10" s="32"/>
      <c r="K10" s="32"/>
      <c r="M10" s="31"/>
      <c r="N10" s="32"/>
      <c r="P10" s="31"/>
      <c r="Q10" s="32"/>
    </row>
    <row r="11" spans="1:17" s="43" customFormat="1" x14ac:dyDescent="0.55000000000000004">
      <c r="B11" s="38"/>
      <c r="C11" s="70"/>
      <c r="D11" s="70"/>
      <c r="E11" s="70"/>
      <c r="F11" s="70"/>
      <c r="G11" s="70"/>
      <c r="H11" s="70"/>
      <c r="I11" s="70"/>
      <c r="J11" s="70"/>
      <c r="K11" s="70"/>
      <c r="L11" s="11"/>
      <c r="M11" s="70"/>
      <c r="N11" s="70"/>
      <c r="O11" s="70"/>
      <c r="P11" s="70"/>
      <c r="Q11" s="70"/>
    </row>
    <row r="12" spans="1:17" x14ac:dyDescent="0.55000000000000004">
      <c r="B12" s="34" t="s">
        <v>160</v>
      </c>
      <c r="C12" s="34">
        <v>2010</v>
      </c>
      <c r="D12" s="34">
        <v>2011</v>
      </c>
      <c r="E12" s="34">
        <v>2012</v>
      </c>
      <c r="F12" s="34">
        <v>2013</v>
      </c>
      <c r="G12" s="34">
        <v>2014</v>
      </c>
      <c r="H12" s="15">
        <v>2015</v>
      </c>
      <c r="I12" s="15">
        <v>2016</v>
      </c>
      <c r="J12" s="15">
        <v>2017</v>
      </c>
      <c r="K12" s="15">
        <v>2018</v>
      </c>
      <c r="M12" s="15">
        <v>2019</v>
      </c>
      <c r="N12" s="15">
        <v>2020</v>
      </c>
      <c r="O12" s="15">
        <v>2021</v>
      </c>
      <c r="P12" s="15">
        <v>2022</v>
      </c>
      <c r="Q12" s="15">
        <v>2023</v>
      </c>
    </row>
    <row r="13" spans="1:17" x14ac:dyDescent="0.55000000000000004">
      <c r="B13" s="85" t="s">
        <v>38</v>
      </c>
      <c r="C13" s="36">
        <f>C5*'Global Network Stock'!C12*10^6*24*365/10^12</f>
        <v>2.0642992559999991</v>
      </c>
      <c r="D13" s="36">
        <f>D5*'Global Network Stock'!D12*10^6*24*365/10^12</f>
        <v>2.1297345909677423</v>
      </c>
      <c r="E13" s="36">
        <f>E5*'Global Network Stock'!E12*10^6*24*365/10^12</f>
        <v>2.0953425317647061</v>
      </c>
      <c r="F13" s="36">
        <f>F5*'Global Network Stock'!F12*10^6*24*365/10^12</f>
        <v>2.0105139450810823</v>
      </c>
      <c r="G13" s="36">
        <f>G5*'Global Network Stock'!G12*10^6*24*365/10^12</f>
        <v>1.6990995863999994</v>
      </c>
      <c r="H13" s="36">
        <f>H5*'Global Network Stock'!H12*10^6*24*365/10^12</f>
        <v>1.4657397643636365</v>
      </c>
      <c r="I13" s="36">
        <f>I5*'Global Network Stock'!I12*10^6*24*365/10^12</f>
        <v>1.1903351894999998</v>
      </c>
      <c r="J13" s="36">
        <f>J5*'Global Network Stock'!J12*10^6*24*365/10^12</f>
        <v>0.99566153462686602</v>
      </c>
      <c r="K13" s="36">
        <f>K5*'Global Network Stock'!K12*10^6*24*365/10^12</f>
        <v>0.83870134054054035</v>
      </c>
      <c r="M13" s="36">
        <f>M5*'Global Network Stock'!M12*10^6*24*365/10^12</f>
        <v>0.69116345925925926</v>
      </c>
      <c r="N13" s="36">
        <f>N5*'Global Network Stock'!N12*10^6*24*365/10^12</f>
        <v>0.54258583909090918</v>
      </c>
      <c r="O13" s="36">
        <f>O5*'Global Network Stock'!O12*10^6*24*365/10^12</f>
        <v>0.46274829338842366</v>
      </c>
      <c r="P13" s="36">
        <f>P5*'Global Network Stock'!P12*10^6*24*365/10^12</f>
        <v>0.40704562545941536</v>
      </c>
      <c r="Q13" s="36">
        <f>Q5*'Global Network Stock'!Q12*10^6*24*365/10^12</f>
        <v>0.35804808699007395</v>
      </c>
    </row>
    <row r="14" spans="1:17" x14ac:dyDescent="0.55000000000000004">
      <c r="B14" s="43" t="s">
        <v>39</v>
      </c>
      <c r="C14" s="36">
        <f>C6*'Global Network Stock'!C13*10^6*24*365/10^12</f>
        <v>5.1927046658022828E-2</v>
      </c>
      <c r="D14" s="36">
        <f>D6*'Global Network Stock'!D13*10^6*24*365/10^12</f>
        <v>0.17018986714802081</v>
      </c>
      <c r="E14" s="36">
        <f>E6*'Global Network Stock'!E13*10^6*24*365/10^12</f>
        <v>0.34739686669963332</v>
      </c>
      <c r="F14" s="36">
        <f>F6*'Global Network Stock'!F13*10^6*24*365/10^12</f>
        <v>0.71578292881032668</v>
      </c>
      <c r="G14" s="36">
        <f>G6*'Global Network Stock'!G13*10^6*24*365/10^12</f>
        <v>1.0786453365450168</v>
      </c>
      <c r="H14" s="36">
        <f>H6*'Global Network Stock'!H13*10^6*24*365/10^12</f>
        <v>1.1626897375418184</v>
      </c>
      <c r="I14" s="36">
        <f>I6*'Global Network Stock'!I13*10^6*24*365/10^12</f>
        <v>1.2086034370445453</v>
      </c>
      <c r="J14" s="36">
        <f>J6*'Global Network Stock'!J13*10^6*24*365/10^12</f>
        <v>1.2582904768631558</v>
      </c>
      <c r="K14" s="36">
        <f>K6*'Global Network Stock'!K13*10^6*24*365/10^12</f>
        <v>1.1841164867542995</v>
      </c>
      <c r="M14" s="36">
        <f>M6*'Global Network Stock'!M13*10^6*24*365/10^12</f>
        <v>1.0380905551946134</v>
      </c>
      <c r="N14" s="36">
        <f>N6*'Global Network Stock'!N13*10^6*24*365/10^12</f>
        <v>0.94964845767272754</v>
      </c>
      <c r="O14" s="36">
        <f>O6*'Global Network Stock'!O13*10^6*24*365/10^12</f>
        <v>0.95996255853801782</v>
      </c>
      <c r="P14" s="36">
        <f>P6*'Global Network Stock'!P13*10^6*24*365/10^12</f>
        <v>1.1063404149105147</v>
      </c>
      <c r="Q14" s="36">
        <f>Q6*'Global Network Stock'!Q13*10^6*24*365/10^12</f>
        <v>1.2738399975481172</v>
      </c>
    </row>
    <row r="15" spans="1:17" x14ac:dyDescent="0.55000000000000004">
      <c r="B15" s="80" t="s">
        <v>40</v>
      </c>
      <c r="C15" s="36">
        <f>C7*'Global Network Stock'!C14*10^6*24*365/10^12</f>
        <v>0.27561009456061714</v>
      </c>
      <c r="D15" s="36">
        <f>D7*'Global Network Stock'!D14*10^6*24*365/10^12</f>
        <v>0.38932824244191966</v>
      </c>
      <c r="E15" s="36">
        <f>E7*'Global Network Stock'!E14*10^6*24*365/10^12</f>
        <v>0.49651625667867583</v>
      </c>
      <c r="F15" s="36">
        <f>F7*'Global Network Stock'!F14*10^6*24*365/10^12</f>
        <v>0.63755283653660533</v>
      </c>
      <c r="G15" s="36">
        <f>G7*'Global Network Stock'!G14*10^6*24*365/10^12</f>
        <v>0.87920540084397147</v>
      </c>
      <c r="H15" s="36">
        <f>H7*'Global Network Stock'!H14*10^6*24*365/10^12</f>
        <v>1.0617360767999999</v>
      </c>
      <c r="I15" s="36">
        <f>I7*'Global Network Stock'!I14*10^6*24*365/10^12</f>
        <v>1.3740134777549999</v>
      </c>
      <c r="J15" s="36">
        <f>J7*'Global Network Stock'!J14*10^6*24*365/10^12</f>
        <v>1.6681854883745899</v>
      </c>
      <c r="K15" s="36">
        <f>K7*'Global Network Stock'!K14*10^6*24*365/10^12</f>
        <v>1.9694325330589677</v>
      </c>
      <c r="M15" s="36">
        <f>M7*'Global Network Stock'!M14*10^6*24*365/10^12</f>
        <v>2.1570170573914536</v>
      </c>
      <c r="N15" s="36">
        <f>N7*'Global Network Stock'!N14*10^6*24*365/10^12</f>
        <v>2.1793193620363636</v>
      </c>
      <c r="O15" s="36">
        <f>O7*'Global Network Stock'!O14*10^6*24*365/10^12</f>
        <v>2.5163044649079715</v>
      </c>
      <c r="P15" s="36">
        <f>P7*'Global Network Stock'!P14*10^6*24*365/10^12</f>
        <v>2.8411500902007729</v>
      </c>
      <c r="Q15" s="36">
        <f>Q7*'Global Network Stock'!Q14*10^6*24*365/10^12</f>
        <v>3.2091817830173524</v>
      </c>
    </row>
    <row r="16" spans="1:17" x14ac:dyDescent="0.55000000000000004">
      <c r="B16" s="10" t="s">
        <v>31</v>
      </c>
      <c r="C16" s="39">
        <f t="shared" ref="C16:K16" si="3">SUM(C13:C15)</f>
        <v>2.3918363972186389</v>
      </c>
      <c r="D16" s="39">
        <f t="shared" si="3"/>
        <v>2.6892527005576827</v>
      </c>
      <c r="E16" s="39">
        <f t="shared" si="3"/>
        <v>2.9392556551430151</v>
      </c>
      <c r="F16" s="39">
        <f t="shared" si="3"/>
        <v>3.3638497104280143</v>
      </c>
      <c r="G16" s="39">
        <f t="shared" si="3"/>
        <v>3.6569503237889878</v>
      </c>
      <c r="H16" s="39">
        <f t="shared" si="3"/>
        <v>3.6901655787054546</v>
      </c>
      <c r="I16" s="39">
        <f t="shared" si="3"/>
        <v>3.7729521042995451</v>
      </c>
      <c r="J16" s="39">
        <f t="shared" si="3"/>
        <v>3.9221374998646117</v>
      </c>
      <c r="K16" s="39">
        <f t="shared" si="3"/>
        <v>3.9922503603538075</v>
      </c>
      <c r="M16" s="39">
        <f t="shared" ref="M16:Q16" si="4">SUM(M13:M15)</f>
        <v>3.8862710718453259</v>
      </c>
      <c r="N16" s="39">
        <f t="shared" si="4"/>
        <v>3.6715536588000002</v>
      </c>
      <c r="O16" s="39">
        <f t="shared" si="4"/>
        <v>3.9390153168344133</v>
      </c>
      <c r="P16" s="39">
        <f t="shared" si="4"/>
        <v>4.3545361305707031</v>
      </c>
      <c r="Q16" s="39">
        <f t="shared" si="4"/>
        <v>4.841069867555543</v>
      </c>
    </row>
    <row r="17" spans="2:17" x14ac:dyDescent="0.55000000000000004">
      <c r="B17" s="38"/>
      <c r="C17" s="70"/>
      <c r="D17" s="70"/>
      <c r="E17" s="70"/>
      <c r="F17" s="70"/>
      <c r="G17" s="70"/>
      <c r="H17" s="70"/>
      <c r="I17" s="70"/>
      <c r="J17" s="70"/>
      <c r="K17" s="70"/>
      <c r="M17" s="70"/>
      <c r="N17" s="70"/>
      <c r="O17" s="70"/>
      <c r="P17" s="70"/>
      <c r="Q17" s="70"/>
    </row>
    <row r="18" spans="2:17" x14ac:dyDescent="0.55000000000000004">
      <c r="C18" s="36"/>
      <c r="D18" s="36"/>
      <c r="E18" s="36"/>
      <c r="F18" s="36"/>
      <c r="G18" s="36"/>
      <c r="H18" s="36"/>
      <c r="I18" s="36"/>
      <c r="J18" s="36"/>
      <c r="K18" s="36"/>
      <c r="M18" s="36"/>
      <c r="N18" s="36"/>
      <c r="O18" s="3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heetViews>
  <sheetFormatPr defaultRowHeight="14.4" x14ac:dyDescent="0.55000000000000004"/>
  <cols>
    <col min="1" max="1" width="2.68359375" customWidth="1"/>
    <col min="2" max="2" width="55.89453125" customWidth="1"/>
    <col min="3" max="14" width="7.26171875" customWidth="1"/>
  </cols>
  <sheetData>
    <row r="1" spans="1:10" x14ac:dyDescent="0.55000000000000004">
      <c r="A1" s="3"/>
    </row>
    <row r="2" spans="1:10" x14ac:dyDescent="0.55000000000000004">
      <c r="B2" s="3" t="s">
        <v>161</v>
      </c>
      <c r="C2" s="32" t="s">
        <v>20</v>
      </c>
      <c r="D2" s="5" t="s">
        <v>162</v>
      </c>
      <c r="F2" s="11"/>
      <c r="G2" s="11"/>
      <c r="H2" s="11"/>
      <c r="I2" s="11"/>
    </row>
    <row r="3" spans="1:10" x14ac:dyDescent="0.55000000000000004">
      <c r="B3" s="3"/>
      <c r="C3" s="32"/>
      <c r="D3" s="11"/>
      <c r="F3" s="11"/>
      <c r="G3" s="11"/>
      <c r="H3" s="11"/>
      <c r="I3" s="11"/>
    </row>
    <row r="4" spans="1:10" x14ac:dyDescent="0.55000000000000004">
      <c r="C4" s="8" t="s">
        <v>111</v>
      </c>
      <c r="D4" s="1"/>
      <c r="F4" s="8" t="s">
        <v>234</v>
      </c>
      <c r="G4" s="1"/>
      <c r="H4" s="1"/>
      <c r="I4" s="1"/>
      <c r="J4" s="1"/>
    </row>
    <row r="5" spans="1:10" x14ac:dyDescent="0.55000000000000004">
      <c r="B5" s="14" t="s">
        <v>163</v>
      </c>
      <c r="C5" s="14">
        <v>2010</v>
      </c>
      <c r="D5" s="8">
        <v>2018</v>
      </c>
      <c r="F5" s="8">
        <v>2019</v>
      </c>
      <c r="G5" s="8">
        <v>2020</v>
      </c>
      <c r="H5" s="8">
        <v>2021</v>
      </c>
      <c r="I5" s="8">
        <v>2022</v>
      </c>
      <c r="J5" s="8">
        <v>2023</v>
      </c>
    </row>
    <row r="6" spans="1:10" x14ac:dyDescent="0.55000000000000004">
      <c r="B6" t="s">
        <v>25</v>
      </c>
      <c r="C6" s="36">
        <f>'Regional Server Stock'!C41/'Regional Server Stock'!C$47*'Global Network Energy'!C$13</f>
        <v>0.67430067574186103</v>
      </c>
      <c r="D6" s="36">
        <f>'Regional Server Stock'!D41/'Regional Server Stock'!D$47*'Global Network Energy'!K$13</f>
        <v>0.22351698317584065</v>
      </c>
      <c r="E6" s="11"/>
      <c r="F6" s="36">
        <f>'Regional Server Stock'!F41/'Regional Server Stock'!F$47*'Global Network Energy'!M$13</f>
        <v>0.18737423703703696</v>
      </c>
      <c r="G6" s="36">
        <f>'Regional Server Stock'!G41/'Regional Server Stock'!G$47*'Global Network Energy'!N$13</f>
        <v>0.14199904879789635</v>
      </c>
      <c r="H6" s="36">
        <f>'Regional Server Stock'!H41/'Regional Server Stock'!H$47*'Global Network Energy'!O$13</f>
        <v>0.11674197067245955</v>
      </c>
      <c r="I6" s="36">
        <f>'Regional Server Stock'!I41/'Regional Server Stock'!I$47*'Global Network Energy'!P$13</f>
        <v>0.10268932192441185</v>
      </c>
      <c r="J6" s="36">
        <f>'Regional Server Stock'!J41/'Regional Server Stock'!J$47*'Global Network Energy'!Q$13</f>
        <v>9.0328240790808978E-2</v>
      </c>
    </row>
    <row r="7" spans="1:10" x14ac:dyDescent="0.55000000000000004">
      <c r="B7" s="20" t="s">
        <v>26</v>
      </c>
      <c r="C7" s="36">
        <f>'Regional Server Stock'!C42/'Regional Server Stock'!C$47*'Global Network Energy'!C$13</f>
        <v>6.610790938645697E-2</v>
      </c>
      <c r="D7" s="36">
        <f>'Regional Server Stock'!D42/'Regional Server Stock'!D$47*'Global Network Energy'!K$13</f>
        <v>2.0506145245489986E-2</v>
      </c>
      <c r="E7" s="11"/>
      <c r="F7" s="36">
        <f>'Regional Server Stock'!F42/'Regional Server Stock'!F$47*'Global Network Energy'!M$13</f>
        <v>1.5909133333333342E-2</v>
      </c>
      <c r="G7" s="36">
        <f>'Regional Server Stock'!G42/'Regional Server Stock'!G$47*'Global Network Energy'!N$13</f>
        <v>1.1957814635612336E-2</v>
      </c>
      <c r="H7" s="36">
        <f>'Regional Server Stock'!H42/'Regional Server Stock'!H$47*'Global Network Energy'!O$13</f>
        <v>1.125223813710453E-2</v>
      </c>
      <c r="I7" s="36">
        <f>'Regional Server Stock'!I42/'Regional Server Stock'!I$47*'Global Network Energy'!P$13</f>
        <v>9.8977659686180046E-3</v>
      </c>
      <c r="J7" s="36">
        <f>'Regional Server Stock'!J42/'Regional Server Stock'!J$47*'Global Network Energy'!Q$13</f>
        <v>8.7063364617647188E-3</v>
      </c>
    </row>
    <row r="8" spans="1:10" x14ac:dyDescent="0.55000000000000004">
      <c r="B8" s="20" t="s">
        <v>27</v>
      </c>
      <c r="C8" s="36">
        <f>'Regional Server Stock'!C43/'Regional Server Stock'!C$47*'Global Network Energy'!C$13</f>
        <v>6.610790938645697E-2</v>
      </c>
      <c r="D8" s="36">
        <f>'Regional Server Stock'!D43/'Regional Server Stock'!D$47*'Global Network Energy'!K$13</f>
        <v>1.6404916196391971E-2</v>
      </c>
      <c r="E8" s="11"/>
      <c r="F8" s="36">
        <f>'Regional Server Stock'!F43/'Regional Server Stock'!F$47*'Global Network Energy'!M$13</f>
        <v>1.237377037037036E-2</v>
      </c>
      <c r="G8" s="36">
        <f>'Regional Server Stock'!G43/'Regional Server Stock'!G$47*'Global Network Energy'!N$13</f>
        <v>1.0463087806160775E-2</v>
      </c>
      <c r="H8" s="36">
        <f>'Regional Server Stock'!H43/'Regional Server Stock'!H$47*'Global Network Energy'!O$13</f>
        <v>8.4391786028284108E-3</v>
      </c>
      <c r="I8" s="36">
        <f>'Regional Server Stock'!I43/'Regional Server Stock'!I$47*'Global Network Energy'!P$13</f>
        <v>7.4233244764635147E-3</v>
      </c>
      <c r="J8" s="36">
        <f>'Regional Server Stock'!J43/'Regional Server Stock'!J$47*'Global Network Energy'!Q$13</f>
        <v>6.5297523463235477E-3</v>
      </c>
    </row>
    <row r="9" spans="1:10" x14ac:dyDescent="0.55000000000000004">
      <c r="B9" s="20" t="s">
        <v>28</v>
      </c>
      <c r="C9" s="36">
        <f>'Regional Server Stock'!C44/'Regional Server Stock'!C$47*'Global Network Energy'!C$13</f>
        <v>2.8950705145103572E-2</v>
      </c>
      <c r="D9" s="36">
        <f>'Regional Server Stock'!D44/'Regional Server Stock'!D$47*'Global Network Energy'!K$13</f>
        <v>1.6404916196392002E-2</v>
      </c>
      <c r="E9" s="11"/>
      <c r="F9" s="36">
        <f>'Regional Server Stock'!F44/'Regional Server Stock'!F$47*'Global Network Energy'!M$13</f>
        <v>1.237377037037036E-2</v>
      </c>
      <c r="G9" s="36">
        <f>'Regional Server Stock'!G44/'Regional Server Stock'!G$47*'Global Network Energy'!N$13</f>
        <v>1.0463087806160775E-2</v>
      </c>
      <c r="H9" s="36">
        <f>'Regional Server Stock'!H44/'Regional Server Stock'!H$47*'Global Network Energy'!O$13</f>
        <v>8.4391786028283847E-3</v>
      </c>
      <c r="I9" s="36">
        <f>'Regional Server Stock'!I44/'Regional Server Stock'!I$47*'Global Network Energy'!P$13</f>
        <v>7.423324476463493E-3</v>
      </c>
      <c r="J9" s="36">
        <f>'Regional Server Stock'!J44/'Regional Server Stock'!J$47*'Global Network Energy'!Q$13</f>
        <v>6.5297523463235304E-3</v>
      </c>
    </row>
    <row r="10" spans="1:10" x14ac:dyDescent="0.55000000000000004">
      <c r="B10" s="20" t="s">
        <v>29</v>
      </c>
      <c r="C10" s="36">
        <f>'Regional Server Stock'!C45/'Regional Server Stock'!C$47*'Global Network Energy'!C$13</f>
        <v>0.75741427492221347</v>
      </c>
      <c r="D10" s="36">
        <f>'Regional Server Stock'!D45/'Regional Server Stock'!D$47*'Global Network Energy'!K$13</f>
        <v>0.3896167596643097</v>
      </c>
      <c r="E10" s="11"/>
      <c r="F10" s="36">
        <f>'Regional Server Stock'!F45/'Regional Server Stock'!F$47*'Global Network Energy'!M$13</f>
        <v>0.31818266666666667</v>
      </c>
      <c r="G10" s="36">
        <f>'Regional Server Stock'!G45/'Regional Server Stock'!G$47*'Global Network Energy'!N$13</f>
        <v>0.2481246536889557</v>
      </c>
      <c r="H10" s="36">
        <f>'Regional Server Stock'!H45/'Regional Server Stock'!H$47*'Global Network Energy'!O$13</f>
        <v>0.20957293530357177</v>
      </c>
      <c r="I10" s="36">
        <f>'Regional Server Stock'!I45/'Regional Server Stock'!I$47*'Global Network Energy'!P$13</f>
        <v>0.18434589116551026</v>
      </c>
      <c r="J10" s="36">
        <f>'Regional Server Stock'!J45/'Regional Server Stock'!J$47*'Global Network Energy'!Q$13</f>
        <v>0.16215551660036778</v>
      </c>
    </row>
    <row r="11" spans="1:10" x14ac:dyDescent="0.55000000000000004">
      <c r="B11" s="20" t="s">
        <v>30</v>
      </c>
      <c r="C11" s="36">
        <f>'Regional Server Stock'!C46/'Regional Server Stock'!C$47*'Global Network Energy'!C$13</f>
        <v>0.47141778141790691</v>
      </c>
      <c r="D11" s="36">
        <f>'Regional Server Stock'!D46/'Regional Server Stock'!D$47*'Global Network Energy'!K$13</f>
        <v>0.17225162006211597</v>
      </c>
      <c r="E11" s="11"/>
      <c r="F11" s="36">
        <f>'Regional Server Stock'!F46/'Regional Server Stock'!F$47*'Global Network Energy'!M$13</f>
        <v>0.14494988148148155</v>
      </c>
      <c r="G11" s="36">
        <f>'Regional Server Stock'!G46/'Regional Server Stock'!G$47*'Global Network Energy'!N$13</f>
        <v>0.11957814635612324</v>
      </c>
      <c r="H11" s="36">
        <f>'Regional Server Stock'!H46/'Regional Server Stock'!H$47*'Global Network Energy'!O$13</f>
        <v>0.10830279206963105</v>
      </c>
      <c r="I11" s="36">
        <f>'Regional Server Stock'!I46/'Regional Server Stock'!I$47*'Global Network Energy'!P$13</f>
        <v>9.5265997447948239E-2</v>
      </c>
      <c r="J11" s="36">
        <f>'Regional Server Stock'!J46/'Regional Server Stock'!J$47*'Global Network Energy'!Q$13</f>
        <v>8.3798488444485369E-2</v>
      </c>
    </row>
    <row r="12" spans="1:10" x14ac:dyDescent="0.55000000000000004">
      <c r="B12" s="7" t="s">
        <v>31</v>
      </c>
      <c r="C12" s="21">
        <f t="shared" ref="C12" si="0">SUM(C6:C11)</f>
        <v>2.0642992559999991</v>
      </c>
      <c r="D12" s="21">
        <f t="shared" ref="D12:H12" si="1">SUM(D6:D11)</f>
        <v>0.83870134054054035</v>
      </c>
      <c r="F12" s="21">
        <f t="shared" si="1"/>
        <v>0.69116345925925926</v>
      </c>
      <c r="G12" s="21">
        <f t="shared" si="1"/>
        <v>0.54258583909090918</v>
      </c>
      <c r="H12" s="21">
        <f t="shared" si="1"/>
        <v>0.46274829338842371</v>
      </c>
      <c r="I12" s="21">
        <f t="shared" ref="I12:J12" si="2">SUM(I6:I11)</f>
        <v>0.40704562545941536</v>
      </c>
      <c r="J12" s="21">
        <f t="shared" si="2"/>
        <v>0.35804808699007395</v>
      </c>
    </row>
    <row r="14" spans="1:10" ht="14.5" customHeight="1" x14ac:dyDescent="0.55000000000000004">
      <c r="B14" s="14" t="s">
        <v>164</v>
      </c>
      <c r="C14" s="14">
        <v>2010</v>
      </c>
      <c r="D14" s="8">
        <v>2018</v>
      </c>
      <c r="F14" s="8">
        <v>2019</v>
      </c>
      <c r="G14" s="8">
        <v>2020</v>
      </c>
      <c r="H14" s="8">
        <v>2021</v>
      </c>
      <c r="I14" s="8">
        <v>2022</v>
      </c>
      <c r="J14" s="8">
        <v>2023</v>
      </c>
    </row>
    <row r="15" spans="1:10" x14ac:dyDescent="0.55000000000000004">
      <c r="B15" t="s">
        <v>25</v>
      </c>
      <c r="C15" s="36">
        <f>'Regional Server Stock'!C50/'Regional Server Stock'!C$56*'Global Network Energy'!C$14</f>
        <v>1.1943220731345247E-2</v>
      </c>
      <c r="D15" s="36">
        <f>'Regional Server Stock'!D50/'Regional Server Stock'!D$56*'Global Network Energy'!K$14</f>
        <v>0.40221966310814539</v>
      </c>
      <c r="F15" s="36">
        <f>'Regional Server Stock'!F50/'Regional Server Stock'!F$56*'Global Network Energy'!M$14</f>
        <v>0.36339555390071121</v>
      </c>
      <c r="G15" s="36">
        <f>'Regional Server Stock'!G50/'Regional Server Stock'!G$56*'Global Network Energy'!N$14</f>
        <v>0.33607429688490381</v>
      </c>
      <c r="H15" s="36">
        <f>'Regional Server Stock'!H50/'Regional Server Stock'!H$56*'Global Network Energy'!O$14</f>
        <v>0.33582410729166595</v>
      </c>
      <c r="I15" s="36">
        <f>'Regional Server Stock'!I50/'Regional Server Stock'!I$56*'Global Network Energy'!P$14</f>
        <v>0.38761184609374449</v>
      </c>
      <c r="J15" s="36">
        <f>'Regional Server Stock'!J50/'Regional Server Stock'!J$56*'Global Network Energy'!Q$14</f>
        <v>0.4469087104441451</v>
      </c>
    </row>
    <row r="16" spans="1:10" x14ac:dyDescent="0.55000000000000004">
      <c r="B16" s="20" t="s">
        <v>26</v>
      </c>
      <c r="C16" s="36">
        <f>'Regional Server Stock'!C51/'Regional Server Stock'!C$56*'Global Network Energy'!C$14</f>
        <v>5.1927046658022795E-5</v>
      </c>
      <c r="D16" s="36">
        <f>'Regional Server Stock'!D51/'Regional Server Stock'!D$56*'Global Network Energy'!K$14</f>
        <v>6.5998356557719295E-2</v>
      </c>
      <c r="F16" s="36">
        <f>'Regional Server Stock'!F51/'Regional Server Stock'!F$56*'Global Network Energy'!M$14</f>
        <v>6.0635459875946693E-2</v>
      </c>
      <c r="G16" s="36">
        <f>'Regional Server Stock'!G51/'Regional Server Stock'!G$56*'Global Network Energy'!N$14</f>
        <v>5.4862223607777649E-2</v>
      </c>
      <c r="H16" s="36">
        <f>'Regional Server Stock'!H51/'Regional Server Stock'!H$56*'Global Network Energy'!O$14</f>
        <v>5.6334315400241565E-2</v>
      </c>
      <c r="I16" s="36">
        <f>'Regional Server Stock'!I51/'Regional Server Stock'!I$56*'Global Network Energy'!P$14</f>
        <v>6.4221020572881607E-2</v>
      </c>
      <c r="J16" s="36">
        <f>'Regional Server Stock'!J51/'Regional Server Stock'!J$56*'Global Network Energy'!Q$14</f>
        <v>7.3201670301045199E-2</v>
      </c>
    </row>
    <row r="17" spans="2:10" x14ac:dyDescent="0.55000000000000004">
      <c r="B17" s="20" t="s">
        <v>27</v>
      </c>
      <c r="C17" s="36">
        <f>'Regional Server Stock'!C52/'Regional Server Stock'!C$56*'Global Network Energy'!C$14</f>
        <v>0</v>
      </c>
      <c r="D17" s="36">
        <f>'Regional Server Stock'!D52/'Regional Server Stock'!D$56*'Global Network Energy'!K$14</f>
        <v>3.4722820644969433E-2</v>
      </c>
      <c r="F17" s="36">
        <f>'Regional Server Stock'!F52/'Regional Server Stock'!F$56*'Global Network Energy'!M$14</f>
        <v>2.4360695733031946E-2</v>
      </c>
      <c r="G17" s="36">
        <f>'Regional Server Stock'!G52/'Regional Server Stock'!G$56*'Global Network Energy'!N$14</f>
        <v>2.0113918039561553E-2</v>
      </c>
      <c r="H17" s="36">
        <f>'Regional Server Stock'!H52/'Regional Server Stock'!H$56*'Global Network Energy'!O$14</f>
        <v>1.8194220732909737E-2</v>
      </c>
      <c r="I17" s="36">
        <f>'Regional Server Stock'!I52/'Regional Server Stock'!I$56*'Global Network Energy'!P$14</f>
        <v>2.1258136990620454E-2</v>
      </c>
      <c r="J17" s="36">
        <f>'Regional Server Stock'!J52/'Regional Server Stock'!J$56*'Global Network Energy'!Q$14</f>
        <v>2.4782312856681567E-2</v>
      </c>
    </row>
    <row r="18" spans="2:10" x14ac:dyDescent="0.55000000000000004">
      <c r="B18" s="20" t="s">
        <v>28</v>
      </c>
      <c r="C18" s="36">
        <f>'Regional Server Stock'!C53/'Regional Server Stock'!C$56*'Global Network Energy'!C$14</f>
        <v>0</v>
      </c>
      <c r="D18" s="36">
        <f>'Regional Server Stock'!D53/'Regional Server Stock'!D$56*'Global Network Energy'!K$14</f>
        <v>5.1500134228424942E-2</v>
      </c>
      <c r="F18" s="36">
        <f>'Regional Server Stock'!F53/'Regional Server Stock'!F$56*'Global Network Energy'!M$14</f>
        <v>4.4744388904829117E-2</v>
      </c>
      <c r="G18" s="36">
        <f>'Regional Server Stock'!G53/'Regional Server Stock'!G$56*'Global Network Energy'!N$14</f>
        <v>3.7520479935827529E-2</v>
      </c>
      <c r="H18" s="36">
        <f>'Regional Server Stock'!H53/'Regional Server Stock'!H$56*'Global Network Energy'!O$14</f>
        <v>3.4838326817771707E-2</v>
      </c>
      <c r="I18" s="36">
        <f>'Regional Server Stock'!I53/'Regional Server Stock'!I$56*'Global Network Energy'!P$14</f>
        <v>3.985743557184214E-2</v>
      </c>
      <c r="J18" s="36">
        <f>'Regional Server Stock'!J53/'Regional Server Stock'!J$56*'Global Network Energy'!Q$14</f>
        <v>4.5582410928376199E-2</v>
      </c>
    </row>
    <row r="19" spans="2:10" x14ac:dyDescent="0.55000000000000004">
      <c r="B19" s="20" t="s">
        <v>29</v>
      </c>
      <c r="C19" s="36">
        <f>'Regional Server Stock'!C54/'Regional Server Stock'!C$56*'Global Network Energy'!C$14</f>
        <v>3.1675498461393933E-2</v>
      </c>
      <c r="D19" s="36">
        <f>'Regional Server Stock'!D54/'Regional Server Stock'!D$56*'Global Network Energy'!K$14</f>
        <v>0.40442550032214059</v>
      </c>
      <c r="F19" s="36">
        <f>'Regional Server Stock'!F54/'Regional Server Stock'!F$56*'Global Network Energy'!M$14</f>
        <v>0.35612472816662349</v>
      </c>
      <c r="G19" s="36">
        <f>'Regional Server Stock'!G54/'Regional Server Stock'!G$56*'Global Network Energy'!N$14</f>
        <v>0.33604173409413224</v>
      </c>
      <c r="H19" s="36">
        <f>'Regional Server Stock'!H54/'Regional Server Stock'!H$56*'Global Network Energy'!O$14</f>
        <v>0.35408866333841638</v>
      </c>
      <c r="I19" s="36">
        <f>'Regional Server Stock'!I54/'Regional Server Stock'!I$56*'Global Network Energy'!P$14</f>
        <v>0.40788094075121467</v>
      </c>
      <c r="J19" s="36">
        <f>'Regional Server Stock'!J54/'Regional Server Stock'!J$56*'Global Network Energy'!Q$14</f>
        <v>0.46942267901874801</v>
      </c>
    </row>
    <row r="20" spans="2:10" x14ac:dyDescent="0.55000000000000004">
      <c r="B20" s="20" t="s">
        <v>30</v>
      </c>
      <c r="C20" s="36">
        <f>'Regional Server Stock'!C55/'Regional Server Stock'!C$56*'Global Network Energy'!C$14</f>
        <v>8.2564004186256312E-3</v>
      </c>
      <c r="D20" s="36">
        <f>'Regional Server Stock'!D55/'Regional Server Stock'!D$56*'Global Network Energy'!K$14</f>
        <v>0.22525001189289995</v>
      </c>
      <c r="F20" s="36">
        <f>'Regional Server Stock'!F55/'Regional Server Stock'!F$56*'Global Network Energy'!M$14</f>
        <v>0.18882972861347086</v>
      </c>
      <c r="G20" s="36">
        <f>'Regional Server Stock'!G55/'Regional Server Stock'!G$56*'Global Network Energy'!N$14</f>
        <v>0.16503580511052468</v>
      </c>
      <c r="H20" s="36">
        <f>'Regional Server Stock'!H55/'Regional Server Stock'!H$56*'Global Network Energy'!O$14</f>
        <v>0.16068292495701242</v>
      </c>
      <c r="I20" s="36">
        <f>'Regional Server Stock'!I55/'Regional Server Stock'!I$56*'Global Network Energy'!P$14</f>
        <v>0.18551103493021143</v>
      </c>
      <c r="J20" s="36">
        <f>'Regional Server Stock'!J55/'Regional Server Stock'!J$56*'Global Network Energy'!Q$14</f>
        <v>0.21394221399912108</v>
      </c>
    </row>
    <row r="21" spans="2:10" x14ac:dyDescent="0.55000000000000004">
      <c r="B21" s="7" t="s">
        <v>31</v>
      </c>
      <c r="C21" s="39">
        <f t="shared" ref="C21:H21" si="3">SUM(C15:C20)</f>
        <v>5.1927046658022835E-2</v>
      </c>
      <c r="D21" s="39">
        <f t="shared" si="3"/>
        <v>1.1841164867542995</v>
      </c>
      <c r="F21" s="39">
        <f t="shared" si="3"/>
        <v>1.0380905551946134</v>
      </c>
      <c r="G21" s="39">
        <f t="shared" si="3"/>
        <v>0.94964845767272754</v>
      </c>
      <c r="H21" s="39">
        <f t="shared" si="3"/>
        <v>0.95996255853801771</v>
      </c>
      <c r="I21" s="39">
        <f t="shared" ref="I21:J21" si="4">SUM(I15:I20)</f>
        <v>1.1063404149105147</v>
      </c>
      <c r="J21" s="39">
        <f t="shared" si="4"/>
        <v>1.2738399975481174</v>
      </c>
    </row>
    <row r="22" spans="2:10" x14ac:dyDescent="0.55000000000000004">
      <c r="C22" s="11"/>
      <c r="D22" s="11"/>
      <c r="F22" s="11"/>
      <c r="G22" s="11"/>
      <c r="H22" s="11"/>
      <c r="I22" s="11"/>
      <c r="J22" s="11"/>
    </row>
    <row r="23" spans="2:10" x14ac:dyDescent="0.55000000000000004">
      <c r="B23" s="14" t="s">
        <v>165</v>
      </c>
      <c r="C23" s="34">
        <v>2010</v>
      </c>
      <c r="D23" s="15">
        <v>2018</v>
      </c>
      <c r="F23" s="15">
        <v>2019</v>
      </c>
      <c r="G23" s="15">
        <v>2020</v>
      </c>
      <c r="H23" s="15">
        <v>2021</v>
      </c>
      <c r="I23" s="15">
        <v>2022</v>
      </c>
      <c r="J23" s="15">
        <v>2023</v>
      </c>
    </row>
    <row r="24" spans="2:10" x14ac:dyDescent="0.55000000000000004">
      <c r="B24" t="s">
        <v>25</v>
      </c>
      <c r="C24" s="36">
        <f>'Regional Server Stock'!C59/'Regional Server Stock'!C$65*'Global Network Energy'!C$15</f>
        <v>6.339032174894195E-2</v>
      </c>
      <c r="D24" s="36">
        <f>'Regional Server Stock'!D59/'Regional Server Stock'!D$65*'Global Network Energy'!K$15</f>
        <v>0.66172933110781318</v>
      </c>
      <c r="F24" s="36">
        <f>'Regional Server Stock'!F59/'Regional Server Stock'!F$65*'Global Network Energy'!M$15</f>
        <v>0.76358403831657473</v>
      </c>
      <c r="G24" s="36">
        <f>'Regional Server Stock'!G59/'Regional Server Stock'!G$65*'Global Network Energy'!N$15</f>
        <v>0.81070680267752737</v>
      </c>
      <c r="H24" s="36">
        <f>'Regional Server Stock'!H59/'Regional Server Stock'!H$65*'Global Network Energy'!O$15</f>
        <v>0.98135874131410883</v>
      </c>
      <c r="I24" s="36">
        <f>'Regional Server Stock'!I59/'Regional Server Stock'!I$65*'Global Network Energy'!P$15</f>
        <v>1.1080485351783014</v>
      </c>
      <c r="J24" s="36">
        <f>'Regional Server Stock'!J59/'Regional Server Stock'!J$65*'Global Network Energy'!Q$15</f>
        <v>1.2515808953767675</v>
      </c>
    </row>
    <row r="25" spans="2:10" x14ac:dyDescent="0.55000000000000004">
      <c r="B25" s="20" t="s">
        <v>26</v>
      </c>
      <c r="C25" s="36">
        <f>'Regional Server Stock'!C60/'Regional Server Stock'!C$65*'Global Network Energy'!C$15</f>
        <v>2.7561009456061712E-4</v>
      </c>
      <c r="D25" s="36">
        <f>'Regional Server Stock'!D60/'Regional Server Stock'!D$65*'Global Network Energy'!K$15</f>
        <v>1.1422708691742013E-2</v>
      </c>
      <c r="F25" s="36">
        <f>'Regional Server Stock'!F60/'Regional Server Stock'!F$65*'Global Network Energy'!M$15</f>
        <v>1.5530522813218471E-2</v>
      </c>
      <c r="G25" s="36">
        <f>'Regional Server Stock'!G60/'Regional Server Stock'!G$65*'Global Network Energy'!N$15</f>
        <v>1.874214651351273E-2</v>
      </c>
      <c r="H25" s="36">
        <f>'Regional Server Stock'!H60/'Regional Server Stock'!H$65*'Global Network Energy'!O$15</f>
        <v>2.5163044649079713E-2</v>
      </c>
      <c r="I25" s="36">
        <f>'Regional Server Stock'!I60/'Regional Server Stock'!I$65*'Global Network Energy'!P$15</f>
        <v>2.8411500902007728E-2</v>
      </c>
      <c r="J25" s="36">
        <f>'Regional Server Stock'!J60/'Regional Server Stock'!J$65*'Global Network Energy'!Q$15</f>
        <v>3.2091817830173522E-2</v>
      </c>
    </row>
    <row r="26" spans="2:10" x14ac:dyDescent="0.55000000000000004">
      <c r="B26" s="20" t="s">
        <v>27</v>
      </c>
      <c r="C26" s="36">
        <f>'Regional Server Stock'!C61/'Regional Server Stock'!C$65*'Global Network Energy'!C$15</f>
        <v>0</v>
      </c>
      <c r="D26" s="36">
        <f>'Regional Server Stock'!D61/'Regional Server Stock'!D$65*'Global Network Energy'!K$15</f>
        <v>6.9717911670287458E-2</v>
      </c>
      <c r="F26" s="36">
        <f>'Regional Server Stock'!F61/'Regional Server Stock'!F$65*'Global Network Energy'!M$15</f>
        <v>7.8946824300527213E-2</v>
      </c>
      <c r="G26" s="36">
        <f>'Regional Server Stock'!G61/'Regional Server Stock'!G$65*'Global Network Energy'!N$15</f>
        <v>8.2378271884974555E-2</v>
      </c>
      <c r="H26" s="36">
        <f>'Regional Server Stock'!H61/'Regional Server Stock'!H$65*'Global Network Energy'!O$15</f>
        <v>9.8135874131410894E-2</v>
      </c>
      <c r="I26" s="36">
        <f>'Regional Server Stock'!I61/'Regional Server Stock'!I$65*'Global Network Energy'!P$15</f>
        <v>0.11080485351783015</v>
      </c>
      <c r="J26" s="36">
        <f>'Regional Server Stock'!J61/'Regional Server Stock'!J$65*'Global Network Energy'!Q$15</f>
        <v>0.12515808953767674</v>
      </c>
    </row>
    <row r="27" spans="2:10" x14ac:dyDescent="0.55000000000000004">
      <c r="B27" s="20" t="s">
        <v>28</v>
      </c>
      <c r="C27" s="36">
        <f>'Regional Server Stock'!C62/'Regional Server Stock'!C$65*'Global Network Energy'!C$15</f>
        <v>0</v>
      </c>
      <c r="D27" s="36">
        <f>'Regional Server Stock'!D62/'Regional Server Stock'!D$65*'Global Network Energy'!K$15</f>
        <v>1.6149346771083536E-2</v>
      </c>
      <c r="F27" s="36">
        <f>'Regional Server Stock'!F62/'Regional Server Stock'!F$65*'Global Network Energy'!M$15</f>
        <v>2.3295784219827705E-2</v>
      </c>
      <c r="G27" s="36">
        <f>'Regional Server Stock'!G62/'Regional Server Stock'!G$65*'Global Network Energy'!N$15</f>
        <v>2.9202879451287276E-2</v>
      </c>
      <c r="H27" s="36">
        <f>'Regional Server Stock'!H62/'Regional Server Stock'!H$65*'Global Network Energy'!O$15</f>
        <v>4.0260871438527544E-2</v>
      </c>
      <c r="I27" s="36">
        <f>'Regional Server Stock'!I62/'Regional Server Stock'!I$65*'Global Network Energy'!P$15</f>
        <v>4.5458401443212365E-2</v>
      </c>
      <c r="J27" s="36">
        <f>'Regional Server Stock'!J62/'Regional Server Stock'!J$65*'Global Network Energy'!Q$15</f>
        <v>5.1346908528277641E-2</v>
      </c>
    </row>
    <row r="28" spans="2:10" x14ac:dyDescent="0.55000000000000004">
      <c r="B28" s="20" t="s">
        <v>29</v>
      </c>
      <c r="C28" s="36">
        <f>'Regional Server Stock'!C63/'Regional Server Stock'!C$65*'Global Network Energy'!C$15</f>
        <v>0.16812215768197644</v>
      </c>
      <c r="D28" s="36">
        <f>'Regional Server Stock'!D63/'Regional Server Stock'!D$65*'Global Network Energy'!K$15</f>
        <v>0.8480376487351915</v>
      </c>
      <c r="F28" s="36">
        <f>'Regional Server Stock'!F63/'Regional Server Stock'!F$65*'Global Network Energy'!M$15</f>
        <v>0.8744547150664953</v>
      </c>
      <c r="G28" s="36">
        <f>'Regional Server Stock'!G63/'Regional Server Stock'!G$65*'Global Network Energy'!N$15</f>
        <v>0.82857722144622514</v>
      </c>
      <c r="H28" s="36">
        <f>'Regional Server Stock'!H63/'Regional Server Stock'!H$65*'Global Network Energy'!O$15</f>
        <v>0.89328808504232982</v>
      </c>
      <c r="I28" s="36">
        <f>'Regional Server Stock'!I63/'Regional Server Stock'!I$65*'Global Network Energy'!P$15</f>
        <v>1.0086082820212743</v>
      </c>
      <c r="J28" s="36">
        <f>'Regional Server Stock'!J63/'Regional Server Stock'!J$65*'Global Network Energy'!Q$15</f>
        <v>1.1392595329711601</v>
      </c>
    </row>
    <row r="29" spans="2:10" x14ac:dyDescent="0.55000000000000004">
      <c r="B29" s="20" t="s">
        <v>30</v>
      </c>
      <c r="C29" s="36">
        <f>'Regional Server Stock'!C64/'Regional Server Stock'!C$65*'Global Network Energy'!C$15</f>
        <v>4.3822005035138133E-2</v>
      </c>
      <c r="D29" s="36">
        <f>'Regional Server Stock'!D64/'Regional Server Stock'!D$65*'Global Network Energy'!K$15</f>
        <v>0.36237558608285003</v>
      </c>
      <c r="F29" s="36">
        <f>'Regional Server Stock'!F64/'Regional Server Stock'!F$65*'Global Network Energy'!M$15</f>
        <v>0.40120517267481043</v>
      </c>
      <c r="G29" s="36">
        <f>'Regional Server Stock'!G64/'Regional Server Stock'!G$65*'Global Network Energy'!N$15</f>
        <v>0.40971204006283635</v>
      </c>
      <c r="H29" s="36">
        <f>'Regional Server Stock'!H64/'Regional Server Stock'!H$65*'Global Network Energy'!O$15</f>
        <v>0.47809784833251462</v>
      </c>
      <c r="I29" s="36">
        <f>'Regional Server Stock'!I64/'Regional Server Stock'!I$65*'Global Network Energy'!P$15</f>
        <v>0.53981851713814688</v>
      </c>
      <c r="J29" s="36">
        <f>'Regional Server Stock'!J64/'Regional Server Stock'!J$65*'Global Network Energy'!Q$15</f>
        <v>0.60974453877329693</v>
      </c>
    </row>
    <row r="30" spans="2:10" x14ac:dyDescent="0.55000000000000004">
      <c r="B30" s="7" t="s">
        <v>31</v>
      </c>
      <c r="C30" s="21">
        <f t="shared" ref="C30" si="5">SUM(C24:C29)</f>
        <v>0.27561009456061714</v>
      </c>
      <c r="D30" s="21">
        <f t="shared" ref="D30:H30" si="6">SUM(D24:D29)</f>
        <v>1.9694325330589675</v>
      </c>
      <c r="F30" s="21">
        <f t="shared" si="6"/>
        <v>2.157017057391454</v>
      </c>
      <c r="G30" s="21">
        <f t="shared" si="6"/>
        <v>2.1793193620363636</v>
      </c>
      <c r="H30" s="21">
        <f t="shared" si="6"/>
        <v>2.5163044649079711</v>
      </c>
      <c r="I30" s="21">
        <f t="shared" ref="I30:J30" si="7">SUM(I24:I29)</f>
        <v>2.8411500902007729</v>
      </c>
      <c r="J30" s="21">
        <f t="shared" si="7"/>
        <v>3.2091817830173524</v>
      </c>
    </row>
    <row r="32" spans="2:10" x14ac:dyDescent="0.55000000000000004">
      <c r="C32" s="2"/>
      <c r="D32" s="2"/>
      <c r="F32" s="2"/>
      <c r="G32"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3"/>
  <sheetViews>
    <sheetView workbookViewId="0"/>
  </sheetViews>
  <sheetFormatPr defaultRowHeight="14.4" x14ac:dyDescent="0.55000000000000004"/>
  <cols>
    <col min="1" max="1" width="2.68359375" style="11" customWidth="1"/>
    <col min="2" max="2" width="56.68359375" style="11" customWidth="1"/>
    <col min="3" max="10" width="7.26171875" style="11" customWidth="1"/>
    <col min="11" max="16384" width="8.83984375" style="11"/>
  </cols>
  <sheetData>
    <row r="2" spans="2:10" x14ac:dyDescent="0.55000000000000004">
      <c r="B2" s="79" t="s">
        <v>166</v>
      </c>
      <c r="C2" s="32" t="s">
        <v>62</v>
      </c>
      <c r="D2" s="32" t="s">
        <v>271</v>
      </c>
    </row>
    <row r="3" spans="2:10" x14ac:dyDescent="0.55000000000000004">
      <c r="D3" s="32" t="s">
        <v>205</v>
      </c>
    </row>
    <row r="5" spans="2:10" x14ac:dyDescent="0.55000000000000004">
      <c r="C5" s="15" t="s">
        <v>111</v>
      </c>
      <c r="D5" s="80"/>
      <c r="F5" s="15" t="s">
        <v>234</v>
      </c>
      <c r="G5" s="80"/>
      <c r="H5" s="80"/>
      <c r="I5" s="80"/>
      <c r="J5" s="80"/>
    </row>
    <row r="6" spans="2:10" x14ac:dyDescent="0.55000000000000004">
      <c r="B6" s="34" t="s">
        <v>258</v>
      </c>
      <c r="C6" s="34">
        <v>2010</v>
      </c>
      <c r="D6" s="15">
        <v>2018</v>
      </c>
      <c r="F6" s="15">
        <v>2019</v>
      </c>
      <c r="G6" s="15">
        <v>2020</v>
      </c>
      <c r="H6" s="15">
        <v>2021</v>
      </c>
      <c r="I6" s="15">
        <v>2022</v>
      </c>
      <c r="J6" s="15">
        <v>2023</v>
      </c>
    </row>
    <row r="7" spans="2:10" x14ac:dyDescent="0.55000000000000004">
      <c r="B7" s="11" t="s">
        <v>25</v>
      </c>
      <c r="C7" s="45">
        <f t="shared" ref="C7:D10" si="0">C$11</f>
        <v>2.2277835611663641</v>
      </c>
      <c r="D7" s="45">
        <f t="shared" si="0"/>
        <v>2.0556754613999999</v>
      </c>
      <c r="F7" s="45">
        <f t="shared" ref="F7:J10" si="1">F$11</f>
        <v>1.99</v>
      </c>
      <c r="G7" s="45">
        <f t="shared" si="1"/>
        <v>1.93</v>
      </c>
      <c r="H7" s="45">
        <f t="shared" si="1"/>
        <v>1.87</v>
      </c>
      <c r="I7" s="45">
        <f t="shared" si="1"/>
        <v>1.81</v>
      </c>
      <c r="J7" s="45">
        <f t="shared" si="1"/>
        <v>1.76</v>
      </c>
    </row>
    <row r="8" spans="2:10" x14ac:dyDescent="0.55000000000000004">
      <c r="B8" s="90" t="s">
        <v>26</v>
      </c>
      <c r="C8" s="45">
        <f t="shared" si="0"/>
        <v>2.2277835611663641</v>
      </c>
      <c r="D8" s="45">
        <f t="shared" si="0"/>
        <v>2.0556754613999999</v>
      </c>
      <c r="F8" s="45">
        <f t="shared" si="1"/>
        <v>1.99</v>
      </c>
      <c r="G8" s="45">
        <f t="shared" si="1"/>
        <v>1.93</v>
      </c>
      <c r="H8" s="45">
        <f t="shared" si="1"/>
        <v>1.87</v>
      </c>
      <c r="I8" s="45">
        <f t="shared" si="1"/>
        <v>1.81</v>
      </c>
      <c r="J8" s="45">
        <f t="shared" si="1"/>
        <v>1.76</v>
      </c>
    </row>
    <row r="9" spans="2:10" x14ac:dyDescent="0.55000000000000004">
      <c r="B9" s="90" t="s">
        <v>27</v>
      </c>
      <c r="C9" s="45">
        <f t="shared" si="0"/>
        <v>2.2277835611663641</v>
      </c>
      <c r="D9" s="45">
        <f t="shared" si="0"/>
        <v>2.0556754613999999</v>
      </c>
      <c r="F9" s="45">
        <f t="shared" si="1"/>
        <v>1.99</v>
      </c>
      <c r="G9" s="45">
        <f t="shared" si="1"/>
        <v>1.93</v>
      </c>
      <c r="H9" s="45">
        <f t="shared" si="1"/>
        <v>1.87</v>
      </c>
      <c r="I9" s="45">
        <f t="shared" si="1"/>
        <v>1.81</v>
      </c>
      <c r="J9" s="45">
        <f t="shared" si="1"/>
        <v>1.76</v>
      </c>
    </row>
    <row r="10" spans="2:10" x14ac:dyDescent="0.55000000000000004">
      <c r="B10" s="90" t="s">
        <v>28</v>
      </c>
      <c r="C10" s="45">
        <f t="shared" si="0"/>
        <v>2.2277835611663641</v>
      </c>
      <c r="D10" s="45">
        <f t="shared" si="0"/>
        <v>2.0556754613999999</v>
      </c>
      <c r="F10" s="45">
        <f t="shared" si="1"/>
        <v>1.99</v>
      </c>
      <c r="G10" s="45">
        <f t="shared" si="1"/>
        <v>1.93</v>
      </c>
      <c r="H10" s="45">
        <f t="shared" si="1"/>
        <v>1.87</v>
      </c>
      <c r="I10" s="45">
        <f t="shared" si="1"/>
        <v>1.81</v>
      </c>
      <c r="J10" s="45">
        <f t="shared" si="1"/>
        <v>1.76</v>
      </c>
    </row>
    <row r="11" spans="2:10" x14ac:dyDescent="0.55000000000000004">
      <c r="B11" s="90" t="s">
        <v>29</v>
      </c>
      <c r="C11" s="45">
        <f>2.14/(1-0.01)^4</f>
        <v>2.2277835611663641</v>
      </c>
      <c r="D11" s="45">
        <f>2.14*(1-0.01)^4</f>
        <v>2.0556754613999999</v>
      </c>
      <c r="F11" s="45">
        <v>1.99</v>
      </c>
      <c r="G11" s="45">
        <v>1.93</v>
      </c>
      <c r="H11" s="45">
        <v>1.87</v>
      </c>
      <c r="I11" s="45">
        <v>1.81</v>
      </c>
      <c r="J11" s="45">
        <v>1.76</v>
      </c>
    </row>
    <row r="12" spans="2:10" x14ac:dyDescent="0.55000000000000004">
      <c r="B12" s="93" t="s">
        <v>30</v>
      </c>
      <c r="C12" s="46">
        <f>C$11</f>
        <v>2.2277835611663641</v>
      </c>
      <c r="D12" s="46">
        <f>D$11</f>
        <v>2.0556754613999999</v>
      </c>
      <c r="F12" s="46">
        <f t="shared" ref="F12:J12" si="2">F$11</f>
        <v>1.99</v>
      </c>
      <c r="G12" s="46">
        <f t="shared" si="2"/>
        <v>1.93</v>
      </c>
      <c r="H12" s="46">
        <f t="shared" si="2"/>
        <v>1.87</v>
      </c>
      <c r="I12" s="46">
        <f t="shared" si="2"/>
        <v>1.81</v>
      </c>
      <c r="J12" s="46">
        <f t="shared" si="2"/>
        <v>1.76</v>
      </c>
    </row>
    <row r="13" spans="2:10" x14ac:dyDescent="0.55000000000000004">
      <c r="B13" s="94" t="s">
        <v>62</v>
      </c>
      <c r="C13" s="49" t="s">
        <v>167</v>
      </c>
      <c r="J13" s="95"/>
    </row>
    <row r="14" spans="2:10" x14ac:dyDescent="0.55000000000000004">
      <c r="B14" s="94"/>
      <c r="C14" s="32" t="s">
        <v>259</v>
      </c>
    </row>
    <row r="15" spans="2:10" x14ac:dyDescent="0.55000000000000004">
      <c r="B15" s="94"/>
      <c r="C15" s="32" t="s">
        <v>257</v>
      </c>
    </row>
    <row r="16" spans="2:10" x14ac:dyDescent="0.55000000000000004">
      <c r="B16" s="94"/>
      <c r="C16" s="49" t="s">
        <v>260</v>
      </c>
    </row>
    <row r="17" spans="2:16" x14ac:dyDescent="0.55000000000000004">
      <c r="C17" s="49"/>
    </row>
    <row r="18" spans="2:16" x14ac:dyDescent="0.55000000000000004">
      <c r="B18" s="34" t="s">
        <v>94</v>
      </c>
      <c r="C18" s="44">
        <v>2010</v>
      </c>
      <c r="D18" s="38">
        <v>2018</v>
      </c>
      <c r="F18" s="38">
        <v>2019</v>
      </c>
      <c r="G18" s="38">
        <v>2020</v>
      </c>
      <c r="H18" s="38">
        <v>2021</v>
      </c>
      <c r="I18" s="38">
        <v>2022</v>
      </c>
      <c r="J18" s="38">
        <v>2023</v>
      </c>
    </row>
    <row r="19" spans="2:16" x14ac:dyDescent="0.55000000000000004">
      <c r="B19" s="11" t="s">
        <v>25</v>
      </c>
      <c r="C19" s="47">
        <f t="shared" ref="C19:D22" si="3">AVERAGE(C$23:C$24)</f>
        <v>1.7663521647886522</v>
      </c>
      <c r="D19" s="47">
        <f t="shared" si="3"/>
        <v>1.6298920885499999</v>
      </c>
      <c r="F19" s="47">
        <f t="shared" ref="F19:J22" si="4">AVERAGE(F$23:F$24)</f>
        <v>1.59</v>
      </c>
      <c r="G19" s="47">
        <f t="shared" si="4"/>
        <v>1.56</v>
      </c>
      <c r="H19" s="47">
        <f t="shared" si="4"/>
        <v>1.53</v>
      </c>
      <c r="I19" s="47">
        <f t="shared" si="4"/>
        <v>1.5</v>
      </c>
      <c r="J19" s="47">
        <f t="shared" si="4"/>
        <v>1.47</v>
      </c>
    </row>
    <row r="20" spans="2:16" x14ac:dyDescent="0.55000000000000004">
      <c r="B20" s="90" t="s">
        <v>26</v>
      </c>
      <c r="C20" s="45">
        <f t="shared" si="3"/>
        <v>1.7663521647886522</v>
      </c>
      <c r="D20" s="45">
        <f t="shared" si="3"/>
        <v>1.6298920885499999</v>
      </c>
      <c r="F20" s="45">
        <f t="shared" si="4"/>
        <v>1.59</v>
      </c>
      <c r="G20" s="45">
        <f t="shared" si="4"/>
        <v>1.56</v>
      </c>
      <c r="H20" s="45">
        <f t="shared" si="4"/>
        <v>1.53</v>
      </c>
      <c r="I20" s="45">
        <f t="shared" si="4"/>
        <v>1.5</v>
      </c>
      <c r="J20" s="45">
        <f t="shared" si="4"/>
        <v>1.47</v>
      </c>
    </row>
    <row r="21" spans="2:16" x14ac:dyDescent="0.55000000000000004">
      <c r="B21" s="90" t="s">
        <v>27</v>
      </c>
      <c r="C21" s="45">
        <f t="shared" si="3"/>
        <v>1.7663521647886522</v>
      </c>
      <c r="D21" s="45">
        <f t="shared" si="3"/>
        <v>1.6298920885499999</v>
      </c>
      <c r="F21" s="45">
        <f t="shared" si="4"/>
        <v>1.59</v>
      </c>
      <c r="G21" s="45">
        <f t="shared" si="4"/>
        <v>1.56</v>
      </c>
      <c r="H21" s="45">
        <f t="shared" si="4"/>
        <v>1.53</v>
      </c>
      <c r="I21" s="45">
        <f t="shared" si="4"/>
        <v>1.5</v>
      </c>
      <c r="J21" s="45">
        <f t="shared" si="4"/>
        <v>1.47</v>
      </c>
    </row>
    <row r="22" spans="2:16" x14ac:dyDescent="0.55000000000000004">
      <c r="B22" s="90" t="s">
        <v>28</v>
      </c>
      <c r="C22" s="45">
        <f t="shared" si="3"/>
        <v>1.7663521647886522</v>
      </c>
      <c r="D22" s="45">
        <f t="shared" si="3"/>
        <v>1.6298920885499999</v>
      </c>
      <c r="F22" s="45">
        <f t="shared" si="4"/>
        <v>1.59</v>
      </c>
      <c r="G22" s="45">
        <f t="shared" si="4"/>
        <v>1.56</v>
      </c>
      <c r="H22" s="45">
        <f t="shared" si="4"/>
        <v>1.53</v>
      </c>
      <c r="I22" s="45">
        <f t="shared" si="4"/>
        <v>1.5</v>
      </c>
      <c r="J22" s="45">
        <f t="shared" si="4"/>
        <v>1.47</v>
      </c>
    </row>
    <row r="23" spans="2:16" x14ac:dyDescent="0.55000000000000004">
      <c r="B23" s="90" t="s">
        <v>29</v>
      </c>
      <c r="C23" s="45">
        <f>1.71/(1-0.01)^4</f>
        <v>1.7801448082217206</v>
      </c>
      <c r="D23" s="45">
        <f>1.71*(1-0.01)^4</f>
        <v>1.6426191770999998</v>
      </c>
      <c r="F23" s="45">
        <v>1.6</v>
      </c>
      <c r="G23" s="45">
        <v>1.57</v>
      </c>
      <c r="H23" s="45">
        <v>1.54</v>
      </c>
      <c r="I23" s="45">
        <v>1.51</v>
      </c>
      <c r="J23" s="45">
        <v>1.48</v>
      </c>
      <c r="L23" s="95"/>
      <c r="M23" s="95"/>
      <c r="N23" s="95"/>
      <c r="O23" s="95"/>
      <c r="P23" s="95"/>
    </row>
    <row r="24" spans="2:16" x14ac:dyDescent="0.55000000000000004">
      <c r="B24" s="93" t="s">
        <v>30</v>
      </c>
      <c r="C24" s="46">
        <f>1.65/(1-0.01)^6</f>
        <v>1.7525595213555838</v>
      </c>
      <c r="D24" s="46">
        <f>1.65*(1-0.01)^2</f>
        <v>1.617165</v>
      </c>
      <c r="F24" s="46">
        <v>1.58</v>
      </c>
      <c r="G24" s="46">
        <v>1.55</v>
      </c>
      <c r="H24" s="46">
        <v>1.52</v>
      </c>
      <c r="I24" s="46">
        <v>1.49</v>
      </c>
      <c r="J24" s="46">
        <v>1.46</v>
      </c>
      <c r="L24" s="95"/>
      <c r="M24" s="95"/>
      <c r="N24" s="95"/>
      <c r="O24" s="95"/>
      <c r="P24" s="95"/>
    </row>
    <row r="25" spans="2:16" x14ac:dyDescent="0.55000000000000004">
      <c r="B25" s="94" t="s">
        <v>62</v>
      </c>
      <c r="C25" s="32" t="s">
        <v>261</v>
      </c>
      <c r="J25" s="95"/>
    </row>
    <row r="26" spans="2:16" x14ac:dyDescent="0.55000000000000004">
      <c r="B26" s="94"/>
      <c r="C26" s="32" t="s">
        <v>263</v>
      </c>
    </row>
    <row r="27" spans="2:16" x14ac:dyDescent="0.55000000000000004">
      <c r="B27" s="94"/>
      <c r="C27" s="32" t="s">
        <v>262</v>
      </c>
    </row>
    <row r="28" spans="2:16" x14ac:dyDescent="0.55000000000000004">
      <c r="B28" s="94"/>
      <c r="C28" s="49" t="s">
        <v>264</v>
      </c>
    </row>
    <row r="29" spans="2:16" x14ac:dyDescent="0.55000000000000004">
      <c r="B29" s="94"/>
      <c r="C29" s="49" t="s">
        <v>265</v>
      </c>
    </row>
    <row r="30" spans="2:16" x14ac:dyDescent="0.55000000000000004">
      <c r="B30" s="94"/>
      <c r="C30" s="49" t="s">
        <v>266</v>
      </c>
    </row>
    <row r="31" spans="2:16" x14ac:dyDescent="0.55000000000000004">
      <c r="B31" s="94"/>
      <c r="C31" s="26"/>
    </row>
    <row r="32" spans="2:16" x14ac:dyDescent="0.55000000000000004">
      <c r="B32" s="34" t="s">
        <v>95</v>
      </c>
      <c r="C32" s="44">
        <v>2010</v>
      </c>
      <c r="D32" s="38">
        <v>2018</v>
      </c>
      <c r="F32" s="38">
        <v>2019</v>
      </c>
      <c r="G32" s="38">
        <v>2020</v>
      </c>
      <c r="H32" s="38">
        <v>2021</v>
      </c>
      <c r="I32" s="38">
        <v>2022</v>
      </c>
      <c r="J32" s="38">
        <v>2023</v>
      </c>
    </row>
    <row r="33" spans="2:10" x14ac:dyDescent="0.55000000000000004">
      <c r="B33" s="11" t="s">
        <v>25</v>
      </c>
      <c r="C33" s="47">
        <f>C37*1.062</f>
        <v>1.3002098141022045</v>
      </c>
      <c r="D33" s="47">
        <f>D37*1.062</f>
        <v>1.2491025235965001</v>
      </c>
      <c r="F33" s="47">
        <f>D33*(1-0.005)</f>
        <v>1.2428570109785175</v>
      </c>
      <c r="G33" s="47">
        <f>F33*(1-0.005)</f>
        <v>1.236642725923625</v>
      </c>
      <c r="H33" s="47">
        <f t="shared" ref="H33:J33" si="5">G33*(1-0.005)</f>
        <v>1.230459512294007</v>
      </c>
      <c r="I33" s="47">
        <f t="shared" si="5"/>
        <v>1.2243072147325369</v>
      </c>
      <c r="J33" s="47">
        <f t="shared" si="5"/>
        <v>1.2181856786588743</v>
      </c>
    </row>
    <row r="34" spans="2:10" x14ac:dyDescent="0.55000000000000004">
      <c r="B34" s="90" t="s">
        <v>26</v>
      </c>
      <c r="C34" s="45">
        <f>C37*1.022</f>
        <v>1.251237693043741</v>
      </c>
      <c r="D34" s="45">
        <f>D37*1.022</f>
        <v>1.2020553475664999</v>
      </c>
      <c r="F34" s="45">
        <f t="shared" ref="F34:F38" si="6">D34*(1-0.005)</f>
        <v>1.1960450708286674</v>
      </c>
      <c r="G34" s="45">
        <f t="shared" ref="G34:J38" si="7">F34*(1-0.005)</f>
        <v>1.190064845474524</v>
      </c>
      <c r="H34" s="45">
        <f t="shared" si="7"/>
        <v>1.1841145212471513</v>
      </c>
      <c r="I34" s="45">
        <f t="shared" si="7"/>
        <v>1.1781939486409156</v>
      </c>
      <c r="J34" s="45">
        <f t="shared" si="7"/>
        <v>1.1723029788977111</v>
      </c>
    </row>
    <row r="35" spans="2:10" x14ac:dyDescent="0.55000000000000004">
      <c r="B35" s="90" t="s">
        <v>27</v>
      </c>
      <c r="C35" s="45">
        <f>C37*0.995</f>
        <v>1.2181815113292782</v>
      </c>
      <c r="D35" s="45">
        <f>D37*0.995</f>
        <v>1.1702985037462499</v>
      </c>
      <c r="F35" s="45">
        <f t="shared" si="6"/>
        <v>1.1644470112275187</v>
      </c>
      <c r="G35" s="45">
        <f t="shared" si="7"/>
        <v>1.158624776171381</v>
      </c>
      <c r="H35" s="45">
        <f t="shared" si="7"/>
        <v>1.1528316522905242</v>
      </c>
      <c r="I35" s="45">
        <f t="shared" si="7"/>
        <v>1.1470674940290715</v>
      </c>
      <c r="J35" s="45">
        <f t="shared" si="7"/>
        <v>1.1413321565589261</v>
      </c>
    </row>
    <row r="36" spans="2:10" x14ac:dyDescent="0.55000000000000004">
      <c r="B36" s="90" t="s">
        <v>28</v>
      </c>
      <c r="C36" s="45">
        <f>C37*1.02</f>
        <v>1.2487890869908178</v>
      </c>
      <c r="D36" s="45">
        <f>D37*1.02</f>
        <v>1.1997029887649999</v>
      </c>
      <c r="F36" s="45">
        <f t="shared" si="6"/>
        <v>1.1937044738211748</v>
      </c>
      <c r="G36" s="45">
        <f t="shared" si="7"/>
        <v>1.1877359514520689</v>
      </c>
      <c r="H36" s="45">
        <f t="shared" si="7"/>
        <v>1.1817972716948086</v>
      </c>
      <c r="I36" s="45">
        <f t="shared" si="7"/>
        <v>1.1758882853363346</v>
      </c>
      <c r="J36" s="45">
        <f t="shared" si="7"/>
        <v>1.170008843909653</v>
      </c>
    </row>
    <row r="37" spans="2:10" x14ac:dyDescent="0.55000000000000004">
      <c r="B37" s="90" t="s">
        <v>29</v>
      </c>
      <c r="C37" s="45">
        <f>1.2/(1-0.005)^4</f>
        <v>1.2243030264615862</v>
      </c>
      <c r="D37" s="45">
        <f>1.2*(1-0.005)^4</f>
        <v>1.1761794007499999</v>
      </c>
      <c r="F37" s="45">
        <f t="shared" si="6"/>
        <v>1.1702985037462499</v>
      </c>
      <c r="G37" s="45">
        <f t="shared" si="7"/>
        <v>1.1644470112275187</v>
      </c>
      <c r="H37" s="45">
        <f t="shared" si="7"/>
        <v>1.158624776171381</v>
      </c>
      <c r="I37" s="45">
        <f t="shared" si="7"/>
        <v>1.1528316522905242</v>
      </c>
      <c r="J37" s="45">
        <f t="shared" si="7"/>
        <v>1.1470674940290715</v>
      </c>
    </row>
    <row r="38" spans="2:10" x14ac:dyDescent="0.55000000000000004">
      <c r="B38" s="93" t="s">
        <v>30</v>
      </c>
      <c r="C38" s="46">
        <f>C37*1.004</f>
        <v>1.2292002385674325</v>
      </c>
      <c r="D38" s="46">
        <f>D37*1.004</f>
        <v>1.1808841183529999</v>
      </c>
      <c r="F38" s="46">
        <f t="shared" si="6"/>
        <v>1.1749796977612348</v>
      </c>
      <c r="G38" s="46">
        <f t="shared" si="7"/>
        <v>1.1691047992724286</v>
      </c>
      <c r="H38" s="46">
        <f t="shared" si="7"/>
        <v>1.1632592752760664</v>
      </c>
      <c r="I38" s="46">
        <f t="shared" si="7"/>
        <v>1.1574429788996861</v>
      </c>
      <c r="J38" s="46">
        <f t="shared" si="7"/>
        <v>1.1516557640051877</v>
      </c>
    </row>
    <row r="39" spans="2:10" x14ac:dyDescent="0.55000000000000004">
      <c r="B39" s="94" t="s">
        <v>62</v>
      </c>
      <c r="C39" s="32" t="s">
        <v>267</v>
      </c>
      <c r="J39" s="95"/>
    </row>
    <row r="40" spans="2:10" x14ac:dyDescent="0.55000000000000004">
      <c r="C40" s="32" t="s">
        <v>269</v>
      </c>
    </row>
    <row r="41" spans="2:10" x14ac:dyDescent="0.55000000000000004">
      <c r="C41" s="32" t="s">
        <v>268</v>
      </c>
    </row>
    <row r="42" spans="2:10" x14ac:dyDescent="0.55000000000000004">
      <c r="C42" s="32" t="s">
        <v>270</v>
      </c>
    </row>
    <row r="43" spans="2:10" x14ac:dyDescent="0.55000000000000004">
      <c r="C43" s="49"/>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heetViews>
  <sheetFormatPr defaultRowHeight="14.4" x14ac:dyDescent="0.55000000000000004"/>
  <cols>
    <col min="1" max="1" width="2.68359375" customWidth="1"/>
    <col min="2" max="2" width="56.89453125" customWidth="1"/>
    <col min="3" max="10" width="7.26171875" customWidth="1"/>
  </cols>
  <sheetData>
    <row r="1" spans="1:10" x14ac:dyDescent="0.55000000000000004">
      <c r="A1" s="3"/>
    </row>
    <row r="2" spans="1:10" x14ac:dyDescent="0.55000000000000004">
      <c r="B2" s="3" t="s">
        <v>168</v>
      </c>
    </row>
    <row r="3" spans="1:10" x14ac:dyDescent="0.55000000000000004">
      <c r="C3" s="8" t="s">
        <v>111</v>
      </c>
      <c r="D3" s="1"/>
      <c r="F3" s="8" t="s">
        <v>234</v>
      </c>
      <c r="G3" s="1"/>
      <c r="H3" s="1"/>
      <c r="I3" s="1"/>
      <c r="J3" s="1"/>
    </row>
    <row r="4" spans="1:10" x14ac:dyDescent="0.55000000000000004">
      <c r="B4" s="14" t="s">
        <v>72</v>
      </c>
      <c r="C4" s="34">
        <v>2010</v>
      </c>
      <c r="D4" s="15">
        <v>2018</v>
      </c>
      <c r="F4" s="15">
        <v>2019</v>
      </c>
      <c r="G4" s="15">
        <v>2020</v>
      </c>
      <c r="H4" s="15">
        <v>2021</v>
      </c>
      <c r="I4" s="15">
        <v>2022</v>
      </c>
      <c r="J4" s="15">
        <v>2023</v>
      </c>
    </row>
    <row r="5" spans="1:10" x14ac:dyDescent="0.55000000000000004">
      <c r="B5" t="s">
        <v>25</v>
      </c>
      <c r="C5" s="36">
        <f>('Regional Server Energy'!C6+'Regional Storage Energy'!C6+'Regional Network Energy'!C6)*('Regional PUE'!C7-1)</f>
        <v>29.935025572826181</v>
      </c>
      <c r="D5" s="36">
        <f>('Regional Server Energy'!D6+'Regional Storage Energy'!D6+'Regional Network Energy'!D6)*('Regional PUE'!D7-1)</f>
        <v>9.7661382433274859</v>
      </c>
      <c r="F5" s="36">
        <f>('Regional Server Energy'!F6+'Regional Storage Energy'!F6+'Regional Network Energy'!F6)*('Regional PUE'!F7-1)</f>
        <v>8.1746188775945896</v>
      </c>
      <c r="G5" s="36">
        <f>('Regional Server Energy'!G6+'Regional Storage Energy'!G6+'Regional Network Energy'!G6)*('Regional PUE'!G7-1)</f>
        <v>6.4518670045752788</v>
      </c>
      <c r="H5" s="36">
        <f>('Regional Server Energy'!H6+'Regional Storage Energy'!H6+'Regional Network Energy'!H6)*('Regional PUE'!H7-1)</f>
        <v>5.168696635441667</v>
      </c>
      <c r="I5" s="36">
        <f>('Regional Server Energy'!I6+'Regional Storage Energy'!I6+'Regional Network Energy'!I6)*('Regional PUE'!I7-1)</f>
        <v>4.4562446616101203</v>
      </c>
      <c r="J5" s="36">
        <f>('Regional Server Energy'!J6+'Regional Storage Energy'!J6+'Regional Network Energy'!J6)*('Regional PUE'!J7-1)</f>
        <v>3.9037855922803066</v>
      </c>
    </row>
    <row r="6" spans="1:10" x14ac:dyDescent="0.55000000000000004">
      <c r="B6" s="20" t="s">
        <v>26</v>
      </c>
      <c r="C6" s="36">
        <f>('Regional Server Energy'!C7+'Regional Storage Energy'!C7+'Regional Network Energy'!C7)*('Regional PUE'!C8-1)</f>
        <v>2.9348064287084492</v>
      </c>
      <c r="D6" s="36">
        <f>('Regional Server Energy'!D7+'Regional Storage Energy'!D7+'Regional Network Energy'!D7)*('Regional PUE'!D8-1)</f>
        <v>0.89597598562637548</v>
      </c>
      <c r="F6" s="36">
        <f>('Regional Server Energy'!F7+'Regional Storage Energy'!F7+'Regional Network Energy'!F7)*('Regional PUE'!F8-1)</f>
        <v>0.69407141413539031</v>
      </c>
      <c r="G6" s="36">
        <f>('Regional Server Energy'!G7+'Regional Storage Energy'!G7+'Regional Network Energy'!G7)*('Regional PUE'!G8-1)</f>
        <v>0.54331511617476069</v>
      </c>
      <c r="H6" s="36">
        <f>('Regional Server Energy'!H7+'Regional Storage Energy'!H7+'Regional Network Energy'!H7)*('Regional PUE'!H8-1)</f>
        <v>0.49818762751244972</v>
      </c>
      <c r="I6" s="36">
        <f>('Regional Server Energy'!I7+'Regional Storage Energy'!I7+'Regional Network Energy'!I7)*('Regional PUE'!I8-1)</f>
        <v>0.42951755774555356</v>
      </c>
      <c r="J6" s="36">
        <f>('Regional Server Energy'!J7+'Regional Storage Energy'!J7+'Regional Network Energy'!J7)*('Regional PUE'!J8-1)</f>
        <v>0.37626849082219815</v>
      </c>
    </row>
    <row r="7" spans="1:10" x14ac:dyDescent="0.55000000000000004">
      <c r="B7" s="20" t="s">
        <v>27</v>
      </c>
      <c r="C7" s="36">
        <f>('Regional Server Energy'!C8+'Regional Storage Energy'!C8+'Regional Network Energy'!C8)*('Regional PUE'!C9-1)</f>
        <v>2.9348064287084492</v>
      </c>
      <c r="D7" s="36">
        <f>('Regional Server Energy'!D8+'Regional Storage Energy'!D8+'Regional Network Energy'!D8)*('Regional PUE'!D9-1)</f>
        <v>0.71678078850109961</v>
      </c>
      <c r="F7" s="36">
        <f>('Regional Server Energy'!F8+'Regional Storage Energy'!F8+'Regional Network Energy'!F8)*('Regional PUE'!F9-1)</f>
        <v>0.53983332210530288</v>
      </c>
      <c r="G7" s="36">
        <f>('Regional Server Energy'!G8+'Regional Storage Energy'!G8+'Regional Network Energy'!G8)*('Regional PUE'!G9-1)</f>
        <v>0.47540072665291472</v>
      </c>
      <c r="H7" s="36">
        <f>('Regional Server Energy'!H8+'Regional Storage Energy'!H8+'Regional Network Energy'!H8)*('Regional PUE'!H9-1)</f>
        <v>0.37364072063433779</v>
      </c>
      <c r="I7" s="36">
        <f>('Regional Server Energy'!I8+'Regional Storage Energy'!I8+'Regional Network Energy'!I8)*('Regional PUE'!I9-1)</f>
        <v>0.32213816830916564</v>
      </c>
      <c r="J7" s="36">
        <f>('Regional Server Energy'!J8+'Regional Storage Energy'!J8+'Regional Network Energy'!J8)*('Regional PUE'!J9-1)</f>
        <v>0.28220136811664903</v>
      </c>
    </row>
    <row r="8" spans="1:10" x14ac:dyDescent="0.55000000000000004">
      <c r="B8" s="20" t="s">
        <v>28</v>
      </c>
      <c r="C8" s="36">
        <f>('Regional Server Energy'!C9+'Regional Storage Energy'!C9+'Regional Network Energy'!C9)*('Regional PUE'!C10-1)</f>
        <v>1.2852428153309416</v>
      </c>
      <c r="D8" s="36">
        <f>('Regional Server Energy'!D9+'Regional Storage Energy'!D9+'Regional Network Energy'!D9)*('Regional PUE'!D10-1)</f>
        <v>0.71678078850110083</v>
      </c>
      <c r="F8" s="36">
        <f>('Regional Server Energy'!F9+'Regional Storage Energy'!F9+'Regional Network Energy'!F9)*('Regional PUE'!F10-1)</f>
        <v>0.53983332210530288</v>
      </c>
      <c r="G8" s="36">
        <f>('Regional Server Energy'!G9+'Regional Storage Energy'!G9+'Regional Network Energy'!G9)*('Regional PUE'!G10-1)</f>
        <v>0.47540072665291472</v>
      </c>
      <c r="H8" s="36">
        <f>('Regional Server Energy'!H9+'Regional Storage Energy'!H9+'Regional Network Energy'!H9)*('Regional PUE'!H10-1)</f>
        <v>0.37364072063433668</v>
      </c>
      <c r="I8" s="36">
        <f>('Regional Server Energy'!I9+'Regional Storage Energy'!I9+'Regional Network Energy'!I9)*('Regional PUE'!I10-1)</f>
        <v>0.32213816830916475</v>
      </c>
      <c r="J8" s="36">
        <f>('Regional Server Energy'!J9+'Regional Storage Energy'!J9+'Regional Network Energy'!J9)*('Regional PUE'!J10-1)</f>
        <v>0.28220136811664825</v>
      </c>
    </row>
    <row r="9" spans="1:10" x14ac:dyDescent="0.55000000000000004">
      <c r="B9" s="20" t="s">
        <v>29</v>
      </c>
      <c r="C9" s="36">
        <f>('Regional Server Energy'!C10+'Regional Storage Energy'!C10+'Regional Network Energy'!C10)*('Regional PUE'!C11-1)</f>
        <v>33.624785655264454</v>
      </c>
      <c r="D9" s="36">
        <f>('Regional Server Energy'!D10+'Regional Storage Energy'!D10+'Regional Network Energy'!D10)*('Regional PUE'!D11-1)</f>
        <v>17.023543726901135</v>
      </c>
      <c r="F9" s="36">
        <f>('Regional Server Energy'!F10+'Regional Storage Energy'!F10+'Regional Network Energy'!F10)*('Regional PUE'!F11-1)</f>
        <v>13.881428282707802</v>
      </c>
      <c r="G9" s="36">
        <f>('Regional Server Energy'!G10+'Regional Storage Energy'!G10+'Regional Network Energy'!G10)*('Regional PUE'!G11-1)</f>
        <v>11.273788660626273</v>
      </c>
      <c r="H9" s="36">
        <f>('Regional Server Energy'!H10+'Regional Storage Energy'!H10+'Regional Network Energy'!H10)*('Regional PUE'!H11-1)</f>
        <v>9.2787445624193694</v>
      </c>
      <c r="I9" s="36">
        <f>('Regional Server Energy'!I10+'Regional Storage Energy'!I10+'Regional Network Energy'!I10)*('Regional PUE'!I11-1)</f>
        <v>7.9997645130109314</v>
      </c>
      <c r="J9" s="36">
        <f>('Regional Server Energy'!J10+'Regional Storage Energy'!J10+'Regional Network Energy'!J10)*('Regional PUE'!J11-1)</f>
        <v>7.008000641563437</v>
      </c>
    </row>
    <row r="10" spans="1:10" x14ac:dyDescent="0.55000000000000004">
      <c r="B10" s="20" t="s">
        <v>30</v>
      </c>
      <c r="C10" s="36">
        <f>('Regional Server Energy'!C11+'Regional Storage Energy'!C11+'Regional Network Energy'!C11)*('Regional PUE'!C12-1)</f>
        <v>20.92820584334163</v>
      </c>
      <c r="D10" s="36">
        <f>('Regional Server Energy'!D11+'Regional Storage Energy'!D11+'Regional Network Energy'!D11)*('Regional PUE'!D12-1)</f>
        <v>7.5261982792615587</v>
      </c>
      <c r="F10" s="36">
        <f>('Regional Server Energy'!F11+'Regional Storage Energy'!F11+'Regional Network Energy'!F11)*('Regional PUE'!F12-1)</f>
        <v>6.3237617732335556</v>
      </c>
      <c r="G10" s="36">
        <f>('Regional Server Energy'!G11+'Regional Storage Energy'!G11+'Regional Network Energy'!G11)*('Regional PUE'!G12-1)</f>
        <v>5.4331511617476025</v>
      </c>
      <c r="H10" s="36">
        <f>('Regional Server Energy'!H11+'Regional Storage Energy'!H11+'Regional Network Energy'!H11)*('Regional PUE'!H12-1)</f>
        <v>4.7950559148073246</v>
      </c>
      <c r="I10" s="36">
        <f>('Regional Server Energy'!I11+'Regional Storage Energy'!I11+'Regional Network Energy'!I11)*('Regional PUE'!I12-1)</f>
        <v>4.1341064933009521</v>
      </c>
      <c r="J10" s="36">
        <f>('Regional Server Energy'!J11+'Regional Storage Energy'!J11+'Regional Network Energy'!J11)*('Regional PUE'!J12-1)</f>
        <v>3.6215842241636556</v>
      </c>
    </row>
    <row r="11" spans="1:10" x14ac:dyDescent="0.55000000000000004">
      <c r="B11" s="7" t="s">
        <v>31</v>
      </c>
      <c r="C11" s="39">
        <f t="shared" ref="C11" si="0">SUM(C5:C10)</f>
        <v>91.642872744180096</v>
      </c>
      <c r="D11" s="39">
        <f t="shared" ref="D11:H11" si="1">SUM(D5:D10)</f>
        <v>36.645417812118751</v>
      </c>
      <c r="F11" s="39">
        <f t="shared" si="1"/>
        <v>30.153546991881942</v>
      </c>
      <c r="G11" s="39">
        <f t="shared" si="1"/>
        <v>24.652923396429742</v>
      </c>
      <c r="H11" s="39">
        <f t="shared" si="1"/>
        <v>20.487966181449487</v>
      </c>
      <c r="I11" s="39">
        <f t="shared" ref="I11:J11" si="2">SUM(I5:I10)</f>
        <v>17.663909562285887</v>
      </c>
      <c r="J11" s="39">
        <f t="shared" si="2"/>
        <v>15.474041685062893</v>
      </c>
    </row>
    <row r="12" spans="1:10" x14ac:dyDescent="0.55000000000000004">
      <c r="C12" s="11"/>
      <c r="D12" s="11"/>
      <c r="F12" s="11"/>
      <c r="G12" s="11"/>
      <c r="H12" s="11"/>
      <c r="I12" s="11"/>
      <c r="J12" s="11"/>
    </row>
    <row r="13" spans="1:10" ht="14.5" customHeight="1" x14ac:dyDescent="0.55000000000000004">
      <c r="B13" s="14" t="s">
        <v>73</v>
      </c>
      <c r="C13" s="34">
        <v>2010</v>
      </c>
      <c r="D13" s="15">
        <v>2018</v>
      </c>
      <c r="F13" s="15">
        <v>2019</v>
      </c>
      <c r="G13" s="15">
        <v>2020</v>
      </c>
      <c r="H13" s="15">
        <v>2021</v>
      </c>
      <c r="I13" s="15">
        <v>2022</v>
      </c>
      <c r="J13" s="15">
        <v>2023</v>
      </c>
    </row>
    <row r="14" spans="1:10" x14ac:dyDescent="0.55000000000000004">
      <c r="B14" t="s">
        <v>25</v>
      </c>
      <c r="C14" s="36">
        <f>('Regional Server Energy'!C15+'Regional Storage Energy'!C15+'Regional Network Energy'!C15)*('Regional PUE'!C19-1)</f>
        <v>1.7666920489359932</v>
      </c>
      <c r="D14" s="36">
        <f>('Regional Server Energy'!D15+'Regional Storage Energy'!D15+'Regional Network Energy'!D15)*('Regional PUE'!D19-1)</f>
        <v>9.6338361046661785</v>
      </c>
      <c r="F14" s="36">
        <f>('Regional Server Energy'!F15+'Regional Storage Energy'!F15+'Regional Network Energy'!F15)*('Regional PUE'!F19-1)</f>
        <v>8.9296733524861871</v>
      </c>
      <c r="G14" s="36">
        <f>('Regional Server Energy'!G15+'Regional Storage Energy'!G15+'Regional Network Energy'!G15)*('Regional PUE'!G19-1)</f>
        <v>8.6797522946912427</v>
      </c>
      <c r="H14" s="36">
        <f>('Regional Server Energy'!H15+'Regional Storage Energy'!H15+'Regional Network Energy'!H15)*('Regional PUE'!H19-1)</f>
        <v>7.9190117859937788</v>
      </c>
      <c r="I14" s="36">
        <f>('Regional Server Energy'!I15+'Regional Storage Energy'!I15+'Regional Network Energy'!I15)*('Regional PUE'!I19-1)</f>
        <v>8.0813690603455637</v>
      </c>
      <c r="J14" s="36">
        <f>('Regional Server Energy'!J15+'Regional Storage Energy'!J15+'Regional Network Energy'!J15)*('Regional PUE'!J19-1)</f>
        <v>8.2293799355210204</v>
      </c>
    </row>
    <row r="15" spans="1:10" x14ac:dyDescent="0.55000000000000004">
      <c r="B15" s="20" t="s">
        <v>26</v>
      </c>
      <c r="C15" s="36">
        <f>('Regional Server Energy'!C16+'Regional Storage Energy'!C16+'Regional Network Energy'!C16)*('Regional PUE'!C20-1)</f>
        <v>7.6812697779825752E-3</v>
      </c>
      <c r="D15" s="36">
        <f>('Regional Server Energy'!D16+'Regional Storage Energy'!D16+'Regional Network Energy'!D16)*('Regional PUE'!D20-1)</f>
        <v>1.5807714255964527</v>
      </c>
      <c r="F15" s="36">
        <f>('Regional Server Energy'!F16+'Regional Storage Energy'!F16+'Regional Network Energy'!F16)*('Regional PUE'!F20-1)</f>
        <v>1.489987547888177</v>
      </c>
      <c r="G15" s="36">
        <f>('Regional Server Energy'!G16+'Regional Storage Energy'!G16+'Regional Network Energy'!G16)*('Regional PUE'!G20-1)</f>
        <v>1.4169203526283185</v>
      </c>
      <c r="H15" s="36">
        <f>('Regional Server Energy'!H16+'Regional Storage Energy'!H16+'Regional Network Energy'!H16)*('Regional PUE'!H20-1)</f>
        <v>1.3284100156125833</v>
      </c>
      <c r="I15" s="36">
        <f>('Regional Server Energy'!I16+'Regional Storage Energy'!I16+'Regional Network Energy'!I16)*('Regional PUE'!I20-1)</f>
        <v>1.3389522892857662</v>
      </c>
      <c r="J15" s="36">
        <f>('Regional Server Energy'!J16+'Regional Storage Energy'!J16+'Regional Network Energy'!J16)*('Regional PUE'!J20-1)</f>
        <v>1.3479360387121728</v>
      </c>
    </row>
    <row r="16" spans="1:10" x14ac:dyDescent="0.55000000000000004">
      <c r="B16" s="20" t="s">
        <v>27</v>
      </c>
      <c r="C16" s="36">
        <f>('Regional Server Energy'!C17+'Regional Storage Energy'!C17+'Regional Network Energy'!C17)*('Regional PUE'!C21-1)</f>
        <v>0</v>
      </c>
      <c r="D16" s="36">
        <f>('Regional Server Energy'!D17+'Regional Storage Energy'!D17+'Regional Network Energy'!D17)*('Regional PUE'!D21-1)</f>
        <v>0.83166984080391271</v>
      </c>
      <c r="F16" s="36">
        <f>('Regional Server Energy'!F17+'Regional Storage Energy'!F17+'Regional Network Energy'!F17)*('Regional PUE'!F21-1)</f>
        <v>0.59861231982688157</v>
      </c>
      <c r="G16" s="36">
        <f>('Regional Server Energy'!G17+'Regional Storage Energy'!G17+'Regional Network Energy'!G17)*('Regional PUE'!G21-1)</f>
        <v>0.51947985275085196</v>
      </c>
      <c r="H16" s="36">
        <f>('Regional Server Energy'!H17+'Regional Storage Energy'!H17+'Regional Network Energy'!H17)*('Regional PUE'!H21-1)</f>
        <v>0.42903485870283209</v>
      </c>
      <c r="I16" s="36">
        <f>('Regional Server Energy'!I17+'Regional Storage Energy'!I17+'Regional Network Energy'!I17)*('Regional PUE'!I21-1)</f>
        <v>0.44321362282369164</v>
      </c>
      <c r="J16" s="36">
        <f>('Regional Server Energy'!J17+'Regional Storage Energy'!J17+'Regional Network Energy'!J17)*('Regional PUE'!J21-1)</f>
        <v>0.45634167205176646</v>
      </c>
    </row>
    <row r="17" spans="2:10" x14ac:dyDescent="0.55000000000000004">
      <c r="B17" s="20" t="s">
        <v>28</v>
      </c>
      <c r="C17" s="36">
        <f>('Regional Server Energy'!C18+'Regional Storage Energy'!C18+'Regional Network Energy'!C18)*('Regional PUE'!C22-1)</f>
        <v>0</v>
      </c>
      <c r="D17" s="36">
        <f>('Regional Server Energy'!D18+'Regional Storage Energy'!D18+'Regional Network Energy'!D18)*('Regional PUE'!D22-1)</f>
        <v>1.233514663830733</v>
      </c>
      <c r="F17" s="36">
        <f>('Regional Server Energy'!F18+'Regional Storage Energy'!F18+'Regional Network Energy'!F18)*('Regional PUE'!F22-1)</f>
        <v>1.0994982546921832</v>
      </c>
      <c r="G17" s="36">
        <f>('Regional Server Energy'!G18+'Regional Storage Energy'!G18+'Regional Network Energy'!G18)*('Regional PUE'!G22-1)</f>
        <v>0.96903712910972239</v>
      </c>
      <c r="H17" s="36">
        <f>('Regional Server Energy'!H18+'Regional Storage Energy'!H18+'Regional Network Energy'!H18)*('Regional PUE'!H22-1)</f>
        <v>0.82151672463057834</v>
      </c>
      <c r="I17" s="36">
        <f>('Regional Server Energy'!I18+'Regional Storage Energy'!I18+'Regional Network Energy'!I18)*('Regional PUE'!I22-1)</f>
        <v>0.83099278286015221</v>
      </c>
      <c r="J17" s="36">
        <f>('Regional Server Energy'!J18+'Regional Storage Energy'!J18+'Regional Network Energy'!J18)*('Regional PUE'!J22-1)</f>
        <v>0.83935481484318775</v>
      </c>
    </row>
    <row r="18" spans="2:10" x14ac:dyDescent="0.55000000000000004">
      <c r="B18" s="20" t="s">
        <v>29</v>
      </c>
      <c r="C18" s="36">
        <f>('Regional Server Energy'!C19+'Regional Storage Energy'!C19+'Regional Network Energy'!C19)*('Regional PUE'!C23-1)</f>
        <v>4.7699045400265252</v>
      </c>
      <c r="D18" s="36">
        <f>('Regional Server Energy'!D19+'Regional Storage Energy'!D19+'Regional Network Energy'!D19)*('Regional PUE'!D23-1)</f>
        <v>9.8823905966364389</v>
      </c>
      <c r="F18" s="36">
        <f>('Regional Server Energy'!F19+'Regional Storage Energy'!F19+'Regional Network Energy'!F19)*('Regional PUE'!F23-1)</f>
        <v>8.8993304379238545</v>
      </c>
      <c r="G18" s="36">
        <f>('Regional Server Energy'!G19+'Regional Storage Energy'!G19+'Regional Network Energy'!G19)*('Regional PUE'!G23-1)</f>
        <v>8.8338918581460302</v>
      </c>
      <c r="H18" s="36">
        <f>('Regional Server Energy'!H19+'Regional Storage Energy'!H19+'Regional Network Energy'!H19)*('Regional PUE'!H23-1)</f>
        <v>8.5072468176353677</v>
      </c>
      <c r="I18" s="36">
        <f>('Regional Server Energy'!I19+'Regional Storage Energy'!I19+'Regional Network Energy'!I19)*('Regional PUE'!I23-1)</f>
        <v>8.674041253053435</v>
      </c>
      <c r="J18" s="36">
        <f>('Regional Server Energy'!J19+'Regional Storage Energy'!J19+'Regional Network Energy'!J19)*('Regional PUE'!J23-1)</f>
        <v>8.8278661797784999</v>
      </c>
    </row>
    <row r="19" spans="2:10" x14ac:dyDescent="0.55000000000000004">
      <c r="B19" s="20" t="s">
        <v>30</v>
      </c>
      <c r="C19" s="36">
        <f>('Regional Server Energy'!C20+'Regional Storage Energy'!C20+'Regional Network Energy'!C20)*('Regional PUE'!C24-1)</f>
        <v>1.1993408027358097</v>
      </c>
      <c r="D19" s="36">
        <f>('Regional Server Energy'!D20+'Regional Storage Energy'!D20+'Regional Network Energy'!D20)*('Regional PUE'!D24-1)</f>
        <v>5.2861065585600038</v>
      </c>
      <c r="F19" s="36">
        <f>('Regional Server Energy'!F20+'Regional Storage Energy'!F20+'Regional Network Energy'!F20)*('Regional PUE'!F24-1)</f>
        <v>4.5614436494851507</v>
      </c>
      <c r="G19" s="36">
        <f>('Regional Server Energy'!G20+'Regional Storage Energy'!G20+'Regional Network Energy'!G20)*('Regional PUE'!G24-1)</f>
        <v>4.1862472119025487</v>
      </c>
      <c r="H19" s="36">
        <f>('Regional Server Energy'!H20+'Regional Storage Energy'!H20+'Regional Network Energy'!H20)*('Regional PUE'!H24-1)</f>
        <v>3.7175457607479316</v>
      </c>
      <c r="I19" s="36">
        <f>('Regional Server Energy'!I20+'Regional Storage Energy'!I20+'Regional Network Energy'!I20)*('Regional PUE'!I24-1)</f>
        <v>3.7903884777598202</v>
      </c>
      <c r="J19" s="36">
        <f>('Regional Server Energy'!J20+'Regional Storage Energy'!J20+'Regional Network Energy'!J20)*('Regional PUE'!J24-1)</f>
        <v>3.855713478448239</v>
      </c>
    </row>
    <row r="20" spans="2:10" x14ac:dyDescent="0.55000000000000004">
      <c r="B20" s="7" t="s">
        <v>31</v>
      </c>
      <c r="C20" s="39">
        <f t="shared" ref="C20:H20" si="3">SUM(C14:C19)</f>
        <v>7.7436186614763107</v>
      </c>
      <c r="D20" s="39">
        <f t="shared" si="3"/>
        <v>28.448289190093721</v>
      </c>
      <c r="F20" s="39">
        <f t="shared" si="3"/>
        <v>25.57854556230243</v>
      </c>
      <c r="G20" s="39">
        <f t="shared" si="3"/>
        <v>24.605328699228714</v>
      </c>
      <c r="H20" s="39">
        <f t="shared" si="3"/>
        <v>22.722765963323074</v>
      </c>
      <c r="I20" s="39">
        <f t="shared" ref="I20:J20" si="4">SUM(I14:I19)</f>
        <v>23.158957486128429</v>
      </c>
      <c r="J20" s="39">
        <f t="shared" si="4"/>
        <v>23.556592119354889</v>
      </c>
    </row>
    <row r="21" spans="2:10" x14ac:dyDescent="0.55000000000000004">
      <c r="C21" s="11"/>
      <c r="D21" s="11"/>
      <c r="F21" s="11"/>
      <c r="G21" s="11"/>
      <c r="H21" s="11"/>
      <c r="I21" s="11"/>
      <c r="J21" s="11"/>
    </row>
    <row r="22" spans="2:10" x14ac:dyDescent="0.55000000000000004">
      <c r="B22" s="14" t="s">
        <v>74</v>
      </c>
      <c r="C22" s="34">
        <v>2010</v>
      </c>
      <c r="D22" s="15">
        <v>2018</v>
      </c>
      <c r="F22" s="15">
        <v>2019</v>
      </c>
      <c r="G22" s="15">
        <v>2020</v>
      </c>
      <c r="H22" s="15">
        <v>2021</v>
      </c>
      <c r="I22" s="15">
        <v>2022</v>
      </c>
      <c r="J22" s="15">
        <v>2023</v>
      </c>
    </row>
    <row r="23" spans="2:10" x14ac:dyDescent="0.55000000000000004">
      <c r="B23" t="s">
        <v>25</v>
      </c>
      <c r="C23" s="36">
        <f>('Regional Server Energy'!C24+'Regional Storage Energy'!C24+'Regional Network Energy'!C24)*('Regional PUE'!C33-1)</f>
        <v>0.53645937864230919</v>
      </c>
      <c r="D23" s="36">
        <f>('Regional Server Energy'!D24+'Regional Storage Energy'!D24+'Regional Network Energy'!D24)*('Regional PUE'!D33-1)</f>
        <v>4.2059825372227442</v>
      </c>
      <c r="F23" s="36">
        <f>('Regional Server Energy'!F24+'Regional Storage Energy'!F24+'Regional Network Energy'!F24)*('Regional PUE'!F33-1)</f>
        <v>5.0203288118627523</v>
      </c>
      <c r="G23" s="36">
        <f>('Regional Server Energy'!G24+'Regional Storage Energy'!G24+'Regional Network Energy'!G24)*('Regional PUE'!G33-1)</f>
        <v>5.6590425452445103</v>
      </c>
      <c r="H23" s="36">
        <f>('Regional Server Energy'!H24+'Regional Storage Energy'!H24+'Regional Network Energy'!H24)*('Regional PUE'!H33-1)</f>
        <v>6.469879935536663</v>
      </c>
      <c r="I23" s="36">
        <f>('Regional Server Energy'!I24+'Regional Storage Energy'!I24+'Regional Network Energy'!I24)*('Regional PUE'!I33-1)</f>
        <v>6.8496448225274982</v>
      </c>
      <c r="J23" s="36">
        <f>('Regional Server Energy'!J24+'Regional Storage Energy'!J24+'Regional Network Energy'!J24)*('Regional PUE'!J33-1)</f>
        <v>7.2568156441686744</v>
      </c>
    </row>
    <row r="24" spans="2:10" x14ac:dyDescent="0.55000000000000004">
      <c r="B24" s="20" t="s">
        <v>26</v>
      </c>
      <c r="C24" s="36">
        <f>('Regional Server Energy'!C25+'Regional Storage Energy'!C25+'Regional Network Energy'!C25)*('Regional PUE'!C34-1)</f>
        <v>1.9519510279087666E-3</v>
      </c>
      <c r="D24" s="36">
        <f>('Regional Server Energy'!D25+'Regional Storage Energy'!D25+'Regional Network Energy'!D25)*('Regional PUE'!D34-1)</f>
        <v>5.889092868286834E-2</v>
      </c>
      <c r="F24" s="36">
        <f>('Regional Server Energy'!F25+'Regional Storage Energy'!F25+'Regional Network Energy'!F25)*('Regional PUE'!F34-1)</f>
        <v>8.2426465767397317E-2</v>
      </c>
      <c r="G24" s="36">
        <f>('Regional Server Energy'!G25+'Regional Storage Energy'!G25+'Regional Network Energy'!G25)*('Regional PUE'!G34-1)</f>
        <v>0.10507686521222248</v>
      </c>
      <c r="H24" s="36">
        <f>('Regional Server Energy'!H25+'Regional Storage Energy'!H25+'Regional Network Energy'!H25)*('Regional PUE'!H34-1)</f>
        <v>0.13253330214843742</v>
      </c>
      <c r="I24" s="36">
        <f>('Regional Server Energy'!I25+'Regional Storage Energy'!I25+'Regional Network Energy'!I25)*('Regional PUE'!I34-1)</f>
        <v>0.13952536081778324</v>
      </c>
      <c r="J24" s="36">
        <f>('Regional Server Energy'!J25+'Regional Storage Energy'!J25+'Regional Network Energy'!J25)*('Regional PUE'!J34-1)</f>
        <v>0.146942704299625</v>
      </c>
    </row>
    <row r="25" spans="2:10" x14ac:dyDescent="0.55000000000000004">
      <c r="B25" s="20" t="s">
        <v>27</v>
      </c>
      <c r="C25" s="36">
        <f>('Regional Server Energy'!C26+'Regional Storage Energy'!C26+'Regional Network Energy'!C26)*('Regional PUE'!C35-1)</f>
        <v>0</v>
      </c>
      <c r="D25" s="36">
        <f>('Regional Server Energy'!D26+'Regional Storage Energy'!D26+'Regional Network Energy'!D26)*('Regional PUE'!D35-1)</f>
        <v>0.30294525515393628</v>
      </c>
      <c r="F25" s="36">
        <f>('Regional Server Energy'!F26+'Regional Storage Energy'!F26+'Regional Network Energy'!F26)*('Regional PUE'!F35-1)</f>
        <v>0.35146762380382351</v>
      </c>
      <c r="G25" s="36">
        <f>('Regional Server Energy'!G26+'Regional Storage Energy'!G26+'Regional Network Energy'!G26)*('Regional PUE'!G35-1)</f>
        <v>0.38545144833669631</v>
      </c>
      <c r="H25" s="36">
        <f>('Regional Server Energy'!H26+'Regional Storage Energy'!H26+'Regional Network Energy'!H26)*('Regional PUE'!H35-1)</f>
        <v>0.42905690063594404</v>
      </c>
      <c r="I25" s="36">
        <f>('Regional Server Energy'!I26+'Regional Storage Energy'!I26+'Regional Network Energy'!I26)*('Regional PUE'!I35-1)</f>
        <v>0.4490983940215636</v>
      </c>
      <c r="J25" s="36">
        <f>('Regional Server Energy'!J26+'Regional Storage Energy'!J26+'Regional Network Energy'!J26)*('Regional PUE'!J35-1)</f>
        <v>0.47006815985591527</v>
      </c>
    </row>
    <row r="26" spans="2:10" x14ac:dyDescent="0.55000000000000004">
      <c r="B26" s="20" t="s">
        <v>28</v>
      </c>
      <c r="C26" s="36">
        <f>('Regional Server Energy'!C27+'Regional Storage Energy'!C27+'Regional Network Energy'!C27)*('Regional PUE'!C36-1)</f>
        <v>0</v>
      </c>
      <c r="D26" s="36">
        <f>('Regional Server Energy'!D27+'Regional Storage Energy'!D27+'Regional Network Energy'!D27)*('Regional PUE'!D36-1)</f>
        <v>8.2290268149053339E-2</v>
      </c>
      <c r="F26" s="36">
        <f>('Regional Server Energy'!F27+'Regional Storage Energy'!F27+'Regional Network Energy'!F27)*('Regional PUE'!F36-1)</f>
        <v>0.1221635548875889</v>
      </c>
      <c r="G26" s="36">
        <f>('Regional Server Energy'!G27+'Regional Storage Energy'!G27+'Regional Network Energy'!G27)*('Regional PUE'!G36-1)</f>
        <v>0.16171827720982809</v>
      </c>
      <c r="H26" s="36">
        <f>('Regional Server Energy'!H27+'Regional Storage Energy'!H27+'Regional Network Energy'!H27)*('Regional PUE'!H36-1)</f>
        <v>0.2093843990236588</v>
      </c>
      <c r="I26" s="36">
        <f>('Regional Server Energy'!I27+'Regional Storage Energy'!I27+'Regional Network Energy'!I27)*('Regional PUE'!I36-1)</f>
        <v>0.22035205269176822</v>
      </c>
      <c r="J26" s="36">
        <f>('Regional Server Energy'!J27+'Regional Storage Energy'!J27+'Regional Network Energy'!J27)*('Regional PUE'!J36-1)</f>
        <v>0.23197796754302408</v>
      </c>
    </row>
    <row r="27" spans="2:10" x14ac:dyDescent="0.55000000000000004">
      <c r="B27" s="20" t="s">
        <v>29</v>
      </c>
      <c r="C27" s="36">
        <f>('Regional Server Energy'!C28+'Regional Storage Energy'!C28+'Regional Network Energy'!C28)*('Regional PUE'!C37-1)</f>
        <v>1.0630387336942839</v>
      </c>
      <c r="D27" s="36">
        <f>('Regional Server Energy'!D28+'Regional Storage Energy'!D28+'Regional Network Energy'!D28)*('Regional PUE'!D37-1)</f>
        <v>3.8122310516555897</v>
      </c>
      <c r="F27" s="36">
        <f>('Regional Server Energy'!F28+'Regional Storage Energy'!F28+'Regional Network Energy'!F28)*('Regional PUE'!F37-1)</f>
        <v>4.0315572531639887</v>
      </c>
      <c r="G27" s="36">
        <f>('Regional Server Energy'!G28+'Regional Storage Energy'!G28+'Regional Network Energy'!G28)*('Regional PUE'!G37-1)</f>
        <v>4.0192494129612566</v>
      </c>
      <c r="H27" s="36">
        <f>('Regional Server Energy'!H28+'Regional Storage Energy'!H28+'Regional Network Energy'!H28)*('Regional PUE'!H37-1)</f>
        <v>4.0535576240164097</v>
      </c>
      <c r="I27" s="36">
        <f>('Regional Server Energy'!I28+'Regional Storage Energy'!I28+'Regional Network Energy'!I28)*('Regional PUE'!I37-1)</f>
        <v>4.2481697697716223</v>
      </c>
      <c r="J27" s="36">
        <f>('Regional Server Energy'!J28+'Regional Storage Energy'!J28+'Regional Network Energy'!J28)*('Regional PUE'!J37-1)</f>
        <v>4.4524626771024254</v>
      </c>
    </row>
    <row r="28" spans="2:10" x14ac:dyDescent="0.55000000000000004">
      <c r="B28" s="20" t="s">
        <v>30</v>
      </c>
      <c r="C28" s="36">
        <f>('Regional Server Energy'!C29+'Regional Storage Energy'!C29+'Regional Network Energy'!C29)*('Regional PUE'!C38-1)</f>
        <v>0.28313679408498715</v>
      </c>
      <c r="D28" s="36">
        <f>('Regional Server Energy'!D29+'Regional Storage Energy'!D29+'Regional Network Energy'!D29)*('Regional PUE'!D38-1)</f>
        <v>1.6725084513106252</v>
      </c>
      <c r="F28" s="36">
        <f>('Regional Server Energy'!F29+'Regional Storage Energy'!F29+'Regional Network Energy'!F29)*('Regional PUE'!F38-1)</f>
        <v>1.9005480823141738</v>
      </c>
      <c r="G28" s="36">
        <f>('Regional Server Energy'!G29+'Regional Storage Energy'!G29+'Regional Network Energy'!G29)*('Regional PUE'!G38-1)</f>
        <v>2.0437164577803184</v>
      </c>
      <c r="H28" s="36">
        <f>('Regional Server Energy'!H29+'Regional Storage Energy'!H29+'Regional Network Energy'!H29)*('Regional PUE'!H38-1)</f>
        <v>2.2328957190910312</v>
      </c>
      <c r="I28" s="36">
        <f>('Regional Server Energy'!I29+'Regional Storage Energy'!I29+'Regional Network Energy'!I29)*('Regional PUE'!I38-1)</f>
        <v>2.3422707871296691</v>
      </c>
      <c r="J28" s="36">
        <f>('Regional Server Energy'!J29+'Regional Storage Energy'!J29+'Regional Network Energy'!J29)*('Regional PUE'!J38-1)</f>
        <v>2.4573542276176901</v>
      </c>
    </row>
    <row r="29" spans="2:10" x14ac:dyDescent="0.55000000000000004">
      <c r="B29" s="7" t="s">
        <v>31</v>
      </c>
      <c r="C29" s="39">
        <f t="shared" ref="C29" si="5">SUM(C23:C28)</f>
        <v>1.8845868574494891</v>
      </c>
      <c r="D29" s="39">
        <f t="shared" ref="D29:H29" si="6">SUM(D23:D28)</f>
        <v>10.134848492174816</v>
      </c>
      <c r="F29" s="39">
        <f t="shared" si="6"/>
        <v>11.508491791799724</v>
      </c>
      <c r="G29" s="39">
        <f t="shared" si="6"/>
        <v>12.374255006744832</v>
      </c>
      <c r="H29" s="39">
        <f t="shared" si="6"/>
        <v>13.527307880452144</v>
      </c>
      <c r="I29" s="39">
        <f t="shared" ref="I29:J29" si="7">SUM(I23:I28)</f>
        <v>14.249061186959905</v>
      </c>
      <c r="J29" s="39">
        <f t="shared" si="7"/>
        <v>15.015621380587357</v>
      </c>
    </row>
    <row r="31" spans="2:10" x14ac:dyDescent="0.55000000000000004">
      <c r="C31" s="2"/>
      <c r="D31" s="2"/>
      <c r="F31" s="2"/>
      <c r="G31"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1"/>
  <sheetViews>
    <sheetView topLeftCell="A2" workbookViewId="0"/>
  </sheetViews>
  <sheetFormatPr defaultRowHeight="14.4" x14ac:dyDescent="0.55000000000000004"/>
  <cols>
    <col min="1" max="1" width="2.578125" customWidth="1"/>
    <col min="2" max="2" width="10" customWidth="1"/>
  </cols>
  <sheetData>
    <row r="2" spans="2:3" x14ac:dyDescent="0.55000000000000004">
      <c r="B2" s="3" t="s">
        <v>1</v>
      </c>
    </row>
    <row r="4" spans="2:3" x14ac:dyDescent="0.55000000000000004">
      <c r="B4">
        <v>1</v>
      </c>
      <c r="C4" t="s">
        <v>17</v>
      </c>
    </row>
    <row r="5" spans="2:3" x14ac:dyDescent="0.55000000000000004">
      <c r="B5">
        <v>2</v>
      </c>
      <c r="C5" t="s">
        <v>16</v>
      </c>
    </row>
    <row r="6" spans="2:3" x14ac:dyDescent="0.55000000000000004">
      <c r="B6">
        <v>3</v>
      </c>
      <c r="C6" t="s">
        <v>15</v>
      </c>
    </row>
    <row r="7" spans="2:3" x14ac:dyDescent="0.55000000000000004">
      <c r="B7">
        <v>4</v>
      </c>
      <c r="C7" t="s">
        <v>13</v>
      </c>
    </row>
    <row r="8" spans="2:3" x14ac:dyDescent="0.55000000000000004">
      <c r="B8">
        <v>5</v>
      </c>
      <c r="C8" t="s">
        <v>14</v>
      </c>
    </row>
    <row r="9" spans="2:3" x14ac:dyDescent="0.55000000000000004">
      <c r="B9">
        <v>6</v>
      </c>
      <c r="C9" t="s">
        <v>12</v>
      </c>
    </row>
    <row r="10" spans="2:3" x14ac:dyDescent="0.55000000000000004">
      <c r="B10">
        <v>7</v>
      </c>
      <c r="C10" t="s">
        <v>19</v>
      </c>
    </row>
    <row r="11" spans="2:3" x14ac:dyDescent="0.55000000000000004">
      <c r="B11">
        <v>8</v>
      </c>
      <c r="C11" t="s">
        <v>21</v>
      </c>
    </row>
    <row r="12" spans="2:3" x14ac:dyDescent="0.55000000000000004">
      <c r="B12">
        <v>9</v>
      </c>
      <c r="C12" t="s">
        <v>18</v>
      </c>
    </row>
    <row r="13" spans="2:3" x14ac:dyDescent="0.55000000000000004">
      <c r="B13">
        <v>10</v>
      </c>
      <c r="C13" t="s">
        <v>2</v>
      </c>
    </row>
    <row r="14" spans="2:3" x14ac:dyDescent="0.55000000000000004">
      <c r="B14">
        <v>11</v>
      </c>
      <c r="C14" t="s">
        <v>113</v>
      </c>
    </row>
    <row r="15" spans="2:3" x14ac:dyDescent="0.55000000000000004">
      <c r="B15">
        <v>12</v>
      </c>
      <c r="C15" t="s">
        <v>63</v>
      </c>
    </row>
    <row r="16" spans="2:3" x14ac:dyDescent="0.55000000000000004">
      <c r="B16">
        <v>13</v>
      </c>
      <c r="C16" t="s">
        <v>150</v>
      </c>
    </row>
    <row r="17" spans="2:3" x14ac:dyDescent="0.55000000000000004">
      <c r="B17">
        <v>14</v>
      </c>
      <c r="C17" t="s">
        <v>151</v>
      </c>
    </row>
    <row r="18" spans="2:3" x14ac:dyDescent="0.55000000000000004">
      <c r="B18">
        <v>15</v>
      </c>
      <c r="C18" t="s">
        <v>83</v>
      </c>
    </row>
    <row r="19" spans="2:3" x14ac:dyDescent="0.55000000000000004">
      <c r="B19">
        <v>16</v>
      </c>
      <c r="C19" t="s">
        <v>93</v>
      </c>
    </row>
    <row r="20" spans="2:3" x14ac:dyDescent="0.55000000000000004">
      <c r="B20">
        <v>17</v>
      </c>
      <c r="C20" t="s">
        <v>92</v>
      </c>
    </row>
    <row r="21" spans="2:3" x14ac:dyDescent="0.55000000000000004">
      <c r="B21">
        <v>18</v>
      </c>
      <c r="C21" t="s">
        <v>97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3"/>
  <sheetViews>
    <sheetView zoomScaleNormal="100" workbookViewId="0"/>
  </sheetViews>
  <sheetFormatPr defaultRowHeight="14.4" x14ac:dyDescent="0.55000000000000004"/>
  <cols>
    <col min="1" max="1" width="2.83984375" customWidth="1"/>
    <col min="2" max="2" width="46.9453125" customWidth="1"/>
    <col min="4" max="10" width="0" hidden="1" customWidth="1"/>
    <col min="12" max="12" width="8.83984375" style="5"/>
  </cols>
  <sheetData>
    <row r="2" spans="2:12" x14ac:dyDescent="0.55000000000000004">
      <c r="B2" s="3" t="s">
        <v>86</v>
      </c>
    </row>
    <row r="4" spans="2:12" x14ac:dyDescent="0.55000000000000004">
      <c r="B4" s="8" t="s">
        <v>85</v>
      </c>
      <c r="C4" s="34">
        <v>2010</v>
      </c>
      <c r="D4" s="34">
        <v>2011</v>
      </c>
      <c r="E4" s="34">
        <v>2012</v>
      </c>
      <c r="F4" s="34">
        <v>2013</v>
      </c>
      <c r="G4" s="34">
        <v>2014</v>
      </c>
      <c r="H4" s="15">
        <v>2015</v>
      </c>
      <c r="I4" s="15">
        <v>2016</v>
      </c>
      <c r="J4" s="15">
        <v>2017</v>
      </c>
      <c r="K4" s="15">
        <v>2018</v>
      </c>
      <c r="L4" s="5" t="s">
        <v>273</v>
      </c>
    </row>
    <row r="5" spans="2:12" x14ac:dyDescent="0.55000000000000004">
      <c r="B5" s="16" t="s">
        <v>275</v>
      </c>
      <c r="C5" s="16">
        <v>1.1000000000000001</v>
      </c>
      <c r="D5" s="16"/>
      <c r="E5" s="16"/>
      <c r="F5" s="16"/>
      <c r="G5" s="16"/>
      <c r="H5" s="16"/>
      <c r="I5" s="16"/>
      <c r="J5" s="16"/>
      <c r="K5" s="16">
        <v>11.6</v>
      </c>
      <c r="L5" s="4" t="s">
        <v>272</v>
      </c>
    </row>
    <row r="6" spans="2:12" x14ac:dyDescent="0.55000000000000004">
      <c r="B6" s="13" t="s">
        <v>99</v>
      </c>
      <c r="C6" s="17">
        <f>'Global Server Stock'!C7</f>
        <v>57.5</v>
      </c>
      <c r="D6" s="13"/>
      <c r="E6" s="13"/>
      <c r="F6" s="13"/>
      <c r="G6" s="13"/>
      <c r="H6" s="13"/>
      <c r="I6" s="13"/>
      <c r="J6" s="13"/>
      <c r="K6" s="17">
        <f>'Global Server Stock'!K7</f>
        <v>371.8</v>
      </c>
    </row>
    <row r="7" spans="2:12" x14ac:dyDescent="0.55000000000000004">
      <c r="B7" s="13" t="s">
        <v>274</v>
      </c>
      <c r="C7" s="40">
        <f>'Global Server Stock'!C19/1000</f>
        <v>35.842857142857135</v>
      </c>
      <c r="D7" s="40"/>
      <c r="E7" s="40"/>
      <c r="F7" s="40"/>
      <c r="G7" s="40"/>
      <c r="H7" s="40"/>
      <c r="I7" s="40"/>
      <c r="J7" s="40"/>
      <c r="K7" s="40">
        <f>'Global Server Stock'!K19/1000</f>
        <v>45.128480753480758</v>
      </c>
    </row>
    <row r="8" spans="2:12" x14ac:dyDescent="0.55000000000000004">
      <c r="B8" s="43" t="s">
        <v>276</v>
      </c>
      <c r="C8" s="17">
        <f>'Global Storage Stock'!C7</f>
        <v>40.519999999999996</v>
      </c>
      <c r="D8" s="17"/>
      <c r="E8" s="17"/>
      <c r="F8" s="17"/>
      <c r="G8" s="17"/>
      <c r="H8" s="17"/>
      <c r="I8" s="17"/>
      <c r="J8" s="17"/>
      <c r="K8" s="17">
        <f>'Global Storage Stock'!K7</f>
        <v>1043.45</v>
      </c>
    </row>
    <row r="9" spans="2:12" x14ac:dyDescent="0.55000000000000004">
      <c r="B9" s="43" t="s">
        <v>90</v>
      </c>
      <c r="C9" s="42">
        <f>C7/C6</f>
        <v>0.62335403726708061</v>
      </c>
      <c r="D9" s="17"/>
      <c r="E9" s="17"/>
      <c r="F9" s="17"/>
      <c r="G9" s="17"/>
      <c r="H9" s="17"/>
      <c r="I9" s="17"/>
      <c r="J9" s="17"/>
      <c r="K9" s="42">
        <f>K7/K6</f>
        <v>0.12137837749725862</v>
      </c>
    </row>
    <row r="10" spans="2:12" x14ac:dyDescent="0.55000000000000004">
      <c r="B10" s="13" t="s">
        <v>88</v>
      </c>
      <c r="C10" s="17">
        <f>'Figure 2a'!C6*10^9/('Global Storage Stock'!C7*10^6)</f>
        <v>197.35102110966523</v>
      </c>
      <c r="D10" s="17"/>
      <c r="E10" s="17"/>
      <c r="F10" s="17"/>
      <c r="G10" s="17"/>
      <c r="H10" s="17"/>
      <c r="I10" s="17"/>
      <c r="J10" s="17"/>
      <c r="K10" s="17">
        <f>'Figure 2a'!D6*10^9/('Global Storage Stock'!K7*10^6)</f>
        <v>21.997360301233353</v>
      </c>
    </row>
    <row r="11" spans="2:12" x14ac:dyDescent="0.55000000000000004">
      <c r="B11" s="1" t="s">
        <v>87</v>
      </c>
      <c r="C11" s="41">
        <f>'Figure 2a'!C9/SUM('Figure 2a'!C5:C7)</f>
        <v>2.0956112919488366</v>
      </c>
      <c r="D11" s="41"/>
      <c r="E11" s="41"/>
      <c r="F11" s="41"/>
      <c r="G11" s="41"/>
      <c r="H11" s="41"/>
      <c r="I11" s="41"/>
      <c r="J11" s="41"/>
      <c r="K11" s="41">
        <f>'Figure 2a'!D9/SUM('Figure 2a'!D5:D7)</f>
        <v>1.5787235892243916</v>
      </c>
    </row>
    <row r="13" spans="2:12" x14ac:dyDescent="0.55000000000000004">
      <c r="B13" s="8" t="s">
        <v>89</v>
      </c>
      <c r="C13" s="34">
        <v>2010</v>
      </c>
      <c r="D13" s="34">
        <v>2011</v>
      </c>
      <c r="E13" s="34">
        <v>2012</v>
      </c>
      <c r="F13" s="34">
        <v>2013</v>
      </c>
      <c r="G13" s="34">
        <v>2014</v>
      </c>
      <c r="H13" s="15">
        <v>2015</v>
      </c>
      <c r="I13" s="15">
        <v>2016</v>
      </c>
      <c r="J13" s="15">
        <v>2017</v>
      </c>
      <c r="K13" s="15">
        <v>2018</v>
      </c>
    </row>
    <row r="14" spans="2:12" x14ac:dyDescent="0.55000000000000004">
      <c r="B14" s="16" t="s">
        <v>275</v>
      </c>
      <c r="C14" s="45">
        <f>C5/$C5</f>
        <v>1</v>
      </c>
      <c r="D14" s="45"/>
      <c r="E14" s="45"/>
      <c r="F14" s="45"/>
      <c r="G14" s="45"/>
      <c r="H14" s="45"/>
      <c r="I14" s="45"/>
      <c r="J14" s="45"/>
      <c r="K14" s="106">
        <f>K5/$C5</f>
        <v>10.545454545454545</v>
      </c>
    </row>
    <row r="15" spans="2:12" x14ac:dyDescent="0.55000000000000004">
      <c r="B15" s="13" t="s">
        <v>99</v>
      </c>
      <c r="C15" s="45">
        <f>C6/$C6</f>
        <v>1</v>
      </c>
      <c r="D15" s="45"/>
      <c r="E15" s="45"/>
      <c r="F15" s="45"/>
      <c r="G15" s="45"/>
      <c r="H15" s="45"/>
      <c r="I15" s="45"/>
      <c r="J15" s="45"/>
      <c r="K15" s="106">
        <f>K6/$C6</f>
        <v>6.4660869565217389</v>
      </c>
    </row>
    <row r="16" spans="2:12" x14ac:dyDescent="0.55000000000000004">
      <c r="B16" s="13" t="s">
        <v>274</v>
      </c>
      <c r="C16" s="45">
        <f>C7/$C7</f>
        <v>1</v>
      </c>
      <c r="D16" s="45"/>
      <c r="E16" s="45"/>
      <c r="F16" s="45"/>
      <c r="G16" s="45"/>
      <c r="H16" s="45"/>
      <c r="I16" s="45"/>
      <c r="J16" s="45"/>
      <c r="K16" s="106">
        <f>K7/$C7</f>
        <v>1.2590648277176779</v>
      </c>
    </row>
    <row r="17" spans="2:12" x14ac:dyDescent="0.55000000000000004">
      <c r="B17" s="43" t="s">
        <v>276</v>
      </c>
      <c r="C17" s="45">
        <f>C8/$C8</f>
        <v>1</v>
      </c>
      <c r="D17" s="45"/>
      <c r="E17" s="45"/>
      <c r="F17" s="45"/>
      <c r="G17" s="45"/>
      <c r="H17" s="45"/>
      <c r="I17" s="45"/>
      <c r="J17" s="45"/>
      <c r="K17" s="106">
        <f>K8/$C8</f>
        <v>25.751480750246795</v>
      </c>
    </row>
    <row r="18" spans="2:12" x14ac:dyDescent="0.55000000000000004">
      <c r="B18" s="43" t="s">
        <v>90</v>
      </c>
      <c r="C18" s="45">
        <f>C9/$C9</f>
        <v>1</v>
      </c>
      <c r="D18" s="45"/>
      <c r="E18" s="45"/>
      <c r="F18" s="45"/>
      <c r="G18" s="45"/>
      <c r="H18" s="45"/>
      <c r="I18" s="45"/>
      <c r="J18" s="45"/>
      <c r="K18" s="45">
        <f>K9/$C9</f>
        <v>0.19471820224251338</v>
      </c>
    </row>
    <row r="19" spans="2:12" x14ac:dyDescent="0.55000000000000004">
      <c r="B19" s="13" t="s">
        <v>98</v>
      </c>
      <c r="C19" s="45">
        <f>47.4/47.4</f>
        <v>1</v>
      </c>
      <c r="D19" s="45"/>
      <c r="E19" s="45"/>
      <c r="F19" s="45"/>
      <c r="G19" s="45"/>
      <c r="H19" s="45"/>
      <c r="I19" s="45"/>
      <c r="J19" s="45"/>
      <c r="K19" s="45">
        <f>47.4/199.4</f>
        <v>0.23771313941825475</v>
      </c>
      <c r="L19" s="5">
        <v>18</v>
      </c>
    </row>
    <row r="20" spans="2:12" x14ac:dyDescent="0.55000000000000004">
      <c r="B20" s="13" t="s">
        <v>88</v>
      </c>
      <c r="C20" s="45">
        <f>C10/$C10</f>
        <v>1</v>
      </c>
      <c r="D20" s="45"/>
      <c r="E20" s="45"/>
      <c r="F20" s="45"/>
      <c r="G20" s="45"/>
      <c r="H20" s="45"/>
      <c r="I20" s="45"/>
      <c r="J20" s="45"/>
      <c r="K20" s="45">
        <f>K10/$C10</f>
        <v>0.11146311874925505</v>
      </c>
    </row>
    <row r="21" spans="2:12" x14ac:dyDescent="0.55000000000000004">
      <c r="B21" s="1" t="s">
        <v>282</v>
      </c>
      <c r="C21" s="46">
        <f t="shared" ref="C21:K21" si="0">C11/$C11</f>
        <v>1</v>
      </c>
      <c r="D21" s="46"/>
      <c r="E21" s="46"/>
      <c r="F21" s="46"/>
      <c r="G21" s="46"/>
      <c r="H21" s="46"/>
      <c r="I21" s="46"/>
      <c r="J21" s="46"/>
      <c r="K21" s="46">
        <f t="shared" si="0"/>
        <v>0.7533475293293731</v>
      </c>
    </row>
    <row r="22" spans="2:12" x14ac:dyDescent="0.55000000000000004">
      <c r="B22" s="77" t="s">
        <v>20</v>
      </c>
    </row>
    <row r="23" spans="2:12" ht="43.2" customHeight="1" x14ac:dyDescent="0.55000000000000004">
      <c r="B23" s="107" t="s">
        <v>277</v>
      </c>
      <c r="C23" s="107"/>
      <c r="D23" s="107"/>
      <c r="E23" s="107"/>
      <c r="F23" s="107"/>
      <c r="G23" s="107"/>
      <c r="H23" s="107"/>
      <c r="I23" s="107"/>
      <c r="J23" s="107"/>
      <c r="K23" s="107"/>
    </row>
  </sheetData>
  <mergeCells count="1">
    <mergeCell ref="B23:K23"/>
  </mergeCells>
  <phoneticPr fontId="4" type="noConversion"/>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zoomScaleNormal="100" workbookViewId="0"/>
  </sheetViews>
  <sheetFormatPr defaultRowHeight="14.4" x14ac:dyDescent="0.55000000000000004"/>
  <cols>
    <col min="1" max="1" width="2.68359375" customWidth="1"/>
    <col min="2" max="2" width="37.3125" customWidth="1"/>
    <col min="3" max="4" width="7.26171875" customWidth="1"/>
    <col min="5" max="5" width="10.1015625" customWidth="1"/>
    <col min="6" max="17" width="7.26171875" customWidth="1"/>
  </cols>
  <sheetData>
    <row r="1" spans="1:15" x14ac:dyDescent="0.55000000000000004">
      <c r="A1" s="3"/>
    </row>
    <row r="2" spans="1:15" x14ac:dyDescent="0.55000000000000004">
      <c r="B2" s="3" t="s">
        <v>244</v>
      </c>
      <c r="D2" s="78"/>
      <c r="E2" s="50"/>
      <c r="G2" s="50"/>
      <c r="H2" s="50"/>
      <c r="I2" s="50"/>
      <c r="J2" s="50"/>
      <c r="K2" s="51"/>
      <c r="M2" s="50"/>
      <c r="N2" s="50"/>
      <c r="O2" s="50"/>
    </row>
    <row r="3" spans="1:15" x14ac:dyDescent="0.55000000000000004">
      <c r="C3" s="8" t="s">
        <v>240</v>
      </c>
      <c r="D3" s="8"/>
      <c r="E3" s="9"/>
      <c r="G3" s="8" t="s">
        <v>234</v>
      </c>
      <c r="H3" s="1"/>
      <c r="I3" s="1"/>
      <c r="J3" s="1"/>
      <c r="K3" s="1"/>
    </row>
    <row r="4" spans="1:15" x14ac:dyDescent="0.55000000000000004">
      <c r="B4" s="14" t="s">
        <v>245</v>
      </c>
      <c r="C4" s="34">
        <v>2010</v>
      </c>
      <c r="D4" s="15">
        <v>2018</v>
      </c>
      <c r="E4" s="105" t="s">
        <v>241</v>
      </c>
      <c r="G4" s="15">
        <v>2019</v>
      </c>
      <c r="H4" s="15">
        <v>2020</v>
      </c>
      <c r="I4" s="15">
        <v>2021</v>
      </c>
      <c r="J4" s="15">
        <v>2022</v>
      </c>
      <c r="K4" s="15">
        <v>2023</v>
      </c>
    </row>
    <row r="5" spans="1:15" x14ac:dyDescent="0.55000000000000004">
      <c r="B5" t="s">
        <v>76</v>
      </c>
      <c r="C5" s="36">
        <f>SUM('Regional Server Energy'!C12,'Regional Server Energy'!C21,'Regional Server Energy'!C30)</f>
        <v>82.044901569027047</v>
      </c>
      <c r="D5" s="36">
        <f>SUM('Regional Server Energy'!D12,'Regional Server Energy'!D21,'Regional Server Energy'!D30)</f>
        <v>103.04508117148445</v>
      </c>
      <c r="E5" s="2">
        <f>(K5-J5)/2+J5</f>
        <v>123.76780725196758</v>
      </c>
      <c r="G5" s="36">
        <f>SUM('Regional Server Energy'!F12,'Regional Server Energy'!F21,'Regional Server Energy'!F30)</f>
        <v>106.44069311490981</v>
      </c>
      <c r="H5" s="36">
        <f>SUM('Regional Server Energy'!G12,'Regional Server Energy'!G21,'Regional Server Energy'!G30)</f>
        <v>109.06951343536532</v>
      </c>
      <c r="I5" s="36">
        <f>SUM('Regional Server Energy'!H12,'Regional Server Energy'!H21,'Regional Server Energy'!H30)</f>
        <v>112.28231399388756</v>
      </c>
      <c r="J5" s="36">
        <f>SUM('Regional Server Energy'!I12,'Regional Server Energy'!I21,'Regional Server Energy'!I30)</f>
        <v>119.52072249794711</v>
      </c>
      <c r="K5" s="36">
        <f>SUM('Regional Server Energy'!J12,'Regional Server Energy'!J21,'Regional Server Energy'!J30)</f>
        <v>128.01489200598806</v>
      </c>
    </row>
    <row r="6" spans="1:15" x14ac:dyDescent="0.55000000000000004">
      <c r="B6" s="20" t="s">
        <v>77</v>
      </c>
      <c r="C6" s="36">
        <f>SUM('Regional Storage Energy'!C12,'Regional Storage Energy'!C21,'Regional Storage Energy'!C30)</f>
        <v>7.9966633753636334</v>
      </c>
      <c r="D6" s="36">
        <f>SUM('Regional Storage Energy'!D12,'Regional Storage Energy'!D21,'Regional Storage Energy'!D30)</f>
        <v>22.953145606321943</v>
      </c>
      <c r="E6" s="2">
        <f>(K6-J6)/2+J6</f>
        <v>22.528932573280571</v>
      </c>
      <c r="G6" s="36">
        <f>SUM('Regional Storage Energy'!F12,'Regional Storage Energy'!F21,'Regional Storage Energy'!F30)</f>
        <v>21.761883785831557</v>
      </c>
      <c r="H6" s="36">
        <f>SUM('Regional Storage Energy'!G12,'Regional Storage Energy'!G21,'Regional Storage Energy'!G30)</f>
        <v>21.849293013224401</v>
      </c>
      <c r="I6" s="36">
        <f>SUM('Regional Storage Energy'!H12,'Regional Storage Energy'!H21,'Regional Storage Energy'!H30)</f>
        <v>22.02300704603946</v>
      </c>
      <c r="J6" s="36">
        <f>SUM('Regional Storage Energy'!I12,'Regional Storage Energy'!I21,'Regional Storage Energy'!I30)</f>
        <v>22.364222216520936</v>
      </c>
      <c r="K6" s="36">
        <f>SUM('Regional Storage Energy'!J12,'Regional Storage Energy'!J21,'Regional Storage Energy'!J30)</f>
        <v>22.693642930040205</v>
      </c>
    </row>
    <row r="7" spans="1:15" x14ac:dyDescent="0.55000000000000004">
      <c r="B7" s="20" t="s">
        <v>78</v>
      </c>
      <c r="C7" s="36">
        <f>SUM('Regional Network Energy'!C12,'Regional Network Energy'!C21,'Regional Network Energy'!C30)</f>
        <v>2.3918363972186389</v>
      </c>
      <c r="D7" s="36">
        <f>SUM('Regional Network Energy'!D12,'Regional Network Energy'!D21,'Regional Network Energy'!D30)</f>
        <v>3.9922503603538071</v>
      </c>
      <c r="E7" s="2">
        <f>(K7-J7)/2+J7</f>
        <v>4.5978029990631235</v>
      </c>
      <c r="G7" s="36">
        <f>SUM('Regional Network Energy'!F12,'Regional Network Energy'!F21,'Regional Network Energy'!F30)</f>
        <v>3.8862710718453268</v>
      </c>
      <c r="H7" s="36">
        <f>SUM('Regional Network Energy'!G12,'Regional Network Energy'!G21,'Regional Network Energy'!G30)</f>
        <v>3.6715536588000002</v>
      </c>
      <c r="I7" s="36">
        <f>SUM('Regional Network Energy'!H12,'Regional Network Energy'!H21,'Regional Network Energy'!H30)</f>
        <v>3.9390153168344124</v>
      </c>
      <c r="J7" s="36">
        <f>SUM('Regional Network Energy'!I12,'Regional Network Energy'!I21,'Regional Network Energy'!I30)</f>
        <v>4.3545361305707031</v>
      </c>
      <c r="K7" s="36">
        <f>SUM('Regional Network Energy'!J12,'Regional Network Energy'!J21,'Regional Network Energy'!J30)</f>
        <v>4.8410698675555439</v>
      </c>
    </row>
    <row r="8" spans="1:15" x14ac:dyDescent="0.55000000000000004">
      <c r="B8" s="20" t="s">
        <v>79</v>
      </c>
      <c r="C8" s="36">
        <f>SUM('Regional Infrastructure Energy'!C11,'Regional Infrastructure Energy'!C20,'Regional Infrastructure Energy'!C29)</f>
        <v>101.27107826310589</v>
      </c>
      <c r="D8" s="36">
        <f>SUM('Regional Infrastructure Energy'!D11,'Regional Infrastructure Energy'!D20,'Regional Infrastructure Energy'!D29)</f>
        <v>75.22855549438728</v>
      </c>
      <c r="E8" s="2">
        <f>(K8-J8)/2+J8</f>
        <v>54.559091710189676</v>
      </c>
      <c r="G8" s="36">
        <f>SUM('Regional Infrastructure Energy'!F11,'Regional Infrastructure Energy'!F20,'Regional Infrastructure Energy'!F29)</f>
        <v>67.240584345984104</v>
      </c>
      <c r="H8" s="36">
        <f>SUM('Regional Infrastructure Energy'!G11,'Regional Infrastructure Energy'!G20,'Regional Infrastructure Energy'!G29)</f>
        <v>61.632507102403288</v>
      </c>
      <c r="I8" s="36">
        <f>SUM('Regional Infrastructure Energy'!H11,'Regional Infrastructure Energy'!H20,'Regional Infrastructure Energy'!H29)</f>
        <v>56.738040025224706</v>
      </c>
      <c r="J8" s="36">
        <f>SUM('Regional Infrastructure Energy'!I11,'Regional Infrastructure Energy'!I20,'Regional Infrastructure Energy'!I29)</f>
        <v>55.071928235374223</v>
      </c>
      <c r="K8" s="36">
        <f>SUM('Regional Infrastructure Energy'!J11,'Regional Infrastructure Energy'!J20,'Regional Infrastructure Energy'!J29)</f>
        <v>54.046255185005137</v>
      </c>
    </row>
    <row r="9" spans="1:15" x14ac:dyDescent="0.55000000000000004">
      <c r="B9" s="7" t="s">
        <v>31</v>
      </c>
      <c r="C9" s="39">
        <f t="shared" ref="C9" si="0">SUM(C5:C8)</f>
        <v>193.70447960471523</v>
      </c>
      <c r="D9" s="39">
        <f>SUM(D5:D8)</f>
        <v>205.21903263254748</v>
      </c>
      <c r="E9" s="39">
        <f>SUM(E5:E8)</f>
        <v>205.45363453450096</v>
      </c>
      <c r="G9" s="39">
        <f>SUM(G5:G8)</f>
        <v>199.32943231857078</v>
      </c>
      <c r="H9" s="39">
        <f>SUM(H5:H8)</f>
        <v>196.22286720979301</v>
      </c>
      <c r="I9" s="39">
        <f>SUM(I5:I8)</f>
        <v>194.98237638198611</v>
      </c>
      <c r="J9" s="39">
        <f t="shared" ref="J9:K9" si="1">SUM(J5:J8)</f>
        <v>201.31140908041297</v>
      </c>
      <c r="K9" s="39">
        <f t="shared" si="1"/>
        <v>209.59585998858893</v>
      </c>
    </row>
    <row r="10" spans="1:15" x14ac:dyDescent="0.55000000000000004">
      <c r="B10" s="9"/>
      <c r="C10" s="70"/>
      <c r="D10" s="70"/>
      <c r="E10" s="70"/>
      <c r="G10" s="70"/>
      <c r="H10" s="70"/>
      <c r="I10" s="70"/>
      <c r="J10" s="70"/>
      <c r="K10" s="70"/>
    </row>
    <row r="11" spans="1:15" x14ac:dyDescent="0.55000000000000004">
      <c r="B11" s="73" t="s">
        <v>242</v>
      </c>
      <c r="C11" s="74">
        <f>'Global Server Stock'!C7</f>
        <v>57.5</v>
      </c>
      <c r="D11" s="74">
        <f>'Global Server Stock'!K7</f>
        <v>371.8</v>
      </c>
      <c r="E11" s="75">
        <f>(K11-J11)/2+J11</f>
        <v>751.12350109438853</v>
      </c>
      <c r="G11" s="74">
        <f>'Global Server Stock'!M7</f>
        <v>432.40000000000003</v>
      </c>
      <c r="H11" s="74">
        <f>'Global Server Stock'!N7</f>
        <v>495.4</v>
      </c>
      <c r="I11" s="74">
        <f>'Global Server Stock'!O7</f>
        <v>566.6</v>
      </c>
      <c r="J11" s="74">
        <f>'Global Server Stock'!P7</f>
        <v>681.16463175692581</v>
      </c>
      <c r="K11" s="74">
        <f>'Global Server Stock'!Q7</f>
        <v>821.08237043185113</v>
      </c>
    </row>
    <row r="12" spans="1:15" x14ac:dyDescent="0.55000000000000004">
      <c r="B12" s="52" t="s">
        <v>243</v>
      </c>
      <c r="C12" s="72">
        <f>C11/$D$11</f>
        <v>0.15465303926842389</v>
      </c>
      <c r="D12" s="71">
        <f t="shared" ref="D12:K12" si="2">D11/$D$11</f>
        <v>1</v>
      </c>
      <c r="E12" s="71">
        <f t="shared" si="2"/>
        <v>2.0202353445249823</v>
      </c>
      <c r="G12" s="71">
        <f t="shared" si="2"/>
        <v>1.1629908552985477</v>
      </c>
      <c r="H12" s="71">
        <f t="shared" si="2"/>
        <v>1.3324367939752555</v>
      </c>
      <c r="I12" s="71">
        <f t="shared" si="2"/>
        <v>1.5239376008606778</v>
      </c>
      <c r="J12" s="71">
        <f t="shared" si="2"/>
        <v>1.8320727051020058</v>
      </c>
      <c r="K12" s="71">
        <f t="shared" si="2"/>
        <v>2.2083979839479588</v>
      </c>
      <c r="M12" s="11"/>
      <c r="N12" s="11"/>
    </row>
    <row r="13" spans="1:15" x14ac:dyDescent="0.55000000000000004">
      <c r="B13" s="56" t="s">
        <v>281</v>
      </c>
      <c r="C13" s="11"/>
      <c r="D13" s="11"/>
      <c r="E13" s="11"/>
      <c r="G13" s="11"/>
      <c r="H13" s="11"/>
      <c r="I13" s="11"/>
      <c r="J13" s="11"/>
      <c r="K13" s="11"/>
      <c r="M13" s="11"/>
      <c r="N13" s="11"/>
      <c r="O13" s="11"/>
    </row>
    <row r="14" spans="1:15" x14ac:dyDescent="0.55000000000000004">
      <c r="C14" s="11"/>
      <c r="D14" s="11"/>
      <c r="E14" s="11"/>
      <c r="G14" s="11"/>
      <c r="H14" s="11"/>
      <c r="I14" s="11"/>
      <c r="J14" s="11"/>
      <c r="K14" s="11"/>
      <c r="M14" s="11"/>
      <c r="N14" s="11"/>
      <c r="O14" s="11"/>
    </row>
    <row r="15" spans="1:15" x14ac:dyDescent="0.55000000000000004">
      <c r="C15" s="76"/>
      <c r="D15" s="76"/>
      <c r="E15" s="76"/>
      <c r="G15" s="11"/>
      <c r="H15" s="11"/>
      <c r="I15" s="11"/>
      <c r="J15" s="11"/>
      <c r="K15" s="11"/>
      <c r="M15" s="11"/>
      <c r="N15" s="11"/>
      <c r="O15" s="11"/>
    </row>
    <row r="16" spans="1:15" x14ac:dyDescent="0.55000000000000004">
      <c r="C16" s="36"/>
      <c r="D16" s="36"/>
      <c r="E16" s="36"/>
      <c r="G16" s="11"/>
      <c r="H16" s="11"/>
      <c r="I16" s="11"/>
      <c r="J16" s="11"/>
      <c r="K16" s="11"/>
      <c r="M16" s="11"/>
      <c r="N16" s="11"/>
      <c r="O16" s="11"/>
    </row>
    <row r="17" spans="3:15" x14ac:dyDescent="0.55000000000000004">
      <c r="C17" s="11"/>
      <c r="D17" s="11"/>
      <c r="E17" s="11"/>
      <c r="G17" s="11"/>
      <c r="H17" s="11"/>
      <c r="I17" s="11"/>
      <c r="J17" s="11"/>
      <c r="K17" s="11"/>
      <c r="M17" s="11"/>
      <c r="N17" s="11"/>
      <c r="O17" s="11"/>
    </row>
    <row r="18" spans="3:15" x14ac:dyDescent="0.55000000000000004">
      <c r="C18" s="11"/>
      <c r="D18" s="11"/>
      <c r="E18" s="11"/>
      <c r="G18" s="11"/>
      <c r="H18" s="11"/>
      <c r="I18" s="11"/>
      <c r="J18" s="11"/>
      <c r="K18" s="11"/>
      <c r="M18" s="11"/>
      <c r="N18" s="11"/>
      <c r="O18" s="11"/>
    </row>
    <row r="19" spans="3:15" x14ac:dyDescent="0.55000000000000004">
      <c r="C19" s="11"/>
      <c r="D19" s="11"/>
      <c r="E19" s="11"/>
      <c r="G19" s="11"/>
      <c r="H19" s="11"/>
      <c r="I19" s="11"/>
      <c r="J19" s="11"/>
      <c r="K19" s="11"/>
      <c r="M19" s="11"/>
      <c r="N19" s="11"/>
      <c r="O19" s="11"/>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zoomScaleNormal="100" workbookViewId="0"/>
  </sheetViews>
  <sheetFormatPr defaultRowHeight="14.4" x14ac:dyDescent="0.55000000000000004"/>
  <cols>
    <col min="1" max="1" width="2.68359375" customWidth="1"/>
    <col min="2" max="2" width="37.47265625" customWidth="1"/>
    <col min="3" max="4" width="7.26171875" customWidth="1"/>
    <col min="5" max="5" width="9.62890625" customWidth="1"/>
    <col min="6" max="12" width="7.26171875" customWidth="1"/>
  </cols>
  <sheetData>
    <row r="1" spans="1:11" x14ac:dyDescent="0.55000000000000004">
      <c r="A1" s="3"/>
    </row>
    <row r="2" spans="1:11" x14ac:dyDescent="0.55000000000000004">
      <c r="B2" s="3" t="s">
        <v>244</v>
      </c>
      <c r="G2" s="11"/>
    </row>
    <row r="3" spans="1:11" x14ac:dyDescent="0.55000000000000004">
      <c r="C3" s="8" t="s">
        <v>240</v>
      </c>
      <c r="D3" s="1"/>
      <c r="E3" s="9"/>
      <c r="G3" s="8" t="s">
        <v>234</v>
      </c>
      <c r="H3" s="1"/>
      <c r="I3" s="1"/>
      <c r="J3" s="1"/>
      <c r="K3" s="1"/>
    </row>
    <row r="4" spans="1:11" x14ac:dyDescent="0.55000000000000004">
      <c r="B4" s="14" t="s">
        <v>246</v>
      </c>
      <c r="C4" s="34">
        <v>2010</v>
      </c>
      <c r="D4" s="15">
        <v>2018</v>
      </c>
      <c r="E4" s="105" t="s">
        <v>241</v>
      </c>
      <c r="G4" s="15">
        <v>2019</v>
      </c>
      <c r="H4" s="15">
        <v>2020</v>
      </c>
      <c r="I4" s="15">
        <v>2021</v>
      </c>
      <c r="J4" s="15">
        <v>2022</v>
      </c>
      <c r="K4" s="15">
        <v>2023</v>
      </c>
    </row>
    <row r="5" spans="1:11" x14ac:dyDescent="0.55000000000000004">
      <c r="B5" t="s">
        <v>80</v>
      </c>
      <c r="C5" s="36">
        <f>SUM('Regional Server Energy'!C12,'Regional Storage Energy'!C12,'Regional Network Energy'!C12,'Regional Infrastructure Energy'!C11)</f>
        <v>166.28377497056408</v>
      </c>
      <c r="D5" s="36">
        <f>SUM('Regional Server Energy'!D12,'Regional Storage Energy'!D12,'Regional Network Energy'!D12,'Regional Infrastructure Energy'!D11)</f>
        <v>71.358186226306273</v>
      </c>
      <c r="E5" s="2">
        <f>(K5-J5)/2+J5</f>
        <v>37.652914083906865</v>
      </c>
      <c r="G5" s="36">
        <f>SUM('Regional Server Energy'!F12,'Regional Storage Energy'!F12,'Regional Network Energy'!F12,'Regional Infrastructure Energy'!F11)</f>
        <v>60.611675266510161</v>
      </c>
      <c r="H5" s="36">
        <f>SUM('Regional Server Energy'!G12,'Regional Storage Energy'!G12,'Regional Network Energy'!G12,'Regional Infrastructure Energy'!G11)</f>
        <v>51.161443177536995</v>
      </c>
      <c r="I5" s="36">
        <f>SUM('Regional Server Energy'!H12,'Regional Storage Energy'!H12,'Regional Network Energy'!H12,'Regional Infrastructure Energy'!H11)</f>
        <v>44.037352596908661</v>
      </c>
      <c r="J5" s="36">
        <f>SUM('Regional Server Energy'!I12,'Regional Storage Energy'!I12,'Regional Network Energy'!I12,'Regional Infrastructure Energy'!I11)</f>
        <v>39.471205318194393</v>
      </c>
      <c r="K5" s="36">
        <f>SUM('Regional Server Energy'!J12,'Regional Storage Energy'!J12,'Regional Network Energy'!J12,'Regional Infrastructure Energy'!J11)</f>
        <v>35.834622849619336</v>
      </c>
    </row>
    <row r="6" spans="1:11" x14ac:dyDescent="0.55000000000000004">
      <c r="B6" s="20" t="s">
        <v>81</v>
      </c>
      <c r="C6" s="36">
        <f>SUM('Regional Server Energy'!C21,'Regional Storage Energy'!C21,'Regional Network Energy'!C21,'Regional Infrastructure Energy'!C20)</f>
        <v>17.766777896762029</v>
      </c>
      <c r="D6" s="36">
        <f>SUM('Regional Server Energy'!D21,'Regional Storage Energy'!D21,'Regional Network Energy'!D21,'Regional Infrastructure Energy'!D20)</f>
        <v>73.474378662780509</v>
      </c>
      <c r="E6" s="2">
        <f>(K6-J6)/2+J6</f>
        <v>71.377729297248294</v>
      </c>
      <c r="G6" s="36">
        <f>SUM('Regional Server Energy'!F21,'Regional Storage Energy'!F21,'Regional Network Energy'!F21,'Regional Infrastructure Energy'!F20)</f>
        <v>68.813916695354237</v>
      </c>
      <c r="H6" s="36">
        <f>SUM('Regional Server Energy'!G21,'Regional Storage Energy'!G21,'Regional Network Energy'!G21,'Regional Infrastructure Energy'!G20)</f>
        <v>68.40258178134448</v>
      </c>
      <c r="I6" s="36">
        <f>SUM('Regional Server Energy'!H21,'Regional Storage Energy'!H21,'Regional Network Energy'!H21,'Regional Infrastructure Energy'!H20)</f>
        <v>65.433550152415251</v>
      </c>
      <c r="J6" s="36">
        <f>SUM('Regional Server Energy'!I21,'Regional Storage Energy'!I21,'Regional Network Energy'!I21,'Regional Infrastructure Energy'!I20)</f>
        <v>69.29142371165949</v>
      </c>
      <c r="K6" s="36">
        <f>SUM('Regional Server Energy'!J21,'Regional Storage Energy'!J21,'Regional Network Energy'!J21,'Regional Infrastructure Energy'!J20)</f>
        <v>73.464034882837097</v>
      </c>
    </row>
    <row r="7" spans="1:11" x14ac:dyDescent="0.55000000000000004">
      <c r="B7" s="20" t="s">
        <v>82</v>
      </c>
      <c r="C7" s="36">
        <f>SUM('Regional Server Energy'!C30,'Regional Storage Energy'!C30,'Regional Network Energy'!C30,'Regional Infrastructure Energy'!C29)</f>
        <v>9.6539267373891136</v>
      </c>
      <c r="D7" s="36">
        <f>SUM('Regional Server Energy'!D30,'Regional Storage Energy'!D30,'Regional Network Energy'!D30,'Regional Infrastructure Energy'!D29)</f>
        <v>60.386467743460713</v>
      </c>
      <c r="E7" s="2">
        <f>(K7-J7)/2+J7</f>
        <v>96.422991153345805</v>
      </c>
      <c r="G7" s="36">
        <f>SUM('Regional Server Energy'!F30,'Regional Storage Energy'!F30,'Regional Network Energy'!F30,'Regional Infrastructure Energy'!F29)</f>
        <v>69.903840356706382</v>
      </c>
      <c r="H7" s="36">
        <f>SUM('Regional Server Energy'!G30,'Regional Storage Energy'!G30,'Regional Network Energy'!G30,'Regional Infrastructure Energy'!G29)</f>
        <v>76.658842250911547</v>
      </c>
      <c r="I7" s="36">
        <f>SUM('Regional Server Energy'!H30,'Regional Storage Energy'!H30,'Regional Network Energy'!H30,'Regional Infrastructure Energy'!H29)</f>
        <v>85.511473632662216</v>
      </c>
      <c r="J7" s="36">
        <f>SUM('Regional Server Energy'!I30,'Regional Storage Energy'!I30,'Regional Network Energy'!I30,'Regional Infrastructure Energy'!I29)</f>
        <v>92.548780050559074</v>
      </c>
      <c r="K7" s="36">
        <f>SUM('Regional Server Energy'!J30,'Regional Storage Energy'!J30,'Regional Network Energy'!J30,'Regional Infrastructure Energy'!J29)</f>
        <v>100.29720225613252</v>
      </c>
    </row>
    <row r="8" spans="1:11" x14ac:dyDescent="0.55000000000000004">
      <c r="B8" s="7" t="s">
        <v>31</v>
      </c>
      <c r="C8" s="39">
        <f t="shared" ref="C8" si="0">SUM(C5:C7)</f>
        <v>193.70447960471523</v>
      </c>
      <c r="D8" s="39">
        <f>SUM(D5:D7)</f>
        <v>205.21903263254748</v>
      </c>
      <c r="E8" s="39">
        <f>(K8-J8)/2+J8</f>
        <v>205.45363453450096</v>
      </c>
      <c r="G8" s="39">
        <f>SUM(G5:G7)</f>
        <v>199.32943231857078</v>
      </c>
      <c r="H8" s="39">
        <f>SUM(H5:H7)</f>
        <v>196.22286720979304</v>
      </c>
      <c r="I8" s="39">
        <f>SUM(I5:I7)</f>
        <v>194.98237638198611</v>
      </c>
      <c r="J8" s="39">
        <f t="shared" ref="J8:K8" si="1">SUM(J5:J7)</f>
        <v>201.31140908041294</v>
      </c>
      <c r="K8" s="39">
        <f t="shared" si="1"/>
        <v>209.59585998858896</v>
      </c>
    </row>
    <row r="10" spans="1:11" x14ac:dyDescent="0.55000000000000004">
      <c r="B10" s="56" t="s">
        <v>281</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zoomScaleNormal="100" workbookViewId="0"/>
  </sheetViews>
  <sheetFormatPr defaultRowHeight="14.4" x14ac:dyDescent="0.55000000000000004"/>
  <cols>
    <col min="1" max="1" width="2.68359375" customWidth="1"/>
    <col min="2" max="2" width="37.47265625" customWidth="1"/>
    <col min="3" max="4" width="7.26171875" customWidth="1"/>
    <col min="5" max="5" width="9.62890625" customWidth="1"/>
    <col min="6" max="14" width="7.26171875" customWidth="1"/>
  </cols>
  <sheetData>
    <row r="1" spans="1:14" x14ac:dyDescent="0.55000000000000004">
      <c r="A1" s="3"/>
    </row>
    <row r="2" spans="1:14" x14ac:dyDescent="0.55000000000000004">
      <c r="B2" s="3" t="s">
        <v>75</v>
      </c>
      <c r="G2" s="11"/>
    </row>
    <row r="3" spans="1:14" x14ac:dyDescent="0.55000000000000004">
      <c r="C3" s="8" t="s">
        <v>240</v>
      </c>
      <c r="D3" s="1"/>
      <c r="E3" s="9"/>
      <c r="G3" s="8" t="s">
        <v>234</v>
      </c>
      <c r="H3" s="1"/>
      <c r="I3" s="1"/>
      <c r="J3" s="1"/>
      <c r="K3" s="1"/>
    </row>
    <row r="4" spans="1:14" x14ac:dyDescent="0.55000000000000004">
      <c r="B4" s="14" t="s">
        <v>247</v>
      </c>
      <c r="C4" s="34">
        <v>2010</v>
      </c>
      <c r="D4" s="15">
        <v>2018</v>
      </c>
      <c r="E4" s="105" t="s">
        <v>241</v>
      </c>
      <c r="G4" s="15">
        <v>2019</v>
      </c>
      <c r="H4" s="15">
        <v>2020</v>
      </c>
      <c r="I4" s="15">
        <v>2021</v>
      </c>
      <c r="J4" s="15">
        <v>2022</v>
      </c>
      <c r="K4" s="15">
        <v>2023</v>
      </c>
    </row>
    <row r="5" spans="1:14" x14ac:dyDescent="0.55000000000000004">
      <c r="B5" t="s">
        <v>25</v>
      </c>
      <c r="C5" s="36">
        <f>SUM('Regional Server Energy'!C6,'Regional Server Energy'!C15,'Regional Server Energy'!C24,'Regional Storage Energy'!C6,'Regional Storage Energy'!C15,'Regional Storage Energy'!C24,'Regional Network Energy'!C6,'Regional Network Energy'!C15,'Regional Network Energy'!C24,'Regional Infrastructure Energy'!C5,'Regional Infrastructure Energy'!C14,'Regional Infrastructure Energy'!C23)</f>
        <v>60.711805742050061</v>
      </c>
      <c r="D5" s="36">
        <f>SUM('Regional Server Energy'!D6,'Regional Server Energy'!D15,'Regional Server Energy'!D24,'Regional Storage Energy'!D6,'Regional Storage Energy'!D15,'Regional Storage Energy'!D24,'Regional Network Energy'!D6,'Regional Network Energy'!D15,'Regional Network Energy'!D24,'Regional Infrastructure Energy'!D5,'Regional Infrastructure Energy'!D14,'Regional Infrastructure Energy'!D23)</f>
        <v>65.036004136596389</v>
      </c>
      <c r="E5" s="2">
        <f>(K5-J5)/2+J5</f>
        <v>73.442050178135858</v>
      </c>
      <c r="G5" s="36">
        <f>SUM('Regional Server Energy'!F6,'Regional Server Energy'!F15,'Regional Server Energy'!F24,'Regional Storage Energy'!F6,'Regional Storage Energy'!F15,'Regional Storage Energy'!F24,'Regional Network Energy'!F6,'Regional Network Energy'!F15,'Regional Network Energy'!F24,'Regional Infrastructure Energy'!F5,'Regional Infrastructure Energy'!F14,'Regional Infrastructure Energy'!F23)</f>
        <v>66.188804799854623</v>
      </c>
      <c r="H5" s="36">
        <f>SUM('Regional Server Energy'!G6,'Regional Server Energy'!G15,'Regional Server Energy'!G24,'Regional Storage Energy'!G6,'Regional Storage Energy'!G15,'Regional Storage Energy'!G24,'Regional Network Energy'!G6,'Regional Network Energy'!G15,'Regional Network Energy'!G24,'Regional Infrastructure Energy'!G5,'Regional Infrastructure Energy'!G14,'Regional Infrastructure Energy'!G23)</f>
        <v>67.141577371201663</v>
      </c>
      <c r="I5" s="36">
        <f>SUM('Regional Server Energy'!H6,'Regional Server Energy'!H15,'Regional Server Energy'!H24,'Regional Storage Energy'!H6,'Regional Storage Energy'!H15,'Regional Storage Energy'!H24,'Regional Network Energy'!H6,'Regional Network Energy'!H15,'Regional Network Energy'!H24,'Regional Infrastructure Energy'!H5,'Regional Infrastructure Energy'!H14,'Regional Infrastructure Energy'!H23)</f>
        <v>68.513975287470615</v>
      </c>
      <c r="J5" s="36">
        <f>SUM('Regional Server Energy'!I6,'Regional Server Energy'!I15,'Regional Server Energy'!I24,'Regional Storage Energy'!I6,'Regional Storage Energy'!I15,'Regional Storage Energy'!I24,'Regional Network Energy'!I6,'Regional Network Energy'!I15,'Regional Network Energy'!I24,'Regional Infrastructure Energy'!I5,'Regional Infrastructure Energy'!I14,'Regional Infrastructure Energy'!I23)</f>
        <v>71.588423641249733</v>
      </c>
      <c r="K5" s="36">
        <f>SUM('Regional Server Energy'!J6,'Regional Server Energy'!J15,'Regional Server Energy'!J24,'Regional Storage Energy'!J6,'Regional Storage Energy'!J15,'Regional Storage Energy'!J24,'Regional Network Energy'!J6,'Regional Network Energy'!J15,'Regional Network Energy'!J24,'Regional Infrastructure Energy'!J5,'Regional Infrastructure Energy'!J14,'Regional Infrastructure Energy'!J23)</f>
        <v>75.295676715021983</v>
      </c>
    </row>
    <row r="6" spans="1:14" x14ac:dyDescent="0.55000000000000004">
      <c r="B6" t="s">
        <v>26</v>
      </c>
      <c r="C6" s="36">
        <f>SUM('Regional Server Energy'!C7,'Regional Server Energy'!C16,'Regional Server Energy'!C25,'Regional Storage Energy'!C7,'Regional Storage Energy'!C16,'Regional Storage Energy'!C25,'Regional Network Energy'!C7,'Regional Network Energy'!C16,'Regional Network Energy'!C25,'Regional Infrastructure Energy'!C6,'Regional Infrastructure Energy'!C15,'Regional Infrastructure Energy'!C24)</f>
        <v>5.3525609667809153</v>
      </c>
      <c r="D6" s="36">
        <f>SUM('Regional Server Energy'!D7,'Regional Server Energy'!D16,'Regional Server Energy'!D25,'Regional Storage Energy'!D7,'Regional Storage Energy'!D16,'Regional Storage Energy'!D25,'Regional Network Energy'!D7,'Regional Network Energy'!D16,'Regional Network Energy'!D25,'Regional Infrastructure Energy'!D6,'Regional Infrastructure Energy'!D15,'Regional Infrastructure Energy'!D24)</f>
        <v>6.1854115315239122</v>
      </c>
      <c r="E6" s="2">
        <f t="shared" ref="E6:E10" si="0">(K6-J6)/2+J6</f>
        <v>5.9930838727474143</v>
      </c>
      <c r="G6" s="36">
        <f>SUM('Regional Server Energy'!F7,'Regional Server Energy'!F16,'Regional Server Energy'!F25,'Regional Storage Energy'!F7,'Regional Storage Energy'!F16,'Regional Storage Energy'!F25,'Regional Network Energy'!F7,'Regional Network Energy'!F16,'Regional Network Energy'!F25,'Regional Infrastructure Energy'!F6,'Regional Infrastructure Energy'!F15,'Regional Infrastructure Energy'!F24)</f>
        <v>5.9134167974979688</v>
      </c>
      <c r="H6" s="36">
        <f>SUM('Regional Server Energy'!G7,'Regional Server Energy'!G16,'Regional Server Energy'!G25,'Regional Storage Energy'!G7,'Regional Storage Energy'!G16,'Regional Storage Energy'!G25,'Regional Network Energy'!G7,'Regional Network Energy'!G16,'Regional Network Energy'!G25,'Regional Infrastructure Energy'!G6,'Regional Infrastructure Energy'!G15,'Regional Infrastructure Energy'!G24)</f>
        <v>5.7325845020612993</v>
      </c>
      <c r="I6" s="36">
        <f>SUM('Regional Server Energy'!H7,'Regional Server Energy'!H16,'Regional Server Energy'!H25,'Regional Storage Energy'!H7,'Regional Storage Energy'!H16,'Regional Storage Energy'!H25,'Regional Network Energy'!H7,'Regional Network Energy'!H16,'Regional Network Energy'!H25,'Regional Infrastructure Energy'!H6,'Regional Infrastructure Energy'!H15,'Regional Infrastructure Energy'!H24)</f>
        <v>5.7580360514282871</v>
      </c>
      <c r="J6" s="36">
        <f>SUM('Regional Server Energy'!I7,'Regional Server Energy'!I16,'Regional Server Energy'!I25,'Regional Storage Energy'!I7,'Regional Storage Energy'!I16,'Regional Storage Energy'!I25,'Regional Network Energy'!I7,'Regional Network Energy'!I16,'Regional Network Energy'!I25,'Regional Infrastructure Energy'!I6,'Regional Infrastructure Energy'!I15,'Regional Infrastructure Energy'!I24)</f>
        <v>5.8991655648659522</v>
      </c>
      <c r="K6" s="36">
        <f>SUM('Regional Server Energy'!J7,'Regional Server Energy'!J16,'Regional Server Energy'!J25,'Regional Storage Energy'!J7,'Regional Storage Energy'!J16,'Regional Storage Energy'!J25,'Regional Network Energy'!J7,'Regional Network Energy'!J16,'Regional Network Energy'!J25,'Regional Infrastructure Energy'!J6,'Regional Infrastructure Energy'!J15,'Regional Infrastructure Energy'!J24)</f>
        <v>6.0870021806288772</v>
      </c>
    </row>
    <row r="7" spans="1:14" x14ac:dyDescent="0.55000000000000004">
      <c r="B7" t="s">
        <v>27</v>
      </c>
      <c r="C7" s="36">
        <f>SUM('Regional Server Energy'!C8,'Regional Server Energy'!C17,'Regional Server Energy'!C26,'Regional Storage Energy'!C8,'Regional Storage Energy'!C17,'Regional Storage Energy'!C26,'Regional Network Energy'!C8,'Regional Network Energy'!C17,'Regional Network Energy'!C26,'Regional Infrastructure Energy'!C7,'Regional Infrastructure Energy'!C16,'Regional Infrastructure Energy'!C25)</f>
        <v>5.3251352468597979</v>
      </c>
      <c r="D7" s="36">
        <f>SUM('Regional Server Energy'!D8,'Regional Server Energy'!D17,'Regional Server Energy'!D26,'Regional Storage Energy'!D8,'Regional Storage Energy'!D17,'Regional Storage Energy'!D26,'Regional Network Energy'!D8,'Regional Network Energy'!D17,'Regional Network Energy'!D26,'Regional Infrastructure Energy'!D7,'Regional Infrastructure Energy'!D16,'Regional Infrastructure Energy'!D25)</f>
        <v>5.6296185775709207</v>
      </c>
      <c r="E7" s="2">
        <f t="shared" si="0"/>
        <v>5.7145590402033219</v>
      </c>
      <c r="G7" s="36">
        <f>SUM('Regional Server Energy'!F8,'Regional Server Energy'!F17,'Regional Server Energy'!F26,'Regional Storage Energy'!F8,'Regional Storage Energy'!F17,'Regional Storage Energy'!F26,'Regional Network Energy'!F8,'Regional Network Energy'!F17,'Regional Network Energy'!F26,'Regional Infrastructure Energy'!F7,'Regional Infrastructure Energy'!F16,'Regional Infrastructure Energy'!F25)</f>
        <v>5.1870663594052937</v>
      </c>
      <c r="H7" s="36">
        <f>SUM('Regional Server Energy'!G8,'Regional Server Energy'!G17,'Regional Server Energy'!G26,'Regional Storage Energy'!G8,'Regional Storage Energy'!G17,'Regional Storage Energy'!G26,'Regional Network Energy'!G8,'Regional Network Energy'!G17,'Regional Network Energy'!G26,'Regional Infrastructure Energy'!G7,'Regional Infrastructure Energy'!G16,'Regional Infrastructure Energy'!G25)</f>
        <v>5.2491155968140593</v>
      </c>
      <c r="I7" s="36">
        <f>SUM('Regional Server Energy'!H8,'Regional Server Energy'!H17,'Regional Server Energy'!H26,'Regional Storage Energy'!H8,'Regional Storage Energy'!H17,'Regional Storage Energy'!H26,'Regional Network Energy'!H8,'Regional Network Energy'!H17,'Regional Network Energy'!H26,'Regional Infrastructure Energy'!H7,'Regional Infrastructure Energy'!H16,'Regional Infrastructure Energy'!H25)</f>
        <v>5.2780867703940233</v>
      </c>
      <c r="J7" s="36">
        <f>SUM('Regional Server Energy'!I8,'Regional Server Energy'!I17,'Regional Server Energy'!I26,'Regional Storage Energy'!I8,'Regional Storage Energy'!I17,'Regional Storage Energy'!I26,'Regional Network Energy'!I8,'Regional Network Energy'!I17,'Regional Network Energy'!I26,'Regional Infrastructure Energy'!I7,'Regional Infrastructure Energy'!I16,'Regional Infrastructure Energy'!I25)</f>
        <v>5.5522679088391662</v>
      </c>
      <c r="K7" s="36">
        <f>SUM('Regional Server Energy'!J8,'Regional Server Energy'!J17,'Regional Server Energy'!J26,'Regional Storage Energy'!J8,'Regional Storage Energy'!J17,'Regional Storage Energy'!J26,'Regional Network Energy'!J8,'Regional Network Energy'!J17,'Regional Network Energy'!J26,'Regional Infrastructure Energy'!J7,'Regional Infrastructure Energy'!J16,'Regional Infrastructure Energy'!J25)</f>
        <v>5.8768501715674777</v>
      </c>
    </row>
    <row r="8" spans="1:14" x14ac:dyDescent="0.55000000000000004">
      <c r="B8" s="20" t="s">
        <v>28</v>
      </c>
      <c r="C8" s="36">
        <f>SUM('Regional Server Energy'!C9,'Regional Server Energy'!C18,'Regional Server Energy'!C27,'Regional Storage Energy'!C9,'Regional Storage Energy'!C18,'Regional Storage Energy'!C27,'Regional Network Energy'!C9,'Regional Network Energy'!C18,'Regional Network Energy'!C27,'Regional Infrastructure Energy'!C8,'Regional Infrastructure Energy'!C17,'Regional Infrastructure Energy'!C26)</f>
        <v>2.3320419874179117</v>
      </c>
      <c r="D8" s="36">
        <f>SUM('Regional Server Energy'!D9,'Regional Server Energy'!D18,'Regional Server Energy'!D27,'Regional Storage Energy'!D9,'Regional Storage Energy'!D18,'Regional Storage Energy'!D27,'Regional Network Energy'!D9,'Regional Network Energy'!D18,'Regional Network Energy'!D27,'Regional Infrastructure Energy'!D8,'Regional Infrastructure Energy'!D17,'Regional Infrastructure Energy'!D26)</f>
        <v>5.0819225699915744</v>
      </c>
      <c r="E8" s="2">
        <f t="shared" si="0"/>
        <v>4.7805919280358591</v>
      </c>
      <c r="G8" s="36">
        <f>SUM('Regional Server Energy'!F9,'Regional Server Energy'!F18,'Regional Server Energy'!F27,'Regional Storage Energy'!F9,'Regional Storage Energy'!F18,'Regional Storage Energy'!F27,'Regional Network Energy'!F9,'Regional Network Energy'!F18,'Regional Network Energy'!F27,'Regional Infrastructure Energy'!F8,'Regional Infrastructure Energy'!F17,'Regional Infrastructure Energy'!F26)</f>
        <v>4.8010074440158732</v>
      </c>
      <c r="H8" s="36">
        <f>SUM('Regional Server Energy'!G9,'Regional Server Energy'!G18,'Regional Server Energy'!G27,'Regional Storage Energy'!G9,'Regional Storage Energy'!G18,'Regional Storage Energy'!G27,'Regional Network Energy'!G9,'Regional Network Energy'!G18,'Regional Network Energy'!G27,'Regional Infrastructure Energy'!G8,'Regional Infrastructure Energy'!G17,'Regional Infrastructure Energy'!G26)</f>
        <v>4.7091766239292339</v>
      </c>
      <c r="I8" s="36">
        <f>SUM('Regional Server Energy'!H9,'Regional Server Energy'!H18,'Regional Server Energy'!H27,'Regional Storage Energy'!H9,'Regional Storage Energy'!H18,'Regional Storage Energy'!H27,'Regional Network Energy'!H9,'Regional Network Energy'!H18,'Regional Network Energy'!H27,'Regional Infrastructure Energy'!H8,'Regional Infrastructure Energy'!H17,'Regional Infrastructure Energy'!H26)</f>
        <v>4.5357921449138319</v>
      </c>
      <c r="J8" s="36">
        <f>SUM('Regional Server Energy'!I9,'Regional Server Energy'!I18,'Regional Server Energy'!I27,'Regional Storage Energy'!I9,'Regional Storage Energy'!I18,'Regional Storage Energy'!I27,'Regional Network Energy'!I9,'Regional Network Energy'!I18,'Regional Network Energy'!I27,'Regional Infrastructure Energy'!I8,'Regional Infrastructure Energy'!I17,'Regional Infrastructure Energy'!I26)</f>
        <v>4.6859655137559697</v>
      </c>
      <c r="K8" s="36">
        <f>SUM('Regional Server Energy'!J9,'Regional Server Energy'!J18,'Regional Server Energy'!J27,'Regional Storage Energy'!J9,'Regional Storage Energy'!J18,'Regional Storage Energy'!J27,'Regional Network Energy'!J9,'Regional Network Energy'!J18,'Regional Network Energy'!J27,'Regional Infrastructure Energy'!J8,'Regional Infrastructure Energy'!J17,'Regional Infrastructure Energy'!J26)</f>
        <v>4.8752183423157476</v>
      </c>
    </row>
    <row r="9" spans="1:14" x14ac:dyDescent="0.55000000000000004">
      <c r="B9" s="20" t="s">
        <v>29</v>
      </c>
      <c r="C9" s="36">
        <f>SUM('Regional Server Energy'!C10,'Regional Server Energy'!C19,'Regional Server Energy'!C28,'Regional Storage Energy'!C10,'Regional Storage Energy'!C19,'Regional Storage Energy'!C28,'Regional Network Energy'!C10,'Regional Network Energy'!C19,'Regional Network Energy'!C28,'Regional Infrastructure Energy'!C9,'Regional Infrastructure Energy'!C18,'Regional Infrastructure Energy'!C27)</f>
        <v>77.697727634754358</v>
      </c>
      <c r="D9" s="36">
        <f>SUM('Regional Server Energy'!D10,'Regional Server Energy'!D19,'Regional Server Energy'!D28,'Regional Storage Energy'!D10,'Regional Storage Energy'!D19,'Regional Storage Energy'!D28,'Regional Network Energy'!D10,'Regional Network Energy'!D19,'Regional Network Energy'!D28,'Regional Infrastructure Energy'!D9,'Regional Infrastructure Energy'!D18,'Regional Infrastructure Energy'!D27)</f>
        <v>83.860548727005749</v>
      </c>
      <c r="E9" s="2">
        <f t="shared" si="0"/>
        <v>76.889142151375069</v>
      </c>
      <c r="G9" s="36">
        <f>SUM('Regional Server Energy'!F10,'Regional Server Energy'!F19,'Regional Server Energy'!F28,'Regional Storage Energy'!F10,'Regional Storage Energy'!F19,'Regional Storage Energy'!F28,'Regional Network Energy'!F10,'Regional Network Energy'!F19,'Regional Network Energy'!F28,'Regional Infrastructure Energy'!F9,'Regional Infrastructure Energy'!F18,'Regional Infrastructure Energy'!F27)</f>
        <v>79.339652408556418</v>
      </c>
      <c r="H9" s="36">
        <f>SUM('Regional Server Energy'!G10,'Regional Server Energy'!G19,'Regional Server Energy'!G28,'Regional Storage Energy'!G10,'Regional Storage Energy'!G19,'Regional Storage Energy'!G28,'Regional Network Energy'!G10,'Regional Network Energy'!G19,'Regional Network Energy'!G28,'Regional Infrastructure Energy'!G9,'Regional Infrastructure Energy'!G18,'Regional Infrastructure Energy'!G27)</f>
        <v>76.188339291972866</v>
      </c>
      <c r="I9" s="36">
        <f>SUM('Regional Server Energy'!H10,'Regional Server Energy'!H19,'Regional Server Energy'!H28,'Regional Storage Energy'!H10,'Regional Storage Energy'!H19,'Regional Storage Energy'!H28,'Regional Network Energy'!H10,'Regional Network Energy'!H19,'Regional Network Energy'!H28,'Regional Infrastructure Energy'!H9,'Regional Infrastructure Energy'!H18,'Regional Infrastructure Energy'!H27)</f>
        <v>73.813312254469338</v>
      </c>
      <c r="J9" s="36">
        <f>SUM('Regional Server Energy'!I10,'Regional Server Energy'!I19,'Regional Server Energy'!I28,'Regional Storage Energy'!I10,'Regional Storage Energy'!I19,'Regional Storage Energy'!I28,'Regional Network Energy'!I10,'Regional Network Energy'!I19,'Regional Network Energy'!I28,'Regional Infrastructure Energy'!I9,'Regional Infrastructure Energy'!I18,'Regional Infrastructure Energy'!I27)</f>
        <v>75.602552243207342</v>
      </c>
      <c r="K9" s="36">
        <f>SUM('Regional Server Energy'!J10,'Regional Server Energy'!J19,'Regional Server Energy'!J28,'Regional Storage Energy'!J10,'Regional Storage Energy'!J19,'Regional Storage Energy'!J28,'Regional Network Energy'!J10,'Regional Network Energy'!J19,'Regional Network Energy'!J28,'Regional Infrastructure Energy'!J9,'Regional Infrastructure Energy'!J18,'Regional Infrastructure Energy'!J27)</f>
        <v>78.175732059542796</v>
      </c>
    </row>
    <row r="10" spans="1:14" x14ac:dyDescent="0.55000000000000004">
      <c r="B10" s="20" t="s">
        <v>30</v>
      </c>
      <c r="C10" s="36">
        <f>SUM('Regional Server Energy'!C11,'Regional Server Energy'!C20,'Regional Server Energy'!C29,'Regional Storage Energy'!C11,'Regional Storage Energy'!C20,'Regional Storage Energy'!C29,'Regional Network Energy'!C11,'Regional Network Energy'!C20,'Regional Network Energy'!C29,'Regional Infrastructure Energy'!C10,'Regional Infrastructure Energy'!C19,'Regional Infrastructure Energy'!C28)</f>
        <v>42.285208026852189</v>
      </c>
      <c r="D10" s="36">
        <f>SUM('Regional Server Energy'!D11,'Regional Server Energy'!D20,'Regional Server Energy'!D29,'Regional Storage Energy'!D11,'Regional Storage Energy'!D20,'Regional Storage Energy'!D29,'Regional Network Energy'!D11,'Regional Network Energy'!D20,'Regional Network Energy'!D29,'Regional Infrastructure Energy'!D10,'Regional Infrastructure Energy'!D19,'Regional Infrastructure Energy'!D28)</f>
        <v>39.425527089858939</v>
      </c>
      <c r="E10" s="2">
        <f t="shared" si="0"/>
        <v>38.63420736400343</v>
      </c>
      <c r="G10" s="36">
        <f>SUM('Regional Server Energy'!F11,'Regional Server Energy'!F20,'Regional Server Energy'!F29,'Regional Storage Energy'!F11,'Regional Storage Energy'!F20,'Regional Storage Energy'!F29,'Regional Network Energy'!F11,'Regional Network Energy'!F20,'Regional Network Energy'!F29,'Regional Infrastructure Energy'!F10,'Regional Infrastructure Energy'!F19,'Regional Infrastructure Energy'!F28)</f>
        <v>37.899484509240594</v>
      </c>
      <c r="H10" s="36">
        <f>SUM('Regional Server Energy'!G11,'Regional Server Energy'!G20,'Regional Server Energy'!G29,'Regional Storage Energy'!G11,'Regional Storage Energy'!G20,'Regional Storage Energy'!G29,'Regional Network Energy'!G11,'Regional Network Energy'!G20,'Regional Network Energy'!G29,'Regional Infrastructure Energy'!G10,'Regional Infrastructure Energy'!G19,'Regional Infrastructure Energy'!G28)</f>
        <v>37.202073823813869</v>
      </c>
      <c r="I10" s="36">
        <f>SUM('Regional Server Energy'!H11,'Regional Server Energy'!H20,'Regional Server Energy'!H29,'Regional Storage Energy'!H11,'Regional Storage Energy'!H20,'Regional Storage Energy'!H29,'Regional Network Energy'!H11,'Regional Network Energy'!H20,'Regional Network Energy'!H29,'Regional Infrastructure Energy'!H10,'Regional Infrastructure Energy'!H19,'Regional Infrastructure Energy'!H28)</f>
        <v>37.083173873310031</v>
      </c>
      <c r="J10" s="36">
        <f>SUM('Regional Server Energy'!I11,'Regional Server Energy'!I20,'Regional Server Energy'!I29,'Regional Storage Energy'!I11,'Regional Storage Energy'!I20,'Regional Storage Energy'!I29,'Regional Network Energy'!I11,'Regional Network Energy'!I20,'Regional Network Energy'!I29,'Regional Infrastructure Energy'!I10,'Regional Infrastructure Energy'!I19,'Regional Infrastructure Energy'!I28)</f>
        <v>37.9830342084948</v>
      </c>
      <c r="K10" s="36">
        <f>SUM('Regional Server Energy'!J11,'Regional Server Energy'!J20,'Regional Server Energy'!J29,'Regional Storage Energy'!J11,'Regional Storage Energy'!J20,'Regional Storage Energy'!J29,'Regional Network Energy'!J11,'Regional Network Energy'!J20,'Regional Network Energy'!J29,'Regional Infrastructure Energy'!J10,'Regional Infrastructure Energy'!J19,'Regional Infrastructure Energy'!J28)</f>
        <v>39.285380519512067</v>
      </c>
    </row>
    <row r="11" spans="1:14" x14ac:dyDescent="0.55000000000000004">
      <c r="B11" s="7" t="s">
        <v>31</v>
      </c>
      <c r="C11" s="39">
        <f t="shared" ref="C11" si="1">SUM(C5:C10)</f>
        <v>193.70447960471523</v>
      </c>
      <c r="D11" s="39">
        <f>SUM(D5:D10)</f>
        <v>205.21903263254748</v>
      </c>
      <c r="E11" s="39">
        <f>SUM(E5:E10)</f>
        <v>205.45363453450096</v>
      </c>
      <c r="G11" s="39">
        <f>SUM(G5:G10)</f>
        <v>199.32943231857075</v>
      </c>
      <c r="H11" s="39">
        <f>SUM(H5:H10)</f>
        <v>196.22286720979298</v>
      </c>
      <c r="I11" s="39">
        <f>SUM(I5:I10)</f>
        <v>194.98237638198611</v>
      </c>
      <c r="J11" s="39">
        <f>SUM(J5:J10)</f>
        <v>201.311409080413</v>
      </c>
      <c r="K11" s="39">
        <f>SUM(K5:K10)</f>
        <v>209.59585998858896</v>
      </c>
    </row>
    <row r="12" spans="1:14" x14ac:dyDescent="0.55000000000000004">
      <c r="B12" s="9"/>
      <c r="C12" s="70"/>
      <c r="D12" s="70"/>
      <c r="E12" s="70"/>
      <c r="G12" s="70"/>
      <c r="H12" s="70"/>
      <c r="I12" s="70"/>
      <c r="J12" s="70"/>
      <c r="K12" s="70"/>
    </row>
    <row r="13" spans="1:14" x14ac:dyDescent="0.55000000000000004">
      <c r="C13" s="8" t="s">
        <v>240</v>
      </c>
      <c r="D13" s="1"/>
      <c r="E13" s="9"/>
      <c r="G13" s="8" t="s">
        <v>234</v>
      </c>
      <c r="H13" s="1"/>
      <c r="I13" s="1"/>
      <c r="J13" s="1"/>
      <c r="K13" s="1"/>
      <c r="L13" s="11"/>
      <c r="M13" s="11"/>
      <c r="N13" s="11"/>
    </row>
    <row r="14" spans="1:14" x14ac:dyDescent="0.55000000000000004">
      <c r="B14" s="14" t="s">
        <v>247</v>
      </c>
      <c r="C14" s="34">
        <v>2010</v>
      </c>
      <c r="D14" s="15">
        <v>2018</v>
      </c>
      <c r="E14" s="105" t="s">
        <v>241</v>
      </c>
      <c r="G14" s="15">
        <v>2019</v>
      </c>
      <c r="H14" s="15">
        <v>2020</v>
      </c>
      <c r="I14" s="15">
        <v>2021</v>
      </c>
      <c r="J14" s="15">
        <v>2022</v>
      </c>
      <c r="K14" s="15">
        <v>2023</v>
      </c>
    </row>
    <row r="15" spans="1:14" x14ac:dyDescent="0.55000000000000004">
      <c r="B15" t="s">
        <v>25</v>
      </c>
      <c r="C15" s="36">
        <f>C5</f>
        <v>60.711805742050061</v>
      </c>
      <c r="D15" s="36">
        <f t="shared" ref="D15:E15" si="2">D5</f>
        <v>65.036004136596389</v>
      </c>
      <c r="E15" s="36">
        <f t="shared" si="2"/>
        <v>73.442050178135858</v>
      </c>
      <c r="G15" s="36">
        <f t="shared" ref="G15:K15" si="3">G5</f>
        <v>66.188804799854623</v>
      </c>
      <c r="H15" s="36">
        <f t="shared" si="3"/>
        <v>67.141577371201663</v>
      </c>
      <c r="I15" s="36">
        <f t="shared" si="3"/>
        <v>68.513975287470615</v>
      </c>
      <c r="J15" s="36">
        <f t="shared" si="3"/>
        <v>71.588423641249733</v>
      </c>
      <c r="K15" s="36">
        <f t="shared" si="3"/>
        <v>75.295676715021983</v>
      </c>
    </row>
    <row r="16" spans="1:14" x14ac:dyDescent="0.55000000000000004">
      <c r="B16" t="s">
        <v>91</v>
      </c>
      <c r="C16" s="36">
        <f>SUM(C6:C8)</f>
        <v>13.009738201058624</v>
      </c>
      <c r="D16" s="36">
        <f t="shared" ref="D16:E16" si="4">SUM(D6:D8)</f>
        <v>16.896952679086407</v>
      </c>
      <c r="E16" s="36">
        <f t="shared" si="4"/>
        <v>16.488234840986593</v>
      </c>
      <c r="G16" s="36">
        <f t="shared" ref="G16:K16" si="5">SUM(G6:G8)</f>
        <v>15.901490600919136</v>
      </c>
      <c r="H16" s="36">
        <f t="shared" si="5"/>
        <v>15.690876722804592</v>
      </c>
      <c r="I16" s="36">
        <f t="shared" si="5"/>
        <v>15.571914966736141</v>
      </c>
      <c r="J16" s="36">
        <f t="shared" si="5"/>
        <v>16.13739898746109</v>
      </c>
      <c r="K16" s="36">
        <f t="shared" si="5"/>
        <v>16.839070694512102</v>
      </c>
    </row>
    <row r="17" spans="2:11" x14ac:dyDescent="0.55000000000000004">
      <c r="B17" s="20" t="s">
        <v>29</v>
      </c>
      <c r="C17" s="36">
        <f>C9</f>
        <v>77.697727634754358</v>
      </c>
      <c r="D17" s="36">
        <f t="shared" ref="D17:E17" si="6">D9</f>
        <v>83.860548727005749</v>
      </c>
      <c r="E17" s="36">
        <f t="shared" si="6"/>
        <v>76.889142151375069</v>
      </c>
      <c r="G17" s="36">
        <f t="shared" ref="G17:K17" si="7">G9</f>
        <v>79.339652408556418</v>
      </c>
      <c r="H17" s="36">
        <f t="shared" si="7"/>
        <v>76.188339291972866</v>
      </c>
      <c r="I17" s="36">
        <f t="shared" si="7"/>
        <v>73.813312254469338</v>
      </c>
      <c r="J17" s="36">
        <f t="shared" si="7"/>
        <v>75.602552243207342</v>
      </c>
      <c r="K17" s="36">
        <f t="shared" si="7"/>
        <v>78.175732059542796</v>
      </c>
    </row>
    <row r="18" spans="2:11" x14ac:dyDescent="0.55000000000000004">
      <c r="B18" s="20" t="s">
        <v>30</v>
      </c>
      <c r="C18" s="36">
        <f>C10</f>
        <v>42.285208026852189</v>
      </c>
      <c r="D18" s="36">
        <f t="shared" ref="D18:E18" si="8">D10</f>
        <v>39.425527089858939</v>
      </c>
      <c r="E18" s="36">
        <f t="shared" si="8"/>
        <v>38.63420736400343</v>
      </c>
      <c r="G18" s="36">
        <f t="shared" ref="G18:K18" si="9">G10</f>
        <v>37.899484509240594</v>
      </c>
      <c r="H18" s="36">
        <f t="shared" si="9"/>
        <v>37.202073823813869</v>
      </c>
      <c r="I18" s="36">
        <f t="shared" si="9"/>
        <v>37.083173873310031</v>
      </c>
      <c r="J18" s="36">
        <f t="shared" si="9"/>
        <v>37.9830342084948</v>
      </c>
      <c r="K18" s="36">
        <f t="shared" si="9"/>
        <v>39.285380519512067</v>
      </c>
    </row>
    <row r="19" spans="2:11" x14ac:dyDescent="0.55000000000000004">
      <c r="B19" s="7" t="s">
        <v>31</v>
      </c>
      <c r="C19" s="39">
        <f t="shared" ref="C19:E19" si="10">SUM(C15:C18)</f>
        <v>193.70447960471523</v>
      </c>
      <c r="D19" s="39">
        <f t="shared" si="10"/>
        <v>205.21903263254748</v>
      </c>
      <c r="E19" s="39">
        <f t="shared" si="10"/>
        <v>205.45363453450096</v>
      </c>
      <c r="G19" s="39">
        <f t="shared" ref="G19:K19" si="11">SUM(G15:G18)</f>
        <v>199.32943231857075</v>
      </c>
      <c r="H19" s="39">
        <f t="shared" si="11"/>
        <v>196.22286720979298</v>
      </c>
      <c r="I19" s="39">
        <f t="shared" si="11"/>
        <v>194.98237638198611</v>
      </c>
      <c r="J19" s="39">
        <f t="shared" si="11"/>
        <v>201.311409080413</v>
      </c>
      <c r="K19" s="39">
        <f t="shared" si="11"/>
        <v>209.59585998858896</v>
      </c>
    </row>
    <row r="21" spans="2:11" x14ac:dyDescent="0.55000000000000004">
      <c r="B21" s="56" t="s">
        <v>281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Introduction</vt:lpstr>
      <vt:lpstr>Current Trends Analysis</vt:lpstr>
      <vt:lpstr>Global Server Stock</vt:lpstr>
      <vt:lpstr>Global Server Energy</vt:lpstr>
      <vt:lpstr>Regional Server Stock</vt:lpstr>
      <vt:lpstr>Regional Server Energy</vt:lpstr>
      <vt:lpstr>Global Storage Stock</vt:lpstr>
      <vt:lpstr>Global Storage Energy</vt:lpstr>
      <vt:lpstr>Regional Storage Energy</vt:lpstr>
      <vt:lpstr>Global Network Stock</vt:lpstr>
      <vt:lpstr>Global Network Energy</vt:lpstr>
      <vt:lpstr>Regional Network Energy</vt:lpstr>
      <vt:lpstr>Regional PUE</vt:lpstr>
      <vt:lpstr>Regional Infrastructure Energy</vt:lpstr>
      <vt:lpstr>References</vt:lpstr>
      <vt:lpstr>Figure 1</vt:lpstr>
      <vt:lpstr>Figure 2a</vt:lpstr>
      <vt:lpstr>Figure 2b</vt:lpstr>
      <vt:lpstr>Figure 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 NU</dc:creator>
  <cp:lastModifiedBy>Eric Masanet</cp:lastModifiedBy>
  <dcterms:created xsi:type="dcterms:W3CDTF">2019-07-12T07:59:21Z</dcterms:created>
  <dcterms:modified xsi:type="dcterms:W3CDTF">2020-02-15T19:33:54Z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583841860294342</vt:r8>
  </property>
</Properties>
</file>