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brio Cholerae" sheetId="1" r:id="rId3"/>
    <sheet state="visible" name="ec000913" sheetId="2" r:id="rId4"/>
    <sheet state="visible" name="Salmonella" sheetId="3" r:id="rId5"/>
    <sheet state="visible" name="Clostridium Tetani" sheetId="4" r:id="rId6"/>
    <sheet state="visible" name="Bacillus" sheetId="5" r:id="rId7"/>
    <sheet state="visible" name="Pneumonia" sheetId="6" r:id="rId8"/>
    <sheet state="visible" name="Staphylococcus" sheetId="7" r:id="rId9"/>
    <sheet state="visible" name="ECOLI" sheetId="8" r:id="rId10"/>
    <sheet state="visible" name="Streptococcus" sheetId="9" r:id="rId11"/>
    <sheet state="visible" name="Mycobacterium Tuberculosis" sheetId="10" r:id="rId12"/>
    <sheet state="visible" name="Clostridium Botulinum" sheetId="11" r:id="rId13"/>
    <sheet state="visible" name="Treponema_pallidum" sheetId="12" r:id="rId14"/>
    <sheet state="visible" name="Chlamydia_trachomatis" sheetId="13" r:id="rId15"/>
    <sheet state="visible" name="Helicobacter_Pylori" sheetId="14" r:id="rId16"/>
  </sheets>
  <definedNames/>
  <calcPr/>
</workbook>
</file>

<file path=xl/sharedStrings.xml><?xml version="1.0" encoding="utf-8"?>
<sst xmlns="http://schemas.openxmlformats.org/spreadsheetml/2006/main" count="997" uniqueCount="441">
  <si>
    <t>Bacteria name: E.Coli NC_000913</t>
  </si>
  <si>
    <t>Bacteria name: Vibrio Cholarae</t>
  </si>
  <si>
    <t>WS1=50000,10000</t>
  </si>
  <si>
    <t>WS2=10000,2000</t>
  </si>
  <si>
    <t>WS3=5,000-1,000</t>
  </si>
  <si>
    <t>WS4=1,000-200</t>
  </si>
  <si>
    <t xml:space="preserve">Bacteria name: Salmonella </t>
  </si>
  <si>
    <t>WS5=500,100</t>
  </si>
  <si>
    <t>WS4 = 2,500-500</t>
  </si>
  <si>
    <t>ORI</t>
  </si>
  <si>
    <t>PEAK/AVG-1</t>
  </si>
  <si>
    <t>S.D./avg</t>
  </si>
  <si>
    <t>ratio</t>
  </si>
  <si>
    <t>peak1</t>
  </si>
  <si>
    <t>20,10,000</t>
  </si>
  <si>
    <t>14,64,000/732</t>
  </si>
  <si>
    <t>peak2</t>
  </si>
  <si>
    <t>14,40,000</t>
  </si>
  <si>
    <t>peak3</t>
  </si>
  <si>
    <t>24,00,000</t>
  </si>
  <si>
    <t>peak4</t>
  </si>
  <si>
    <t>4,00,000</t>
  </si>
  <si>
    <t>peak5</t>
  </si>
  <si>
    <t>8,50,000</t>
  </si>
  <si>
    <t>gcskew</t>
  </si>
  <si>
    <t>15,10,000-15,60,000</t>
  </si>
  <si>
    <t>WS5=1,000-200</t>
  </si>
  <si>
    <t>WS6=500,100</t>
  </si>
  <si>
    <t>15,44,000-15,54,000</t>
  </si>
  <si>
    <t>38,88,000-39,40,000(ori)</t>
  </si>
  <si>
    <t>`</t>
  </si>
  <si>
    <t>39,16,000-39,32,000(ori)</t>
  </si>
  <si>
    <t>14,90,000/149</t>
  </si>
  <si>
    <t>4,490,000/449</t>
  </si>
  <si>
    <t>2,830,000/1415</t>
  </si>
  <si>
    <t>17,12,000/856</t>
  </si>
  <si>
    <t>3,630,000/3630</t>
  </si>
  <si>
    <t>17,12,000/1712</t>
  </si>
  <si>
    <t>36,30,000/7260</t>
  </si>
  <si>
    <t>17,14,000/3428</t>
  </si>
  <si>
    <t>3,629,800/18149</t>
  </si>
  <si>
    <t>10,45,200/5226</t>
  </si>
  <si>
    <t>815,000/8150</t>
  </si>
  <si>
    <t>29,25,500/29255</t>
  </si>
  <si>
    <t>2,640,000/264</t>
  </si>
  <si>
    <t>10,50,000/105</t>
  </si>
  <si>
    <t>15,32,000/766</t>
  </si>
  <si>
    <t>2,630,000/1315</t>
  </si>
  <si>
    <t>15,28,000/1528</t>
  </si>
  <si>
    <t>2,833,000/2833</t>
  </si>
  <si>
    <t>15,29,500/3059</t>
  </si>
  <si>
    <t>38,82,000/7764</t>
  </si>
  <si>
    <t>Bacteria name: Clostrinum Tetani</t>
  </si>
  <si>
    <t>15,30,400/7652</t>
  </si>
  <si>
    <t>1,137,000/5685</t>
  </si>
  <si>
    <t>7,80,000/78</t>
  </si>
  <si>
    <t>19,54,100/19541</t>
  </si>
  <si>
    <t>17,20,000/172</t>
  </si>
  <si>
    <t>13,36,000/668</t>
  </si>
  <si>
    <t>1,137,000/11370</t>
  </si>
  <si>
    <t>4,64,000/464</t>
  </si>
  <si>
    <t>13,34,000/2669</t>
  </si>
  <si>
    <t>2,800,000/280</t>
  </si>
  <si>
    <t>10,38,000/519</t>
  </si>
  <si>
    <t>3,626,000/1813</t>
  </si>
  <si>
    <t>10,44,000/1044</t>
  </si>
  <si>
    <t>4,47,200/2236</t>
  </si>
  <si>
    <t>2,629,000/2629</t>
  </si>
  <si>
    <t>10,44,500/2089</t>
  </si>
  <si>
    <t>4,67,600/4676</t>
  </si>
  <si>
    <t>28,35,000/5670</t>
  </si>
  <si>
    <t>18,40,400/184</t>
  </si>
  <si>
    <t>17,15,000/8575</t>
  </si>
  <si>
    <t>999,600/4998</t>
  </si>
  <si>
    <t>4,62,000/231</t>
  </si>
  <si>
    <t>996,000/9960</t>
  </si>
  <si>
    <t>10,45,300/10453</t>
  </si>
  <si>
    <t>12,75,000/1275</t>
  </si>
  <si>
    <t>1,000,000/100</t>
  </si>
  <si>
    <t>-</t>
  </si>
  <si>
    <t>25,60,600/12803</t>
  </si>
  <si>
    <t>4,66,000/932</t>
  </si>
  <si>
    <t>4,488,000/2244</t>
  </si>
  <si>
    <t>15,30,800/15308</t>
  </si>
  <si>
    <t>3,882,000/3882</t>
  </si>
  <si>
    <t>7,98,400/3992</t>
  </si>
  <si>
    <t>29,25,000/14625</t>
  </si>
  <si>
    <t>16,87,200/16872</t>
  </si>
  <si>
    <t>26,31,000/5262</t>
  </si>
  <si>
    <t>25,60,700/25607</t>
  </si>
  <si>
    <t>13,40,000/134</t>
  </si>
  <si>
    <t>2,736,000/13,680</t>
  </si>
  <si>
    <t xml:space="preserve">standard deviation increases on decreasing window size. Amongst all the graphs, there is a common value of ori observed despite it not being the highest. The 3rd window size gives the best peak.
</t>
  </si>
  <si>
    <t>8,14,000/407</t>
  </si>
  <si>
    <t>2,736,300/27363</t>
  </si>
  <si>
    <t>7,82,000/782</t>
  </si>
  <si>
    <t>12,75,000/2551</t>
  </si>
  <si>
    <t>7,80,800/3904</t>
  </si>
  <si>
    <t>13,35,700/13357</t>
  </si>
  <si>
    <t>11,60,000/116</t>
  </si>
  <si>
    <t>3,882,400/19,412</t>
  </si>
  <si>
    <t>3,630,300/36303</t>
  </si>
  <si>
    <t>7,78,000/398</t>
  </si>
  <si>
    <t>15,00,000-17,00,000</t>
  </si>
  <si>
    <t>15,34,000-15,44,000</t>
  </si>
  <si>
    <t>15,37,000-15,43,000</t>
  </si>
  <si>
    <t>22,73,000/2273</t>
  </si>
  <si>
    <t>7,73,600/3868</t>
  </si>
  <si>
    <t>7,73,600/7736</t>
  </si>
  <si>
    <t>gcorr</t>
  </si>
  <si>
    <t>14,20,000-14,80,000</t>
  </si>
  <si>
    <t>13,34,200/6671</t>
  </si>
  <si>
    <t>peak6</t>
  </si>
  <si>
    <t>15,32,000-15,44,000</t>
  </si>
  <si>
    <t>815,000/4,075</t>
  </si>
  <si>
    <t>15,28,000-15,42,000</t>
  </si>
  <si>
    <t>11,50,500/11505</t>
  </si>
  <si>
    <t>13,40,000-14,20,000</t>
  </si>
  <si>
    <t>13,82,000-13,98,000</t>
  </si>
  <si>
    <t>13,90,000-14,02,000</t>
  </si>
  <si>
    <t>13,91,600-13,99,800</t>
  </si>
  <si>
    <t>13,50,000-14,20,000</t>
  </si>
  <si>
    <t>13,82,000-14,01,000</t>
  </si>
  <si>
    <t>3,980,000-4,100,000</t>
  </si>
  <si>
    <t>4,074,000-4,102,000</t>
  </si>
  <si>
    <t>13,92,000-14,03,000</t>
  </si>
  <si>
    <t>4,076,000-4,101,000</t>
  </si>
  <si>
    <t>4,050,000-4,100,000</t>
  </si>
  <si>
    <t>Decreasing the window size increases the standard deviation.A particular value of ori, not the highest in all cases matches with gc skew. gcskew values lie within a range.Second window size gives the best peak. The values of icorr are consistent and 3 values are same in all 5 windows</t>
  </si>
  <si>
    <t>Results are very incoherent in nature and a particular result, which is not the maximum in any case matches with gcskew.Standard deviation increses on increasing the window size.</t>
  </si>
  <si>
    <t>PNEUMONIAE</t>
  </si>
  <si>
    <t>Bacteria name: Bacillus</t>
  </si>
  <si>
    <t>Bacteria name: Staphylococcus</t>
  </si>
  <si>
    <t>3,50,000/35</t>
  </si>
  <si>
    <t>21,50,000/215</t>
  </si>
  <si>
    <t>4,76,000/238</t>
  </si>
  <si>
    <t>15,12,000/756</t>
  </si>
  <si>
    <t>21,50,000/1075</t>
  </si>
  <si>
    <t>80,000/80</t>
  </si>
  <si>
    <t>23,19,000/2319</t>
  </si>
  <si>
    <t>5,31,500/1063</t>
  </si>
  <si>
    <t>39,56,000/3956</t>
  </si>
  <si>
    <t>23,20,000/4641</t>
  </si>
  <si>
    <t>36,57,000/7315</t>
  </si>
  <si>
    <t>8,90,200//4451</t>
  </si>
  <si>
    <t>3,86,600/1933</t>
  </si>
  <si>
    <t>3,86,800/3868</t>
  </si>
  <si>
    <t>9,60,000/96</t>
  </si>
  <si>
    <t>4,81,000/481</t>
  </si>
  <si>
    <t>4,82,200/2411</t>
  </si>
  <si>
    <t>28,02,600/28026</t>
  </si>
  <si>
    <t>51,600/516</t>
  </si>
  <si>
    <t>38,72,200/19,361</t>
  </si>
  <si>
    <t>4,76,000/476</t>
  </si>
  <si>
    <t>15,90,000/159</t>
  </si>
  <si>
    <t>9,62,200/4811</t>
  </si>
  <si>
    <t>38,72,600/38726</t>
  </si>
  <si>
    <t>23,20,000/1160</t>
  </si>
  <si>
    <t>8,63,000/8630</t>
  </si>
  <si>
    <t>15,11,000/1511</t>
  </si>
  <si>
    <t>16,40,000/164</t>
  </si>
  <si>
    <t>28,77,500/5755</t>
  </si>
  <si>
    <t>31,36,000/1568</t>
  </si>
  <si>
    <t>55,800/279</t>
  </si>
  <si>
    <t>28,77,200/14386</t>
  </si>
  <si>
    <t>21,46,000/2146</t>
  </si>
  <si>
    <t>83,300/833</t>
  </si>
  <si>
    <t>8,90,300/8903</t>
  </si>
  <si>
    <t>11,25,000/2250</t>
  </si>
  <si>
    <t>12,50,000/125</t>
  </si>
  <si>
    <t>5,31,000/5310</t>
  </si>
  <si>
    <t>21,52,000/1076</t>
  </si>
  <si>
    <t>Results are very incoherent in nature and quite different from that obtained in gckew and gcorr.Standard deviation increses on increasing the window size.</t>
  </si>
  <si>
    <t>19,25,000/1925</t>
  </si>
  <si>
    <t>31,12,000/15,560</t>
  </si>
  <si>
    <t>15,13,000/3026</t>
  </si>
  <si>
    <t>13,92,700/13927</t>
  </si>
  <si>
    <t>18,96,800/9484</t>
  </si>
  <si>
    <t>6,80,000-7,30,000</t>
  </si>
  <si>
    <t>8,70,600/9706</t>
  </si>
  <si>
    <t>23,30,000/233</t>
  </si>
  <si>
    <t>7,10,000-7,26,000</t>
  </si>
  <si>
    <t>7,13,000-7,30,000</t>
  </si>
  <si>
    <t>7,15,600-7,37,000</t>
  </si>
  <si>
    <t>4,46,000/223</t>
  </si>
  <si>
    <t>140000-220000 OR 680000-730000</t>
  </si>
  <si>
    <t>16,70,000/835</t>
  </si>
  <si>
    <t>16,04,000/1604</t>
  </si>
  <si>
    <t>176000- 198000 OR 710000-726000</t>
  </si>
  <si>
    <t>180000-197000 OR 714000-730000</t>
  </si>
  <si>
    <t>1826000-1880000 OR 7172000-7296000</t>
  </si>
  <si>
    <t>19,26,000/3852</t>
  </si>
  <si>
    <t>25,09,000/2509</t>
  </si>
  <si>
    <t>25,11,000/5022</t>
  </si>
  <si>
    <t>23,21,000/11605</t>
  </si>
  <si>
    <t>16,34,500/16345</t>
  </si>
  <si>
    <t>31,99,800/15,999</t>
  </si>
  <si>
    <t>16,04,000/802</t>
  </si>
  <si>
    <t>36,48,800/36488</t>
  </si>
  <si>
    <t>4,69,000/469</t>
  </si>
  <si>
    <t>28,02,400/14012</t>
  </si>
  <si>
    <t>39,54,000/1977</t>
  </si>
  <si>
    <t>6,22,400/6224</t>
  </si>
  <si>
    <t>11,48,000/1148</t>
  </si>
  <si>
    <t>31,39,000/3139</t>
  </si>
  <si>
    <t>21,64,000/4329</t>
  </si>
  <si>
    <t>14,40,000-14,60,000</t>
  </si>
  <si>
    <t>14,44,000-14,72,000</t>
  </si>
  <si>
    <t>27,95,000/13,975</t>
  </si>
  <si>
    <t>15,10,000-15,29,000</t>
  </si>
  <si>
    <t>13,16,000/658</t>
  </si>
  <si>
    <t>14,00,000      -     15,40,000</t>
  </si>
  <si>
    <t>15,20,000-15,44,000</t>
  </si>
  <si>
    <t>15,27,000-15,42,000</t>
  </si>
  <si>
    <t>11,25,000/5,625</t>
  </si>
  <si>
    <t>The icorr results for the first three window sizes match amongst themselves. The standard deviation goes on increasing as we decrease the window size.</t>
  </si>
  <si>
    <t>19,00,000-19,30,000</t>
  </si>
  <si>
    <t>19,20,000-19,24,000</t>
  </si>
  <si>
    <t>19,19,000-19,28,000</t>
  </si>
  <si>
    <t>20,90,000-21,60,000</t>
  </si>
  <si>
    <t>19,52,000         -           20,12,000</t>
  </si>
  <si>
    <t>icorr seems to have failed in this case as not a single result matches with gcskew. Standard deviation increases on decreasing the window size</t>
  </si>
  <si>
    <t>Bacteria name: ECOLI</t>
  </si>
  <si>
    <t>5,90,000/59</t>
  </si>
  <si>
    <t>5,88,000/294</t>
  </si>
  <si>
    <t>5,92,000/592</t>
  </si>
  <si>
    <t>41,57,500/8315</t>
  </si>
  <si>
    <t>17,68,000/8840</t>
  </si>
  <si>
    <t>8,46,900/8469</t>
  </si>
  <si>
    <t>Bacteria name: Streptococus</t>
  </si>
  <si>
    <t>41,20,000/412</t>
  </si>
  <si>
    <t>42,62,000/2131</t>
  </si>
  <si>
    <t>42,63,000/4263</t>
  </si>
  <si>
    <t>15,60,000/156</t>
  </si>
  <si>
    <t>5,92,000/1184</t>
  </si>
  <si>
    <t>14,45,400/7227</t>
  </si>
  <si>
    <t>17,68,000/17680</t>
  </si>
  <si>
    <t>Bacteria name: Mycobacterium Tubercolusis</t>
  </si>
  <si>
    <t>42,30,000/423</t>
  </si>
  <si>
    <t>12,94,000/647</t>
  </si>
  <si>
    <t>41,52,000/2076</t>
  </si>
  <si>
    <t>41,57,000/4157</t>
  </si>
  <si>
    <t>12,93,000/1293</t>
  </si>
  <si>
    <t>12,93,000/2586</t>
  </si>
  <si>
    <t>37,40,000/374</t>
  </si>
  <si>
    <t>42,63,000/8526</t>
  </si>
  <si>
    <t>41,57,000/20785</t>
  </si>
  <si>
    <t>12,92,600/6463</t>
  </si>
  <si>
    <t>39,36,000/1968</t>
  </si>
  <si>
    <t>14,45,700/14457</t>
  </si>
  <si>
    <t>12,94,400/12944</t>
  </si>
  <si>
    <t>39,42,000/3942</t>
  </si>
  <si>
    <t>17,67,000/3534</t>
  </si>
  <si>
    <t>8,46,800/4234</t>
  </si>
  <si>
    <t>13,00,000/130</t>
  </si>
  <si>
    <t>39,43,500/7887</t>
  </si>
  <si>
    <t>15,74,600/15746</t>
  </si>
  <si>
    <t>15,94,000/797</t>
  </si>
  <si>
    <t>15,97,000/1597</t>
  </si>
  <si>
    <t>11,73,800/5869</t>
  </si>
  <si>
    <t>9,14,100/9141</t>
  </si>
  <si>
    <t>5,86,400/2932</t>
  </si>
  <si>
    <t>37,36,200/18681</t>
  </si>
  <si>
    <t>10,30,000/103</t>
  </si>
  <si>
    <t>10,51,400/10514</t>
  </si>
  <si>
    <t>37,36,100/37361</t>
  </si>
  <si>
    <t>88,000/44</t>
  </si>
  <si>
    <t>88,000/88</t>
  </si>
  <si>
    <t>22,18,100/22181</t>
  </si>
  <si>
    <t>39,40,000/394</t>
  </si>
  <si>
    <t>4,74,500/4745</t>
  </si>
  <si>
    <t>37,32,000/1866</t>
  </si>
  <si>
    <t>9,00,000/90</t>
  </si>
  <si>
    <t>37,36,000/3736</t>
  </si>
  <si>
    <r>
      <t>16,60,000-16,90,000</t>
    </r>
    <r>
      <rPr>
        <color rgb="FF990000"/>
      </rPr>
      <t xml:space="preserve"> OR</t>
    </r>
    <r>
      <t xml:space="preserve">   </t>
    </r>
  </si>
  <si>
    <t>19,63,200/19632</t>
  </si>
  <si>
    <t>37,35,500/7471</t>
  </si>
  <si>
    <t>2,05,800/2058</t>
  </si>
  <si>
    <t xml:space="preserve"> 43,50,000-44,10,000</t>
  </si>
  <si>
    <t xml:space="preserve">16,72,000-16,84,000 OR  </t>
  </si>
  <si>
    <t>39,49,600/19748</t>
  </si>
  <si>
    <t>9,40,000-9,70,000</t>
  </si>
  <si>
    <t>9,60,000-9,76,000</t>
  </si>
  <si>
    <t>43,84,000-44,04,000</t>
  </si>
  <si>
    <t>39,45,100/39451</t>
  </si>
  <si>
    <t xml:space="preserve">15,70,000-16,80,000 OR </t>
  </si>
  <si>
    <t>43,10,000-43,70,000</t>
  </si>
  <si>
    <t>9,64,000-9,77,000</t>
  </si>
  <si>
    <t>8,60,000        -       10,40,000</t>
  </si>
  <si>
    <t>9,70,000-9,94,000</t>
  </si>
  <si>
    <t>9,69,000-9,94,000</t>
  </si>
  <si>
    <t>All the top values of icorr are similar in all cases. . Standard deviation increases on decreasing the window size</t>
  </si>
  <si>
    <t>28,00,000/280</t>
  </si>
  <si>
    <t>43,48,000-43,56,000</t>
  </si>
  <si>
    <t>The first 3 results of icorr match very well. The results of icorr(50000,10000) and icorr (5000,1000) match among themselves and icorr(1000,200) and (500,100) match. Standard deviation increases on decreasing window size.</t>
  </si>
  <si>
    <t>27,88,000/1394</t>
  </si>
  <si>
    <t>3,33,000/333</t>
  </si>
  <si>
    <t>16,32,500/3265</t>
  </si>
  <si>
    <t>16,32,000/8161</t>
  </si>
  <si>
    <t>16,19,400/16194</t>
  </si>
  <si>
    <t>3,70,000</t>
  </si>
  <si>
    <t>4,24,000/212</t>
  </si>
  <si>
    <t>27,92,000/2792</t>
  </si>
  <si>
    <t>6,71,000/1342</t>
  </si>
  <si>
    <t>11,87,000/5935</t>
  </si>
  <si>
    <t>16,34,000/817</t>
  </si>
  <si>
    <t>4,24,000/424</t>
  </si>
  <si>
    <t>27,92,000/5584</t>
  </si>
  <si>
    <t>3,62,000/181</t>
  </si>
  <si>
    <t>16,35,000/1635</t>
  </si>
  <si>
    <t>19,80,000-22,70,000</t>
  </si>
  <si>
    <t>Bacteria name: Clostridium Botulinum</t>
  </si>
  <si>
    <t>18,80,000-22,60,000</t>
  </si>
  <si>
    <t>19,86,000-21,44,000</t>
  </si>
  <si>
    <t>The top 2 values of icorr remain the same in all cases. Both these values are also close to each other. Decreasing the window size increases the standard deviation</t>
  </si>
  <si>
    <t>2,40,000/24</t>
  </si>
  <si>
    <t>24,84,000/1248</t>
  </si>
  <si>
    <t>2,08,000/104</t>
  </si>
  <si>
    <t>2,61,000/261</t>
  </si>
  <si>
    <t>5,88,000/588</t>
  </si>
  <si>
    <t>4,40,000/880</t>
  </si>
  <si>
    <t>5,88,000/1177</t>
  </si>
  <si>
    <t>4,40,400/2202</t>
  </si>
  <si>
    <t>4,96,800/4968</t>
  </si>
  <si>
    <t>13,85,200/6926</t>
  </si>
  <si>
    <t>5,89,800/5898</t>
  </si>
  <si>
    <t>4,20,000/42</t>
  </si>
  <si>
    <t>4,34,000/217</t>
  </si>
  <si>
    <t>Bacteria name: Chlamydia Trachomitis</t>
  </si>
  <si>
    <t>25,60,000/256</t>
  </si>
  <si>
    <t>2,07,000/207</t>
  </si>
  <si>
    <t>3,80,000/190</t>
  </si>
  <si>
    <t>10,54,000/2018</t>
  </si>
  <si>
    <t>less number of windows for this case so
results obtained from this cannot 
be relied upon.</t>
  </si>
  <si>
    <t>25,63,000/2563</t>
  </si>
  <si>
    <t>7,94,000/397</t>
  </si>
  <si>
    <t>13,92,000/2784</t>
  </si>
  <si>
    <t>2,64,200/1321</t>
  </si>
  <si>
    <t>4,60,600/4606</t>
  </si>
  <si>
    <t>7,70,000/77</t>
  </si>
  <si>
    <t>18,02,000/9010</t>
  </si>
  <si>
    <t>3,77,000/377</t>
  </si>
  <si>
    <t>18,01,900/18091</t>
  </si>
  <si>
    <t>2,62,000/131</t>
  </si>
  <si>
    <t>28,90,000/289</t>
  </si>
  <si>
    <t>5,76,000/576</t>
  </si>
  <si>
    <t>2,63,000/526</t>
  </si>
  <si>
    <t>25,92,000/1296</t>
  </si>
  <si>
    <t>8,50,000/1701</t>
  </si>
  <si>
    <t>4,96,800/2484</t>
  </si>
  <si>
    <t>24,83,000/2483</t>
  </si>
  <si>
    <t>25,98,000/5196</t>
  </si>
  <si>
    <t>4,40,300/4403</t>
  </si>
  <si>
    <t>5,89,800/2949</t>
  </si>
  <si>
    <t>10,20,000/102</t>
  </si>
  <si>
    <t>4,05,400/2027</t>
  </si>
  <si>
    <t>13,92,200/13922</t>
  </si>
  <si>
    <t>4,38,000/438</t>
  </si>
  <si>
    <t>24,50,000/245</t>
  </si>
  <si>
    <t>2,98,000/596</t>
  </si>
  <si>
    <t>3,80,000/380</t>
  </si>
  <si>
    <t>3,73,800/3738</t>
  </si>
  <si>
    <t>3,69,600/1848</t>
  </si>
  <si>
    <t>25,64,0005129</t>
  </si>
  <si>
    <t>2,64,600/2646</t>
  </si>
  <si>
    <t>25,99,400/12997</t>
  </si>
  <si>
    <t>4,02,000/402</t>
  </si>
  <si>
    <t>5,80,000/58</t>
  </si>
  <si>
    <t>25,99,400/25944</t>
  </si>
  <si>
    <t>1,88,000/188</t>
  </si>
  <si>
    <t>1,10,000/11</t>
  </si>
  <si>
    <t>3,78,000/757</t>
  </si>
  <si>
    <t>2,78,800/1394</t>
  </si>
  <si>
    <t>7,05,200/3526</t>
  </si>
  <si>
    <t>3,28,700/3287</t>
  </si>
  <si>
    <t>1,06,900/1069</t>
  </si>
  <si>
    <t>7,05,400/7054</t>
  </si>
  <si>
    <t>2,97,000/297</t>
  </si>
  <si>
    <t>31,70,000/317</t>
  </si>
  <si>
    <t>7,93,000/793</t>
  </si>
  <si>
    <t>18,90,000-19,40,000</t>
  </si>
  <si>
    <t>19,16,000-19,22,000</t>
  </si>
  <si>
    <t>19,21,000-19,24,000</t>
  </si>
  <si>
    <t>18,70,000-20,20,000</t>
  </si>
  <si>
    <t>7,93,000/1587</t>
  </si>
  <si>
    <t>19,06,000-19,40,000</t>
  </si>
  <si>
    <t>19,05,000-19,29,000</t>
  </si>
  <si>
    <t>The results of icorr(50000,10000) , icorr(10000,2000) and icorr (5000,1000) match among themselves and icorr(1000,200) and (500,100) match with each other but none matches with gc skew. A particular result of icorr is found in all 5 window sizes. The standard deviation is non linear</t>
  </si>
  <si>
    <t>5,30,000-5,80,000</t>
  </si>
  <si>
    <t>5,48,000-5,60,000</t>
  </si>
  <si>
    <t>5,49,000-5,54,000</t>
  </si>
  <si>
    <t>4,50,000    -       5,70,000</t>
  </si>
  <si>
    <t>5,42,000-5,56,000</t>
  </si>
  <si>
    <t>5,48,000-5,57,000</t>
  </si>
  <si>
    <t>5,47,800-5,56,600</t>
  </si>
  <si>
    <t>2,41,400/1207</t>
  </si>
  <si>
    <t>2 values of icorr are found in all 5 window sizes.Decreasing the window size increases the standard deviation. gcskew results match with each other and a result found in only 2 window sizes in icorr</t>
  </si>
  <si>
    <t>3,78,400/3784</t>
  </si>
  <si>
    <t>2,41,500/483</t>
  </si>
  <si>
    <t>3,78,400/1892</t>
  </si>
  <si>
    <t>4,05,700/4057</t>
  </si>
  <si>
    <t>4,04,000/808</t>
  </si>
  <si>
    <t>8,00,800/4004</t>
  </si>
  <si>
    <t>4,80,000-5,20,000</t>
  </si>
  <si>
    <t>5,04,000-5,16,000</t>
  </si>
  <si>
    <t>5,10,000-5,15,000</t>
  </si>
  <si>
    <t>4,70,000-5,20,000</t>
  </si>
  <si>
    <t>4,98,000-5,16,000</t>
  </si>
  <si>
    <t>5,02,000-5,15,000</t>
  </si>
  <si>
    <t>5,02,000-5,14,000</t>
  </si>
  <si>
    <t>The results of icorr are fairly consistent.Decreasing the window size increases the standard deviation</t>
  </si>
  <si>
    <t>Bacteria name: Helicobacter Pylori</t>
  </si>
  <si>
    <t>7,48,000/374</t>
  </si>
  <si>
    <t>5,71,000/571</t>
  </si>
  <si>
    <t>11,10,0000/2220</t>
  </si>
  <si>
    <t>8,78,800/4394</t>
  </si>
  <si>
    <t>3,24,800/3248</t>
  </si>
  <si>
    <t>11,04,000/552</t>
  </si>
  <si>
    <t>9,77,000/977</t>
  </si>
  <si>
    <t>8,79,500/1759</t>
  </si>
  <si>
    <t>9,76,000/4880</t>
  </si>
  <si>
    <t>56,400/564</t>
  </si>
  <si>
    <t>58,000/29</t>
  </si>
  <si>
    <t>11,08,000/1108</t>
  </si>
  <si>
    <t>56,500/113</t>
  </si>
  <si>
    <t>3,94,800/1974</t>
  </si>
  <si>
    <t>3,58,200/3582</t>
  </si>
  <si>
    <t>15,10,000/755</t>
  </si>
  <si>
    <t>2,90,000/290</t>
  </si>
  <si>
    <t>7,53,000/1506</t>
  </si>
  <si>
    <t>3,24,200/1621</t>
  </si>
  <si>
    <t>8,33,100/8331</t>
  </si>
  <si>
    <t>9,02,000/451</t>
  </si>
  <si>
    <t>15,13,000/1513</t>
  </si>
  <si>
    <t>4,68,000/936</t>
  </si>
  <si>
    <t>3,95,300/3953</t>
  </si>
  <si>
    <t>2,90,000/145</t>
  </si>
  <si>
    <t>9,05,000/905</t>
  </si>
  <si>
    <t>15,14,000/3028</t>
  </si>
  <si>
    <t>10,40,000-10,70,000</t>
  </si>
  <si>
    <t>icorr does not give good results in this case. Most of the results don't match when we vary the window size. Standard deviation increases as we decrease the window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</si>
</sst>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name val="Arial"/>
    </font>
    <font>
      <color rgb="FF000000"/>
    </font>
    <font>
      <sz val="11.0"/>
      <color rgb="FF000000"/>
      <name val="Calibri"/>
    </font>
    <font>
      <color rgb="FFEFEFEF"/>
    </font>
    <font>
      <color rgb="FFFFFFFF"/>
    </font>
    <font>
      <color rgb="FFF3F3F3"/>
    </font>
    <font>
      <color rgb="FF000000"/>
      <name val="Arial"/>
    </font>
    <font>
      <color rgb="FFFFFFFF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right"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right" readingOrder="0" vertical="center"/>
    </xf>
    <xf borderId="0" fillId="3" fontId="1" numFmtId="0" xfId="0" applyAlignment="1" applyFont="1">
      <alignment horizontal="right" readingOrder="0" vertical="center"/>
    </xf>
    <xf borderId="0" fillId="0" fontId="4" numFmtId="0" xfId="0" applyAlignment="1" applyFont="1">
      <alignment horizontal="right" readingOrder="0" shrinkToFit="0" vertical="center" wrapText="0"/>
    </xf>
    <xf borderId="0" fillId="5" fontId="5" numFmtId="3" xfId="0" applyAlignment="1" applyFill="1" applyFont="1" applyNumberFormat="1">
      <alignment readingOrder="0"/>
    </xf>
    <xf borderId="0" fillId="6" fontId="6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 vertical="center"/>
    </xf>
    <xf borderId="0" fillId="8" fontId="1" numFmtId="0" xfId="0" applyAlignment="1" applyFill="1" applyFont="1">
      <alignment horizontal="right" readingOrder="0" vertical="center"/>
    </xf>
    <xf borderId="0" fillId="9" fontId="1" numFmtId="0" xfId="0" applyAlignment="1" applyFill="1" applyFont="1">
      <alignment readingOrder="0"/>
    </xf>
    <xf borderId="0" fillId="9" fontId="1" numFmtId="3" xfId="0" applyAlignment="1" applyFont="1" applyNumberFormat="1">
      <alignment readingOrder="0"/>
    </xf>
    <xf borderId="0" fillId="7" fontId="1" numFmtId="0" xfId="0" applyAlignment="1" applyFont="1">
      <alignment horizontal="right" readingOrder="0" vertical="center"/>
    </xf>
    <xf borderId="0" fillId="8" fontId="1" numFmtId="0" xfId="0" applyAlignment="1" applyFont="1">
      <alignment readingOrder="0"/>
    </xf>
    <xf borderId="0" fillId="10" fontId="1" numFmtId="0" xfId="0" applyAlignment="1" applyFill="1" applyFont="1">
      <alignment horizontal="center" readingOrder="0"/>
    </xf>
    <xf borderId="0" fillId="2" fontId="1" numFmtId="3" xfId="0" applyAlignment="1" applyFont="1" applyNumberFormat="1">
      <alignment readingOrder="0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4" fontId="1" numFmtId="3" xfId="0" applyAlignment="1" applyFont="1" applyNumberFormat="1">
      <alignment readingOrder="0"/>
    </xf>
    <xf borderId="0" fillId="13" fontId="1" numFmtId="0" xfId="0" applyFill="1" applyFont="1"/>
    <xf borderId="0" fillId="5" fontId="5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4" fontId="1" numFmtId="0" xfId="0" applyAlignment="1" applyFill="1" applyFont="1">
      <alignment readingOrder="0" vertical="center"/>
    </xf>
    <xf borderId="0" fillId="0" fontId="4" numFmtId="0" xfId="0" applyAlignment="1" applyFont="1">
      <alignment horizontal="right" readingOrder="0" shrinkToFit="0" vertical="bottom" wrapText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4" fontId="1" numFmtId="0" xfId="0" applyAlignment="1" applyFont="1">
      <alignment readingOrder="0"/>
    </xf>
    <xf borderId="0" fillId="14" fontId="1" numFmtId="0" xfId="0" applyAlignment="1" applyFont="1">
      <alignment horizontal="right" readingOrder="0" vertical="center"/>
    </xf>
    <xf borderId="0" fillId="14" fontId="1" numFmtId="0" xfId="0" applyFont="1"/>
    <xf borderId="0" fillId="5" fontId="7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1"/>
    </xf>
    <xf borderId="0" fillId="9" fontId="1" numFmtId="0" xfId="0" applyAlignment="1" applyFont="1">
      <alignment horizontal="right" readingOrder="0" vertical="center"/>
    </xf>
    <xf borderId="0" fillId="6" fontId="1" numFmtId="0" xfId="0" applyAlignment="1" applyFont="1">
      <alignment readingOrder="0"/>
    </xf>
    <xf borderId="0" fillId="7" fontId="1" numFmtId="3" xfId="0" applyAlignment="1" applyFont="1" applyNumberFormat="1">
      <alignment readingOrder="0" shrinkToFit="0" wrapText="0"/>
    </xf>
    <xf borderId="0" fillId="3" fontId="1" numFmtId="3" xfId="0" applyAlignment="1" applyFont="1" applyNumberFormat="1">
      <alignment readingOrder="0"/>
    </xf>
    <xf borderId="0" fillId="3" fontId="1" numFmtId="0" xfId="0" applyFont="1"/>
    <xf borderId="0" fillId="17" fontId="1" numFmtId="0" xfId="0" applyAlignment="1" applyFill="1" applyFont="1">
      <alignment readingOrder="0"/>
    </xf>
    <xf borderId="0" fillId="7" fontId="1" numFmtId="3" xfId="0" applyAlignment="1" applyFont="1" applyNumberFormat="1">
      <alignment horizontal="left" readingOrder="0"/>
    </xf>
    <xf borderId="0" fillId="18" fontId="1" numFmtId="0" xfId="0" applyAlignment="1" applyFill="1" applyFont="1">
      <alignment readingOrder="0"/>
    </xf>
    <xf borderId="0" fillId="18" fontId="1" numFmtId="0" xfId="0" applyFont="1"/>
    <xf borderId="0" fillId="3" fontId="3" numFmtId="0" xfId="0" applyAlignment="1" applyFont="1">
      <alignment readingOrder="0"/>
    </xf>
    <xf borderId="0" fillId="6" fontId="7" numFmtId="0" xfId="0" applyAlignment="1" applyFont="1">
      <alignment readingOrder="0"/>
    </xf>
    <xf borderId="0" fillId="16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16" fontId="1" numFmtId="0" xfId="0" applyFont="1"/>
    <xf borderId="0" fillId="16" fontId="1" numFmtId="3" xfId="0" applyAlignment="1" applyFont="1" applyNumberFormat="1">
      <alignment readingOrder="0"/>
    </xf>
    <xf borderId="0" fillId="5" fontId="6" numFmtId="0" xfId="0" applyAlignment="1" applyFont="1">
      <alignment readingOrder="0" vertical="center"/>
    </xf>
    <xf borderId="0" fillId="0" fontId="3" numFmtId="0" xfId="0" applyFont="1"/>
    <xf borderId="0" fillId="19" fontId="1" numFmtId="0" xfId="0" applyAlignment="1" applyFill="1" applyFont="1">
      <alignment readingOrder="0"/>
    </xf>
    <xf borderId="0" fillId="19" fontId="1" numFmtId="0" xfId="0" applyFont="1"/>
    <xf borderId="0" fillId="0" fontId="8" numFmtId="0" xfId="0" applyAlignment="1" applyFont="1">
      <alignment readingOrder="0"/>
    </xf>
    <xf borderId="0" fillId="20" fontId="1" numFmtId="0" xfId="0" applyAlignment="1" applyFill="1" applyFont="1">
      <alignment readingOrder="0"/>
    </xf>
    <xf borderId="0" fillId="2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0" fillId="5" fontId="6" numFmtId="0" xfId="0" applyAlignment="1" applyFont="1">
      <alignment horizontal="right" readingOrder="0" vertical="center"/>
    </xf>
    <xf borderId="0" fillId="6" fontId="5" numFmtId="0" xfId="0" applyAlignment="1" applyFont="1">
      <alignment readingOrder="0"/>
    </xf>
    <xf borderId="0" fillId="7" fontId="1" numFmtId="0" xfId="0" applyFont="1"/>
    <xf borderId="0" fillId="12" fontId="1" numFmtId="0" xfId="0" applyFont="1"/>
    <xf borderId="0" fillId="18" fontId="1" numFmtId="0" xfId="0" applyAlignment="1" applyFont="1">
      <alignment readingOrder="0" shrinkToFit="0" wrapText="1"/>
    </xf>
    <xf borderId="0" fillId="10" fontId="1" numFmtId="0" xfId="0" applyAlignment="1" applyFont="1">
      <alignment readingOrder="0" shrinkToFit="0" wrapText="0"/>
    </xf>
    <xf borderId="0" fillId="13" fontId="1" numFmtId="0" xfId="0" applyAlignment="1" applyFont="1">
      <alignment readingOrder="0"/>
    </xf>
    <xf borderId="0" fillId="8" fontId="1" numFmtId="0" xfId="0" applyFont="1"/>
    <xf borderId="0" fillId="11" fontId="1" numFmtId="0" xfId="0" applyAlignment="1" applyFon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3.43"/>
    <col customWidth="1" min="3" max="3" width="12.14"/>
    <col customWidth="1" min="4" max="5" width="11.0"/>
    <col customWidth="1" min="6" max="6" width="13.43"/>
    <col customWidth="1" min="7" max="7" width="12.0"/>
    <col customWidth="1" min="8" max="9" width="14.29"/>
    <col customWidth="1" min="10" max="10" width="14.71"/>
    <col customWidth="1" min="11" max="11" width="11.0"/>
    <col customWidth="1" min="12" max="12" width="12.14"/>
    <col customWidth="1" min="13" max="13" width="13.57"/>
    <col customWidth="1" min="14" max="14" width="15.0"/>
    <col customWidth="1" min="15" max="15" width="13.71"/>
    <col customWidth="1" min="16" max="16" width="13.86"/>
    <col customWidth="1" min="17" max="17" width="12.14"/>
    <col customWidth="1" min="18" max="18" width="14.14"/>
    <col customWidth="1" min="19" max="19" width="10.57"/>
    <col customWidth="1" min="20" max="21" width="13.14"/>
    <col customWidth="1" min="22" max="22" width="14.86"/>
    <col customWidth="1" min="23" max="23" width="11.43"/>
    <col customWidth="1" min="24" max="24" width="12.43"/>
  </cols>
  <sheetData>
    <row r="1">
      <c r="A1" s="1"/>
      <c r="B1" s="2" t="s">
        <v>1</v>
      </c>
      <c r="T1" s="2"/>
      <c r="U1" s="2"/>
      <c r="Z1" s="1"/>
    </row>
    <row r="3">
      <c r="A3" s="1"/>
      <c r="B3" s="2" t="s">
        <v>2</v>
      </c>
      <c r="E3" s="2"/>
      <c r="F3" s="2" t="s">
        <v>3</v>
      </c>
      <c r="I3" s="2"/>
      <c r="J3" s="2" t="s">
        <v>4</v>
      </c>
      <c r="M3" s="2"/>
      <c r="N3" s="5" t="s">
        <v>8</v>
      </c>
      <c r="Q3" s="2"/>
      <c r="R3" s="2" t="s">
        <v>26</v>
      </c>
      <c r="U3" s="2"/>
      <c r="V3" s="2" t="s">
        <v>27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1" t="s">
        <v>13</v>
      </c>
      <c r="B5" s="7" t="s">
        <v>32</v>
      </c>
      <c r="C5" s="1">
        <v>0.08049</v>
      </c>
      <c r="D5" s="9">
        <v>0.015096845</v>
      </c>
      <c r="E5" s="9">
        <f>C5/D5</f>
        <v>5.331577558</v>
      </c>
      <c r="F5" s="8" t="s">
        <v>35</v>
      </c>
      <c r="G5" s="1">
        <v>0.345392</v>
      </c>
      <c r="H5" s="11">
        <v>0.03201058</v>
      </c>
      <c r="I5" s="11">
        <f>G5/H5</f>
        <v>10.78993258</v>
      </c>
      <c r="J5" s="8" t="s">
        <v>37</v>
      </c>
      <c r="K5" s="1">
        <v>0.90537</v>
      </c>
      <c r="L5" s="10">
        <v>0.03668332</v>
      </c>
      <c r="M5" s="10">
        <f>K5/L5</f>
        <v>24.68069957</v>
      </c>
      <c r="N5" s="14" t="s">
        <v>39</v>
      </c>
      <c r="O5" s="10">
        <v>0.81343</v>
      </c>
      <c r="P5" s="15">
        <f>0.001369895/0.0356639</f>
        <v>0.03841125059</v>
      </c>
      <c r="Q5" s="10">
        <f>0.81343/0.03841125059</f>
        <v>21.17686843</v>
      </c>
      <c r="R5" s="12" t="s">
        <v>41</v>
      </c>
      <c r="S5" s="1">
        <v>0.69966</v>
      </c>
      <c r="T5" s="10">
        <v>0.0368574673</v>
      </c>
      <c r="U5" s="10">
        <f>S5/T5</f>
        <v>18.98285616</v>
      </c>
      <c r="V5" s="17" t="s">
        <v>43</v>
      </c>
      <c r="W5" s="1">
        <v>1.137394</v>
      </c>
      <c r="X5" s="10">
        <v>0.037947718</v>
      </c>
      <c r="Y5">
        <f>W5/X5</f>
        <v>29.9726587</v>
      </c>
    </row>
    <row r="6">
      <c r="A6" s="1" t="s">
        <v>16</v>
      </c>
      <c r="B6" s="12" t="s">
        <v>45</v>
      </c>
      <c r="C6" s="1">
        <v>0.07253</v>
      </c>
      <c r="E6" s="9">
        <f>C6/D5</f>
        <v>4.804315074</v>
      </c>
      <c r="F6" s="7" t="s">
        <v>46</v>
      </c>
      <c r="G6" s="1">
        <v>0.32172</v>
      </c>
      <c r="I6" s="11">
        <f>G6/H5</f>
        <v>10.05042708</v>
      </c>
      <c r="J6" s="7" t="s">
        <v>48</v>
      </c>
      <c r="K6" s="1">
        <v>0.53899</v>
      </c>
      <c r="M6" s="10">
        <f>K6/L5</f>
        <v>14.69305395</v>
      </c>
      <c r="N6" s="19" t="s">
        <v>50</v>
      </c>
      <c r="O6" s="10">
        <v>0.728274</v>
      </c>
      <c r="Q6" s="10">
        <f>0.728274/0.03841125059</f>
        <v>18.9599138</v>
      </c>
      <c r="R6" s="7" t="s">
        <v>53</v>
      </c>
      <c r="S6" s="1">
        <v>0.6804</v>
      </c>
      <c r="U6" s="10">
        <f>S6/T5</f>
        <v>18.46030262</v>
      </c>
      <c r="V6" s="1" t="s">
        <v>56</v>
      </c>
      <c r="W6" s="1">
        <v>0.919649</v>
      </c>
      <c r="Y6">
        <f>W6/X5</f>
        <v>24.2346325</v>
      </c>
    </row>
    <row r="7">
      <c r="A7" s="1" t="s">
        <v>18</v>
      </c>
      <c r="B7" s="8" t="s">
        <v>57</v>
      </c>
      <c r="C7" s="1">
        <v>0.054171</v>
      </c>
      <c r="E7" s="9">
        <f>C7/D5</f>
        <v>3.588233171</v>
      </c>
      <c r="F7" s="12" t="s">
        <v>63</v>
      </c>
      <c r="G7" s="1">
        <v>0.1949</v>
      </c>
      <c r="I7" s="11">
        <f>G7/H5</f>
        <v>6.088611953</v>
      </c>
      <c r="J7" s="12" t="s">
        <v>65</v>
      </c>
      <c r="K7" s="1">
        <v>0.294497</v>
      </c>
      <c r="M7" s="10">
        <f>K7/L5</f>
        <v>8.028090151</v>
      </c>
      <c r="N7" s="13" t="s">
        <v>68</v>
      </c>
      <c r="O7" s="10">
        <v>0.606834</v>
      </c>
      <c r="Q7" s="10">
        <f>0.606834/0.03841125059</f>
        <v>15.79834009</v>
      </c>
      <c r="R7" s="8" t="s">
        <v>72</v>
      </c>
      <c r="S7" s="1">
        <v>0.517</v>
      </c>
      <c r="U7" s="10">
        <f>S7/T5</f>
        <v>14.02700831</v>
      </c>
      <c r="V7" s="12" t="s">
        <v>76</v>
      </c>
      <c r="W7" s="1">
        <v>0.454013</v>
      </c>
      <c r="Y7">
        <f>W7/X5</f>
        <v>11.96417134</v>
      </c>
    </row>
    <row r="8">
      <c r="A8" s="1" t="s">
        <v>20</v>
      </c>
      <c r="B8" s="1" t="s">
        <v>79</v>
      </c>
      <c r="F8" s="1" t="s">
        <v>79</v>
      </c>
      <c r="J8" s="1" t="s">
        <v>79</v>
      </c>
      <c r="R8" s="21" t="s">
        <v>80</v>
      </c>
      <c r="S8" s="1">
        <v>0.4577</v>
      </c>
      <c r="U8" s="10">
        <f>S8/T5</f>
        <v>12.41810774</v>
      </c>
      <c r="V8" s="7" t="s">
        <v>83</v>
      </c>
      <c r="W8" s="1">
        <v>0.438094</v>
      </c>
      <c r="Y8">
        <f>W8/X5</f>
        <v>11.54467312</v>
      </c>
    </row>
    <row r="9">
      <c r="A9" s="1" t="s">
        <v>22</v>
      </c>
      <c r="B9" s="1" t="s">
        <v>79</v>
      </c>
      <c r="F9" s="1" t="s">
        <v>79</v>
      </c>
      <c r="J9" s="1" t="s">
        <v>79</v>
      </c>
      <c r="R9" s="17" t="s">
        <v>86</v>
      </c>
      <c r="S9" s="1">
        <v>0.4518</v>
      </c>
      <c r="U9" s="10">
        <f>S9/T5</f>
        <v>12.25803163</v>
      </c>
      <c r="V9" s="21" t="s">
        <v>89</v>
      </c>
      <c r="W9" s="1">
        <v>0.425344</v>
      </c>
      <c r="Y9">
        <f>W9/X5</f>
        <v>11.20868454</v>
      </c>
    </row>
    <row r="10">
      <c r="A10" s="25" t="s">
        <v>92</v>
      </c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>
      <c r="A11" s="29" t="s">
        <v>24</v>
      </c>
      <c r="B11" s="7" t="s">
        <v>103</v>
      </c>
      <c r="F11" s="7" t="s">
        <v>104</v>
      </c>
      <c r="J11" s="7" t="s">
        <v>105</v>
      </c>
      <c r="R11" s="31"/>
      <c r="V11" s="31"/>
    </row>
    <row r="12">
      <c r="A12" s="1" t="s">
        <v>109</v>
      </c>
      <c r="B12" s="1" t="s">
        <v>110</v>
      </c>
      <c r="F12" s="7" t="s">
        <v>113</v>
      </c>
      <c r="J12" s="7" t="s">
        <v>115</v>
      </c>
      <c r="R12" s="31"/>
      <c r="V12" s="31"/>
    </row>
  </sheetData>
  <mergeCells count="19">
    <mergeCell ref="V3:X3"/>
    <mergeCell ref="X5:X9"/>
    <mergeCell ref="J3:L3"/>
    <mergeCell ref="L5:L7"/>
    <mergeCell ref="F11:G11"/>
    <mergeCell ref="B11:C11"/>
    <mergeCell ref="J12:K12"/>
    <mergeCell ref="F12:G12"/>
    <mergeCell ref="A10:X10"/>
    <mergeCell ref="B3:D3"/>
    <mergeCell ref="B1:S1"/>
    <mergeCell ref="F3:H3"/>
    <mergeCell ref="H5:H7"/>
    <mergeCell ref="N3:P3"/>
    <mergeCell ref="D5:D7"/>
    <mergeCell ref="T5:T9"/>
    <mergeCell ref="J11:K11"/>
    <mergeCell ref="R3:T3"/>
    <mergeCell ref="P5:P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0" max="10" width="13.71"/>
  </cols>
  <sheetData>
    <row r="1">
      <c r="A1" s="2"/>
      <c r="B1" s="2" t="s">
        <v>237</v>
      </c>
      <c r="T1" s="2"/>
      <c r="U1" s="2"/>
    </row>
    <row r="2">
      <c r="N2" s="3"/>
      <c r="O2" s="3"/>
      <c r="P2" s="3"/>
      <c r="Q2" s="3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4" t="s">
        <v>8</v>
      </c>
      <c r="Q3" s="6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9</v>
      </c>
      <c r="O4" s="6" t="s">
        <v>10</v>
      </c>
      <c r="P4" s="6" t="s">
        <v>11</v>
      </c>
      <c r="Q4" s="6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3" t="s">
        <v>13</v>
      </c>
      <c r="B5" s="7" t="s">
        <v>244</v>
      </c>
      <c r="C5" s="1">
        <v>1.179233</v>
      </c>
      <c r="D5" s="10">
        <v>0.1391154406</v>
      </c>
      <c r="E5" s="10">
        <f>C5/D5</f>
        <v>8.476650722</v>
      </c>
      <c r="F5" s="18" t="s">
        <v>248</v>
      </c>
      <c r="G5" s="1">
        <v>4.7447802</v>
      </c>
      <c r="H5" s="10">
        <v>0.3079013559</v>
      </c>
      <c r="I5" s="10">
        <f>G5/H5</f>
        <v>15.41006595</v>
      </c>
      <c r="J5" s="18" t="s">
        <v>251</v>
      </c>
      <c r="K5" s="1">
        <v>6.2193818</v>
      </c>
      <c r="L5" s="10">
        <v>0.3078174288</v>
      </c>
      <c r="M5" s="10">
        <f>K5/L5</f>
        <v>20.20477471</v>
      </c>
      <c r="N5" s="23" t="s">
        <v>255</v>
      </c>
      <c r="O5" s="10">
        <v>5.073766</v>
      </c>
      <c r="P5" s="15">
        <f>0.011448279/0.0380143</f>
        <v>0.3011571698</v>
      </c>
      <c r="Q5" s="10">
        <f>5.073766/0.3011571698</f>
        <v>16.84756834</v>
      </c>
      <c r="R5" s="7" t="s">
        <v>262</v>
      </c>
      <c r="S5" s="1">
        <v>3.30809</v>
      </c>
      <c r="T5" s="10">
        <v>0.2387312072</v>
      </c>
      <c r="U5" s="10">
        <f>S5/T5</f>
        <v>13.85696507</v>
      </c>
      <c r="V5" s="7" t="s">
        <v>265</v>
      </c>
      <c r="W5" s="1">
        <v>2.407805</v>
      </c>
      <c r="X5" s="10">
        <v>0.177780021</v>
      </c>
      <c r="Y5">
        <f>W5/X5</f>
        <v>13.54373223</v>
      </c>
    </row>
    <row r="6">
      <c r="A6" s="3" t="s">
        <v>16</v>
      </c>
      <c r="B6" s="18" t="s">
        <v>269</v>
      </c>
      <c r="C6" s="1">
        <v>0.96696</v>
      </c>
      <c r="E6" s="10">
        <f>C6/D5</f>
        <v>6.95077409</v>
      </c>
      <c r="F6" s="7" t="s">
        <v>271</v>
      </c>
      <c r="G6" s="1">
        <v>3.490793</v>
      </c>
      <c r="I6" s="10">
        <f>G6/H5</f>
        <v>11.33737456</v>
      </c>
      <c r="J6" s="7" t="s">
        <v>273</v>
      </c>
      <c r="K6" s="1">
        <v>5.8875188</v>
      </c>
      <c r="M6" s="10">
        <f>K6/L5</f>
        <v>19.12665837</v>
      </c>
      <c r="N6" s="19" t="s">
        <v>276</v>
      </c>
      <c r="O6" s="10">
        <v>4.912459</v>
      </c>
      <c r="Q6" s="10">
        <f>4.912459/0.3011571698</f>
        <v>16.31194437</v>
      </c>
      <c r="R6" s="18" t="s">
        <v>280</v>
      </c>
      <c r="S6" s="1">
        <v>3.288931</v>
      </c>
      <c r="U6" s="10">
        <f>S6/T5</f>
        <v>13.77671164</v>
      </c>
      <c r="V6" s="18" t="s">
        <v>284</v>
      </c>
      <c r="W6" s="1">
        <v>2.380168</v>
      </c>
      <c r="Y6">
        <f>W6/X5</f>
        <v>13.38827607</v>
      </c>
    </row>
    <row r="7">
      <c r="A7" s="3" t="s">
        <v>18</v>
      </c>
      <c r="B7" s="38" t="s">
        <v>292</v>
      </c>
      <c r="C7" s="1">
        <v>0.378036</v>
      </c>
      <c r="E7" s="10">
        <f>C7/D5</f>
        <v>2.717426609</v>
      </c>
      <c r="F7" s="38" t="s">
        <v>295</v>
      </c>
      <c r="G7" s="1">
        <v>2.337573</v>
      </c>
      <c r="I7" s="10">
        <f>G7/H5</f>
        <v>7.591954226</v>
      </c>
      <c r="J7" s="1" t="s">
        <v>296</v>
      </c>
      <c r="K7" s="1">
        <v>2.49795523</v>
      </c>
      <c r="M7" s="10">
        <f>K7/L5</f>
        <v>8.115054562</v>
      </c>
      <c r="N7" s="13" t="s">
        <v>297</v>
      </c>
      <c r="O7" s="10">
        <v>3.8094</v>
      </c>
      <c r="Q7" s="10">
        <f>3.8094/0.3011571698</f>
        <v>12.64920906</v>
      </c>
      <c r="R7" s="12" t="s">
        <v>298</v>
      </c>
      <c r="S7" s="1">
        <v>2.691803</v>
      </c>
      <c r="U7" s="10">
        <f>S7/T5</f>
        <v>11.27545507</v>
      </c>
      <c r="V7" s="12" t="s">
        <v>299</v>
      </c>
      <c r="W7" s="1">
        <v>2.118426</v>
      </c>
      <c r="Y7">
        <f>W7/X5</f>
        <v>11.91599589</v>
      </c>
    </row>
    <row r="8">
      <c r="A8" s="3" t="s">
        <v>20</v>
      </c>
      <c r="B8" s="24" t="s">
        <v>300</v>
      </c>
      <c r="C8" s="1">
        <v>0.3504</v>
      </c>
      <c r="E8" s="10">
        <f>C8/D5</f>
        <v>2.51877145</v>
      </c>
      <c r="F8" s="8" t="s">
        <v>301</v>
      </c>
      <c r="G8" s="1">
        <v>1.80715161</v>
      </c>
      <c r="I8" s="10">
        <f>G8/H5</f>
        <v>5.869255121</v>
      </c>
      <c r="J8" s="38" t="s">
        <v>302</v>
      </c>
      <c r="K8" s="1">
        <v>2.4556364</v>
      </c>
      <c r="M8" s="10">
        <f>K8/L5</f>
        <v>7.97757427</v>
      </c>
      <c r="N8" s="10" t="s">
        <v>303</v>
      </c>
      <c r="O8" s="10">
        <v>3.266578</v>
      </c>
      <c r="Q8" s="10">
        <f>3.266578/0.3011571698</f>
        <v>10.84675488</v>
      </c>
      <c r="R8" s="1" t="s">
        <v>304</v>
      </c>
      <c r="S8" s="1">
        <v>2.407753</v>
      </c>
      <c r="U8" s="10">
        <f>S8/T5</f>
        <v>10.08562319</v>
      </c>
    </row>
    <row r="9">
      <c r="A9" s="3" t="s">
        <v>22</v>
      </c>
      <c r="B9" s="1" t="s">
        <v>79</v>
      </c>
      <c r="F9" s="12" t="s">
        <v>305</v>
      </c>
      <c r="G9" s="1">
        <v>1.761659</v>
      </c>
      <c r="I9" s="10">
        <f>G9/H5</f>
        <v>5.721504522</v>
      </c>
      <c r="J9" s="8" t="s">
        <v>306</v>
      </c>
      <c r="K9" s="1">
        <v>1.965973</v>
      </c>
      <c r="M9" s="10">
        <f>K9/L5</f>
        <v>6.386815093</v>
      </c>
      <c r="N9" s="39" t="s">
        <v>307</v>
      </c>
      <c r="O9" s="10">
        <v>2.85668</v>
      </c>
      <c r="Q9" s="10">
        <f>2.85668/0.3011571698</f>
        <v>9.485678199</v>
      </c>
      <c r="R9" s="1" t="s">
        <v>79</v>
      </c>
    </row>
    <row r="10">
      <c r="A10" s="3" t="s">
        <v>112</v>
      </c>
      <c r="B10" s="1" t="s">
        <v>79</v>
      </c>
      <c r="F10" s="24" t="s">
        <v>308</v>
      </c>
      <c r="G10" s="1">
        <v>1.739041</v>
      </c>
      <c r="I10" s="10">
        <f>G10/H5</f>
        <v>5.64804593</v>
      </c>
      <c r="J10" s="12" t="s">
        <v>309</v>
      </c>
      <c r="K10" s="1">
        <v>1.961843</v>
      </c>
      <c r="M10" s="10">
        <f>K10/L5</f>
        <v>6.373398048</v>
      </c>
      <c r="N10" s="10"/>
      <c r="O10" s="10" t="s">
        <v>79</v>
      </c>
      <c r="P10" s="10"/>
      <c r="Q10" s="10"/>
      <c r="R10" s="1" t="s">
        <v>79</v>
      </c>
    </row>
    <row r="11">
      <c r="A11" s="3"/>
    </row>
    <row r="12">
      <c r="A12" s="3" t="s">
        <v>24</v>
      </c>
      <c r="B12" s="37" t="s">
        <v>310</v>
      </c>
      <c r="F12" s="31"/>
      <c r="J12" s="31"/>
      <c r="R12" s="31"/>
      <c r="V12" s="31"/>
    </row>
    <row r="13">
      <c r="A13" s="3" t="s">
        <v>109</v>
      </c>
      <c r="B13" s="37" t="s">
        <v>312</v>
      </c>
      <c r="F13" s="37" t="s">
        <v>313</v>
      </c>
      <c r="J13" s="31"/>
      <c r="R13" s="31"/>
      <c r="V13" s="31"/>
    </row>
    <row r="17">
      <c r="A17" s="33" t="s">
        <v>314</v>
      </c>
    </row>
  </sheetData>
  <mergeCells count="14">
    <mergeCell ref="B3:D3"/>
    <mergeCell ref="F3:H3"/>
    <mergeCell ref="B1:S1"/>
    <mergeCell ref="H5:H10"/>
    <mergeCell ref="A17:AH17"/>
    <mergeCell ref="D5:D8"/>
    <mergeCell ref="L5:L10"/>
    <mergeCell ref="R3:T3"/>
    <mergeCell ref="V3:X3"/>
    <mergeCell ref="N3:P3"/>
    <mergeCell ref="P5:P9"/>
    <mergeCell ref="X5:X7"/>
    <mergeCell ref="T5:T8"/>
    <mergeCell ref="J3:L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3.14"/>
    <col customWidth="1" min="4" max="5" width="12.43"/>
    <col customWidth="1" min="6" max="6" width="14.14"/>
    <col customWidth="1" min="8" max="9" width="12.71"/>
    <col customWidth="1" min="10" max="10" width="14.0"/>
    <col customWidth="1" min="12" max="13" width="12.86"/>
    <col customWidth="1" min="14" max="14" width="15.0"/>
    <col customWidth="1" min="15" max="17" width="12.86"/>
    <col customWidth="1" min="18" max="18" width="14.43"/>
    <col customWidth="1" min="20" max="21" width="12.14"/>
  </cols>
  <sheetData>
    <row r="1">
      <c r="A1" s="2"/>
      <c r="J1" s="1" t="s">
        <v>311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6"/>
      <c r="O2" s="6"/>
      <c r="P2" s="6"/>
      <c r="Q2" s="6"/>
      <c r="R2" s="2"/>
      <c r="S2" s="2"/>
      <c r="T2" s="2"/>
      <c r="U2" s="2"/>
      <c r="V2" s="2"/>
      <c r="W2" s="2"/>
      <c r="X2" s="2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4" t="s">
        <v>8</v>
      </c>
      <c r="Q3" s="6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9</v>
      </c>
      <c r="O4" s="6" t="s">
        <v>10</v>
      </c>
      <c r="P4" s="6" t="s">
        <v>11</v>
      </c>
      <c r="Q4" s="6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3" t="s">
        <v>13</v>
      </c>
      <c r="B5" s="1" t="s">
        <v>244</v>
      </c>
      <c r="C5" s="1">
        <v>0.97553</v>
      </c>
      <c r="D5" s="10">
        <f>0.0037921304/0.01317</f>
        <v>0.2879370084</v>
      </c>
      <c r="E5" s="10">
        <f>C5/D5</f>
        <v>3.387997971</v>
      </c>
      <c r="F5" s="8" t="s">
        <v>316</v>
      </c>
      <c r="G5" s="1">
        <v>1.00306</v>
      </c>
      <c r="H5" s="10">
        <f>0.0043087798/0.022476</f>
        <v>0.1917058106</v>
      </c>
      <c r="I5" s="10">
        <f>G5/H5</f>
        <v>5.232287935</v>
      </c>
      <c r="J5" s="64" t="s">
        <v>319</v>
      </c>
      <c r="K5" s="1">
        <v>0.9642566</v>
      </c>
      <c r="L5" s="10">
        <f>0.0042152282/0.029532</f>
        <v>0.1427342611</v>
      </c>
      <c r="M5" s="10">
        <f>K5/L5</f>
        <v>6.755607184</v>
      </c>
      <c r="N5" s="65" t="s">
        <v>321</v>
      </c>
      <c r="O5" s="10">
        <v>1.621826</v>
      </c>
      <c r="P5" s="15">
        <f>0.004489645/0.0394271</f>
        <v>0.1138720575</v>
      </c>
      <c r="Q5" s="10">
        <f>1.621826/0.1138720575</f>
        <v>14.24252829</v>
      </c>
      <c r="R5" s="32" t="s">
        <v>324</v>
      </c>
      <c r="S5" s="1">
        <v>1.452774</v>
      </c>
      <c r="T5" s="10">
        <f>0.0048622848/0.058838</f>
        <v>0.08263851253</v>
      </c>
      <c r="U5" s="10">
        <f>S5/T5</f>
        <v>17.57986628</v>
      </c>
      <c r="V5" s="64" t="s">
        <v>325</v>
      </c>
      <c r="W5" s="1">
        <v>1.23569</v>
      </c>
      <c r="X5" s="10">
        <f>0.0056211698/0.080522</f>
        <v>0.06980911801</v>
      </c>
      <c r="Y5">
        <f>W5/X5</f>
        <v>17.70098284</v>
      </c>
    </row>
    <row r="6">
      <c r="A6" s="3" t="s">
        <v>16</v>
      </c>
      <c r="B6" s="12" t="s">
        <v>329</v>
      </c>
      <c r="C6" s="1">
        <v>0.899468</v>
      </c>
      <c r="E6" s="10">
        <f>C6/D5</f>
        <v>3.123836026</v>
      </c>
      <c r="F6" s="7" t="s">
        <v>331</v>
      </c>
      <c r="G6" s="1">
        <v>0.881384</v>
      </c>
      <c r="I6" s="10">
        <f>G6/H5</f>
        <v>4.597586255</v>
      </c>
      <c r="J6" s="12" t="s">
        <v>334</v>
      </c>
      <c r="K6" s="1">
        <v>0.7937005</v>
      </c>
      <c r="M6" s="10">
        <f>K6/L5</f>
        <v>5.560686647</v>
      </c>
      <c r="N6" s="67" t="s">
        <v>336</v>
      </c>
      <c r="O6" s="10">
        <v>1.395256</v>
      </c>
      <c r="Q6" s="10">
        <f>1.395256/0.1138720575</f>
        <v>12.25283911</v>
      </c>
      <c r="R6" s="24" t="s">
        <v>340</v>
      </c>
      <c r="S6" s="1">
        <v>1.28415059</v>
      </c>
      <c r="U6" s="10">
        <f>S6/T5</f>
        <v>15.53937203</v>
      </c>
      <c r="V6" s="24" t="s">
        <v>342</v>
      </c>
      <c r="W6" s="1">
        <v>1.1607</v>
      </c>
      <c r="Y6">
        <f>W6/X5</f>
        <v>16.62676787</v>
      </c>
    </row>
    <row r="7">
      <c r="A7" s="3" t="s">
        <v>18</v>
      </c>
      <c r="B7" s="1" t="s">
        <v>344</v>
      </c>
      <c r="C7" s="1">
        <v>0.878982</v>
      </c>
      <c r="E7" s="10">
        <f>C7/D5</f>
        <v>3.05268852</v>
      </c>
      <c r="F7" s="12" t="s">
        <v>347</v>
      </c>
      <c r="G7" s="1">
        <v>0.873064</v>
      </c>
      <c r="I7" s="10">
        <f>G7/H5</f>
        <v>4.554186423</v>
      </c>
      <c r="J7" s="8" t="s">
        <v>350</v>
      </c>
      <c r="K7" s="1">
        <v>0.72022293</v>
      </c>
      <c r="M7" s="10">
        <f>K7/L5</f>
        <v>5.045900853</v>
      </c>
      <c r="N7" s="13" t="s">
        <v>351</v>
      </c>
      <c r="O7" s="10">
        <v>1.176675</v>
      </c>
      <c r="Q7" s="10">
        <f>1.176675/0.1138720575</f>
        <v>10.33330762</v>
      </c>
      <c r="R7" s="64" t="s">
        <v>353</v>
      </c>
      <c r="S7" s="1">
        <v>1.2727628</v>
      </c>
      <c r="U7" s="10">
        <f>S7/T5</f>
        <v>15.40156957</v>
      </c>
      <c r="V7" s="32" t="s">
        <v>356</v>
      </c>
      <c r="W7" s="1">
        <v>1.040965</v>
      </c>
      <c r="Y7">
        <f>W7/X5</f>
        <v>14.91159077</v>
      </c>
    </row>
    <row r="8">
      <c r="A8" s="3" t="s">
        <v>20</v>
      </c>
      <c r="B8" s="8" t="s">
        <v>358</v>
      </c>
      <c r="C8" s="1">
        <v>0.671678</v>
      </c>
      <c r="E8" s="10">
        <f>C8/D5</f>
        <v>2.332725494</v>
      </c>
      <c r="F8" s="1" t="s">
        <v>79</v>
      </c>
      <c r="J8" s="7" t="s">
        <v>360</v>
      </c>
      <c r="K8" s="1">
        <v>0.71510997</v>
      </c>
      <c r="M8" s="10">
        <f>K8/L5</f>
        <v>5.01007932</v>
      </c>
      <c r="N8" s="13" t="s">
        <v>363</v>
      </c>
      <c r="O8" s="10">
        <v>0.960504</v>
      </c>
      <c r="Q8" s="10">
        <f>0.960504/0.1138720575</f>
        <v>8.43494024</v>
      </c>
      <c r="R8" s="12" t="s">
        <v>365</v>
      </c>
      <c r="S8" s="1">
        <v>0.99491799</v>
      </c>
      <c r="U8" s="10">
        <f>S8/T5</f>
        <v>12.03939858</v>
      </c>
      <c r="V8" s="12" t="s">
        <v>368</v>
      </c>
      <c r="W8" s="1">
        <v>1.025838</v>
      </c>
      <c r="Y8">
        <f>W8/X5</f>
        <v>14.69489988</v>
      </c>
    </row>
    <row r="9">
      <c r="A9" s="3" t="s">
        <v>22</v>
      </c>
      <c r="B9" s="68" t="s">
        <v>370</v>
      </c>
      <c r="C9" s="1">
        <v>0.649506</v>
      </c>
      <c r="E9" s="10">
        <f>C9/D5</f>
        <v>2.255722541</v>
      </c>
      <c r="F9" s="1" t="s">
        <v>79</v>
      </c>
      <c r="J9" s="1" t="s">
        <v>79</v>
      </c>
      <c r="R9" s="1" t="s">
        <v>79</v>
      </c>
      <c r="V9" s="68" t="s">
        <v>375</v>
      </c>
      <c r="W9" s="1">
        <v>0.840747</v>
      </c>
      <c r="Y9">
        <f>W9/X5</f>
        <v>12.04351271</v>
      </c>
    </row>
    <row r="10">
      <c r="A10" s="3" t="s">
        <v>112</v>
      </c>
      <c r="B10" s="1" t="s">
        <v>378</v>
      </c>
      <c r="C10" s="1">
        <v>0.633712</v>
      </c>
      <c r="E10" s="10">
        <f>C10/D5</f>
        <v>2.200870265</v>
      </c>
      <c r="F10" s="1" t="s">
        <v>79</v>
      </c>
      <c r="J10" s="1" t="s">
        <v>79</v>
      </c>
      <c r="R10" s="1" t="s">
        <v>79</v>
      </c>
    </row>
    <row r="11">
      <c r="D11" s="10"/>
      <c r="E11" s="10"/>
      <c r="F11" s="1"/>
      <c r="J11" s="1"/>
    </row>
    <row r="12">
      <c r="A12" s="3"/>
    </row>
    <row r="13">
      <c r="A13" s="3" t="s">
        <v>24</v>
      </c>
      <c r="B13" s="18" t="s">
        <v>380</v>
      </c>
      <c r="F13" s="18" t="s">
        <v>381</v>
      </c>
      <c r="J13" s="18" t="s">
        <v>382</v>
      </c>
      <c r="R13" s="31"/>
      <c r="V13" s="31"/>
    </row>
    <row r="14">
      <c r="A14" s="3" t="s">
        <v>109</v>
      </c>
      <c r="B14" s="18" t="s">
        <v>383</v>
      </c>
      <c r="C14" s="69"/>
      <c r="F14" s="18" t="s">
        <v>385</v>
      </c>
      <c r="G14" s="69"/>
      <c r="J14" s="18" t="s">
        <v>386</v>
      </c>
      <c r="K14" s="69"/>
      <c r="R14" s="31"/>
      <c r="V14" s="31"/>
    </row>
    <row r="16">
      <c r="A16" s="71" t="s">
        <v>387</v>
      </c>
      <c r="Y16" s="52"/>
      <c r="Z16" s="52"/>
      <c r="AA16" s="52"/>
      <c r="AB16" s="52"/>
      <c r="AC16" s="52"/>
      <c r="AD16" s="52"/>
      <c r="AE16" s="52"/>
      <c r="AF16" s="52"/>
      <c r="AG16" s="52"/>
      <c r="AH16" s="52"/>
    </row>
  </sheetData>
  <mergeCells count="26">
    <mergeCell ref="F3:H3"/>
    <mergeCell ref="J3:L3"/>
    <mergeCell ref="N3:P3"/>
    <mergeCell ref="R3:T3"/>
    <mergeCell ref="V3:X3"/>
    <mergeCell ref="L5:L8"/>
    <mergeCell ref="P5:P8"/>
    <mergeCell ref="B3:D3"/>
    <mergeCell ref="D5:D10"/>
    <mergeCell ref="B13:C13"/>
    <mergeCell ref="F13:G13"/>
    <mergeCell ref="J13:K13"/>
    <mergeCell ref="H5:H7"/>
    <mergeCell ref="T5:T8"/>
    <mergeCell ref="X5:X9"/>
    <mergeCell ref="Z16:Z17"/>
    <mergeCell ref="AA16:AA17"/>
    <mergeCell ref="A16:X17"/>
    <mergeCell ref="Y16:Y17"/>
    <mergeCell ref="AD16:AD17"/>
    <mergeCell ref="AE16:AE17"/>
    <mergeCell ref="AF16:AF17"/>
    <mergeCell ref="AG16:AG17"/>
    <mergeCell ref="AH16:AH17"/>
    <mergeCell ref="AC16:AC17"/>
    <mergeCell ref="AB16:AB1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3.0"/>
    <col customWidth="1" min="3" max="3" width="11.0"/>
    <col customWidth="1" min="4" max="5" width="12.43"/>
    <col customWidth="1" min="6" max="6" width="11.71"/>
    <col customWidth="1" min="7" max="7" width="11.29"/>
    <col customWidth="1" min="8" max="9" width="12.29"/>
    <col customWidth="1" min="10" max="10" width="12.14"/>
    <col customWidth="1" min="11" max="11" width="11.57"/>
    <col customWidth="1" min="12" max="13" width="12.86"/>
    <col customWidth="1" min="14" max="14" width="14.43"/>
    <col customWidth="1" min="15" max="15" width="12.86"/>
    <col customWidth="1" min="16" max="16" width="13.86"/>
    <col customWidth="1" min="17" max="17" width="12.86"/>
    <col customWidth="1" min="18" max="18" width="13.0"/>
    <col customWidth="1" min="19" max="19" width="11.43"/>
    <col customWidth="1" min="20" max="21" width="12.0"/>
    <col customWidth="1" min="22" max="22" width="12.86"/>
    <col customWidth="1" min="23" max="23" width="12.14"/>
    <col customWidth="1" min="24" max="24" width="13.14"/>
  </cols>
  <sheetData>
    <row r="1">
      <c r="A1" s="2"/>
      <c r="J1" s="1" t="s">
        <v>311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6"/>
      <c r="O2" s="6"/>
      <c r="P2" s="6"/>
      <c r="Q2" s="6"/>
      <c r="R2" s="2"/>
      <c r="S2" s="2"/>
      <c r="T2" s="2"/>
      <c r="U2" s="2"/>
      <c r="V2" s="2"/>
      <c r="W2" s="2"/>
      <c r="X2" s="2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4" t="s">
        <v>8</v>
      </c>
      <c r="Q3" s="6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9</v>
      </c>
      <c r="O4" s="6" t="s">
        <v>10</v>
      </c>
      <c r="P4" s="6" t="s">
        <v>11</v>
      </c>
      <c r="Q4" s="6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3" t="s">
        <v>13</v>
      </c>
      <c r="B5" s="12" t="s">
        <v>315</v>
      </c>
      <c r="C5" s="1">
        <v>0.5776526</v>
      </c>
      <c r="D5" s="10">
        <f>0.0017241902/0.0098374</f>
        <v>0.1752688922</v>
      </c>
      <c r="E5" s="10">
        <f>C5/D5</f>
        <v>3.295807903</v>
      </c>
      <c r="F5" s="8" t="s">
        <v>317</v>
      </c>
      <c r="G5" s="1">
        <v>0.5404823</v>
      </c>
      <c r="H5" s="10">
        <f>0.0018063008/0.0195042</f>
        <v>0.0926108633</v>
      </c>
      <c r="I5" s="10">
        <f>G5/H5</f>
        <v>5.836057248</v>
      </c>
      <c r="J5" s="12" t="s">
        <v>318</v>
      </c>
      <c r="K5" s="1">
        <v>0.570017</v>
      </c>
      <c r="L5" s="10">
        <f>0.0021378138/0.026836</f>
        <v>0.07966216277</v>
      </c>
      <c r="M5" s="10">
        <f>K5/L5</f>
        <v>7.155429632</v>
      </c>
      <c r="N5" s="19" t="s">
        <v>320</v>
      </c>
      <c r="O5" s="10">
        <v>0.7013424</v>
      </c>
      <c r="P5" s="15">
        <f>0.002395909/0.0370431</f>
        <v>0.06467895506</v>
      </c>
      <c r="Q5" s="10">
        <f>0.7013424/0.06467895506</f>
        <v>10.84344049</v>
      </c>
      <c r="R5" s="7" t="s">
        <v>322</v>
      </c>
      <c r="S5" s="1">
        <v>0.822545</v>
      </c>
      <c r="T5" s="10">
        <f>0.003089748/0.0570153</f>
        <v>0.05419155911</v>
      </c>
      <c r="U5" s="10">
        <f>S5/T5</f>
        <v>15.17847085</v>
      </c>
      <c r="V5" s="37" t="s">
        <v>323</v>
      </c>
      <c r="W5" s="1">
        <v>1.60535104</v>
      </c>
      <c r="X5" s="10">
        <f>0.0041875566/0.0792787</f>
        <v>0.05282070216</v>
      </c>
      <c r="Y5">
        <f>W5/X5</f>
        <v>30.39245929</v>
      </c>
    </row>
    <row r="6">
      <c r="A6" s="3" t="s">
        <v>16</v>
      </c>
      <c r="B6" s="7" t="s">
        <v>326</v>
      </c>
      <c r="C6" s="1">
        <v>0.4378799</v>
      </c>
      <c r="E6" s="10">
        <f>C6/D5</f>
        <v>2.498332103</v>
      </c>
      <c r="F6" s="7" t="s">
        <v>327</v>
      </c>
      <c r="G6" s="1">
        <v>0.4</v>
      </c>
      <c r="I6" s="10">
        <f>G6/H5</f>
        <v>4.31914773</v>
      </c>
      <c r="J6" s="8" t="s">
        <v>330</v>
      </c>
      <c r="K6" s="1">
        <v>0.40382322</v>
      </c>
      <c r="M6" s="10">
        <f>K6/L5</f>
        <v>5.069197295</v>
      </c>
      <c r="N6" s="39" t="s">
        <v>332</v>
      </c>
      <c r="O6" s="10">
        <v>0.493071</v>
      </c>
      <c r="Q6" s="10">
        <f>0.493071/0.06467895506</f>
        <v>7.623360636</v>
      </c>
      <c r="R6" s="12" t="s">
        <v>337</v>
      </c>
      <c r="S6" s="1">
        <v>0.61246191</v>
      </c>
      <c r="U6" s="10">
        <f>S6/T5</f>
        <v>11.30179534</v>
      </c>
      <c r="V6" s="1" t="s">
        <v>338</v>
      </c>
      <c r="W6" s="1">
        <v>0.7827473588</v>
      </c>
      <c r="Y6">
        <f>W6/X5</f>
        <v>14.81895028</v>
      </c>
    </row>
    <row r="7">
      <c r="A7" s="3" t="s">
        <v>18</v>
      </c>
      <c r="B7" s="1" t="s">
        <v>339</v>
      </c>
      <c r="C7" s="1">
        <v>0.1946245</v>
      </c>
      <c r="E7" s="10">
        <f>C7/D5</f>
        <v>1.110433789</v>
      </c>
      <c r="F7" s="12" t="s">
        <v>343</v>
      </c>
      <c r="G7" s="1">
        <v>0.39569366</v>
      </c>
      <c r="I7" s="10">
        <f>G7/H5</f>
        <v>4.272648433</v>
      </c>
      <c r="J7" s="18" t="s">
        <v>345</v>
      </c>
      <c r="K7" s="1">
        <v>0.35817558</v>
      </c>
      <c r="M7" s="10">
        <f>K7/L5</f>
        <v>4.496181971</v>
      </c>
      <c r="N7" s="13" t="s">
        <v>346</v>
      </c>
      <c r="O7" s="10">
        <v>0.426905</v>
      </c>
      <c r="Q7" s="10">
        <f>0.426905/0.06467895506</f>
        <v>6.600369465</v>
      </c>
      <c r="R7" s="37" t="s">
        <v>349</v>
      </c>
      <c r="S7" s="1">
        <v>0.5222405</v>
      </c>
      <c r="U7" s="10">
        <f>S7/T5</f>
        <v>9.636934397</v>
      </c>
      <c r="V7" s="7" t="s">
        <v>352</v>
      </c>
      <c r="W7" s="1">
        <v>0.730438266</v>
      </c>
      <c r="Y7">
        <f>W7/X5</f>
        <v>13.82863605</v>
      </c>
    </row>
    <row r="8">
      <c r="A8" s="3" t="s">
        <v>20</v>
      </c>
      <c r="B8" s="38" t="s">
        <v>354</v>
      </c>
      <c r="C8" s="1">
        <v>0.132108</v>
      </c>
      <c r="E8" s="10">
        <f>C8/D5</f>
        <v>0.7537447082</v>
      </c>
      <c r="F8" s="1" t="s">
        <v>79</v>
      </c>
      <c r="J8" s="7" t="s">
        <v>357</v>
      </c>
      <c r="K8" s="1">
        <v>0.3240423</v>
      </c>
      <c r="M8" s="10">
        <f>K8/L5</f>
        <v>4.067706534</v>
      </c>
      <c r="N8" s="20" t="s">
        <v>359</v>
      </c>
      <c r="O8" s="10">
        <v>0.366759</v>
      </c>
      <c r="Q8" s="10">
        <f>0.366759/0.06467895506</f>
        <v>5.67045339</v>
      </c>
      <c r="R8" s="1" t="s">
        <v>362</v>
      </c>
      <c r="S8" s="1">
        <v>0.456240693</v>
      </c>
      <c r="U8" s="10">
        <f>S8/T5</f>
        <v>8.41903611</v>
      </c>
      <c r="V8" s="12" t="s">
        <v>364</v>
      </c>
      <c r="W8" s="1">
        <v>0.67776337</v>
      </c>
      <c r="Y8">
        <f>W8/X5</f>
        <v>12.83139645</v>
      </c>
    </row>
    <row r="9">
      <c r="A9" s="3" t="s">
        <v>22</v>
      </c>
      <c r="B9" s="18" t="s">
        <v>367</v>
      </c>
      <c r="C9" s="1">
        <v>0.10882956</v>
      </c>
      <c r="E9" s="10">
        <f>C9/D5</f>
        <v>0.6209291258</v>
      </c>
      <c r="F9" s="1" t="s">
        <v>79</v>
      </c>
      <c r="J9" s="1" t="s">
        <v>369</v>
      </c>
      <c r="K9" s="1">
        <v>0.314801</v>
      </c>
      <c r="M9" s="10">
        <f>K9/L5</f>
        <v>3.951700394</v>
      </c>
      <c r="N9" s="10"/>
      <c r="O9" s="10"/>
      <c r="P9" s="10"/>
      <c r="Q9" s="10"/>
      <c r="R9" s="24" t="s">
        <v>372</v>
      </c>
      <c r="S9" s="1">
        <v>0.3892586</v>
      </c>
      <c r="U9" s="10">
        <f>S9/T5</f>
        <v>7.183011643</v>
      </c>
      <c r="V9" s="1" t="s">
        <v>374</v>
      </c>
      <c r="W9" s="1">
        <v>0.483978811</v>
      </c>
      <c r="Y9">
        <f>W9/X5</f>
        <v>9.162672802</v>
      </c>
    </row>
    <row r="10">
      <c r="A10" s="3" t="s">
        <v>112</v>
      </c>
      <c r="B10" s="1" t="s">
        <v>79</v>
      </c>
      <c r="F10" s="1" t="s">
        <v>79</v>
      </c>
      <c r="J10" s="24" t="s">
        <v>377</v>
      </c>
      <c r="K10" s="1">
        <v>0.30936056</v>
      </c>
      <c r="M10" s="10">
        <f>K10/L5</f>
        <v>3.883406491</v>
      </c>
      <c r="N10" s="10"/>
      <c r="O10" s="10"/>
      <c r="P10" s="10"/>
      <c r="Q10" s="10"/>
    </row>
    <row r="11">
      <c r="S11" s="70"/>
      <c r="V11" s="70"/>
    </row>
    <row r="12">
      <c r="A12" s="3"/>
    </row>
    <row r="13">
      <c r="A13" s="3" t="s">
        <v>24</v>
      </c>
      <c r="B13" s="18" t="s">
        <v>388</v>
      </c>
      <c r="F13" s="18" t="s">
        <v>389</v>
      </c>
      <c r="J13" s="18" t="s">
        <v>390</v>
      </c>
      <c r="R13" s="31"/>
      <c r="V13" s="31"/>
    </row>
    <row r="14">
      <c r="A14" s="1" t="s">
        <v>109</v>
      </c>
      <c r="B14" s="7" t="s">
        <v>391</v>
      </c>
      <c r="C14" s="69"/>
      <c r="F14" s="18" t="s">
        <v>392</v>
      </c>
      <c r="G14" s="69"/>
      <c r="J14" s="18" t="s">
        <v>393</v>
      </c>
      <c r="K14" s="69"/>
      <c r="R14" s="18" t="s">
        <v>394</v>
      </c>
      <c r="S14" s="69"/>
      <c r="V14" s="31"/>
    </row>
    <row r="16">
      <c r="A16" s="72" t="s">
        <v>396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</sheetData>
  <mergeCells count="15">
    <mergeCell ref="J13:K13"/>
    <mergeCell ref="F13:G13"/>
    <mergeCell ref="B13:C13"/>
    <mergeCell ref="R3:T3"/>
    <mergeCell ref="V3:X3"/>
    <mergeCell ref="X5:X9"/>
    <mergeCell ref="T5:T9"/>
    <mergeCell ref="N3:P3"/>
    <mergeCell ref="F3:H3"/>
    <mergeCell ref="J3:L3"/>
    <mergeCell ref="B3:D3"/>
    <mergeCell ref="D5:D9"/>
    <mergeCell ref="L5:L10"/>
    <mergeCell ref="H5:H7"/>
    <mergeCell ref="P5:P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7.86"/>
    <col customWidth="1" min="3" max="3" width="11.14"/>
    <col customWidth="1" min="4" max="4" width="12.71"/>
    <col customWidth="1" min="5" max="5" width="11.86"/>
    <col customWidth="1" min="6" max="6" width="10.57"/>
    <col customWidth="1" min="7" max="8" width="12.57"/>
    <col customWidth="1" min="9" max="9" width="12.0"/>
    <col customWidth="1" min="10" max="10" width="11.43"/>
    <col customWidth="1" min="11" max="12" width="11.29"/>
    <col customWidth="1" min="13" max="13" width="13.86"/>
    <col customWidth="1" min="14" max="14" width="12.0"/>
    <col customWidth="1" min="15" max="15" width="13.86"/>
    <col customWidth="1" min="16" max="16" width="11.29"/>
    <col customWidth="1" min="17" max="17" width="13.14"/>
    <col customWidth="1" min="18" max="18" width="11.0"/>
    <col customWidth="1" min="19" max="20" width="12.14"/>
    <col customWidth="1" min="21" max="21" width="12.71"/>
    <col customWidth="1" min="22" max="22" width="12.29"/>
    <col customWidth="1" min="23" max="23" width="13.0"/>
  </cols>
  <sheetData>
    <row r="1">
      <c r="A1" s="2"/>
      <c r="I1" s="1" t="s">
        <v>328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"/>
      <c r="N2" s="6"/>
      <c r="O2" s="6"/>
      <c r="P2" s="6"/>
      <c r="Q2" s="2"/>
      <c r="R2" s="2"/>
      <c r="S2" s="2"/>
      <c r="T2" s="2"/>
      <c r="U2" s="2"/>
      <c r="V2" s="2"/>
      <c r="W2" s="2"/>
    </row>
    <row r="3">
      <c r="A3" s="2"/>
      <c r="B3" s="2" t="s">
        <v>2</v>
      </c>
      <c r="E3" s="2" t="s">
        <v>3</v>
      </c>
      <c r="H3" s="2"/>
      <c r="I3" s="2" t="s">
        <v>4</v>
      </c>
      <c r="L3" s="2"/>
      <c r="M3" s="4" t="s">
        <v>8</v>
      </c>
      <c r="P3" s="6"/>
      <c r="Q3" s="2" t="s">
        <v>5</v>
      </c>
      <c r="T3" s="2"/>
      <c r="U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9</v>
      </c>
      <c r="J4" s="1" t="s">
        <v>10</v>
      </c>
      <c r="K4" s="1" t="s">
        <v>11</v>
      </c>
      <c r="L4" s="1" t="s">
        <v>12</v>
      </c>
      <c r="M4" s="6" t="s">
        <v>9</v>
      </c>
      <c r="N4" s="6" t="s">
        <v>10</v>
      </c>
      <c r="O4" s="6" t="s">
        <v>11</v>
      </c>
      <c r="P4" s="6" t="s">
        <v>12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9</v>
      </c>
      <c r="V4" s="1" t="s">
        <v>10</v>
      </c>
      <c r="W4" s="1" t="s">
        <v>11</v>
      </c>
      <c r="X4" s="1" t="s">
        <v>12</v>
      </c>
    </row>
    <row r="5">
      <c r="A5" s="3" t="s">
        <v>13</v>
      </c>
      <c r="B5" s="66" t="s">
        <v>333</v>
      </c>
      <c r="E5" s="8" t="s">
        <v>335</v>
      </c>
      <c r="F5" s="1">
        <v>0.3458567</v>
      </c>
      <c r="G5" s="11">
        <f>0.0006849285/0.0088666</f>
        <v>0.077248156</v>
      </c>
      <c r="H5" s="11">
        <f>F5/G5</f>
        <v>4.477216259</v>
      </c>
      <c r="I5" s="7" t="s">
        <v>341</v>
      </c>
      <c r="J5" s="1">
        <v>0.23193316</v>
      </c>
      <c r="K5" s="10">
        <f>0.0008984565/0.0259739</f>
        <v>0.03459074302</v>
      </c>
      <c r="L5" s="10">
        <f>J5/K5</f>
        <v>6.705064413</v>
      </c>
      <c r="M5" s="10" t="s">
        <v>348</v>
      </c>
      <c r="N5" s="10">
        <v>0.32954</v>
      </c>
      <c r="O5" s="15">
        <f>0.001254273/0.0362832</f>
        <v>0.03456897407</v>
      </c>
      <c r="P5" s="10">
        <f>0.32954/0.03456897407</f>
        <v>9.532825572</v>
      </c>
      <c r="Q5" s="12" t="s">
        <v>355</v>
      </c>
      <c r="R5" s="1">
        <v>0.31538065</v>
      </c>
      <c r="S5" s="10">
        <f>0.0019234804/0.0563892</f>
        <v>0.03411079427</v>
      </c>
      <c r="T5" s="10">
        <f>R5/S5</f>
        <v>9.245772688</v>
      </c>
      <c r="U5" s="7" t="s">
        <v>361</v>
      </c>
      <c r="V5" s="1">
        <v>0.561755</v>
      </c>
      <c r="W5" s="10">
        <f>0.0031251081/0.0788395</f>
        <v>0.0396388625</v>
      </c>
      <c r="X5">
        <f>V5/W5</f>
        <v>14.17182443</v>
      </c>
    </row>
    <row r="6">
      <c r="A6" s="3" t="s">
        <v>16</v>
      </c>
      <c r="I6" s="12" t="s">
        <v>366</v>
      </c>
      <c r="J6" s="1">
        <v>0.2126053979</v>
      </c>
      <c r="L6" s="10">
        <f>J6/K5</f>
        <v>6.146309081</v>
      </c>
      <c r="M6" s="19" t="s">
        <v>371</v>
      </c>
      <c r="N6" s="10">
        <v>0.284892</v>
      </c>
      <c r="P6" s="10">
        <f>0.284892/0.03456897407</f>
        <v>8.241262799</v>
      </c>
      <c r="Q6" s="18" t="s">
        <v>373</v>
      </c>
      <c r="R6" s="1">
        <v>0.2816684</v>
      </c>
      <c r="T6" s="10">
        <f>R6/S5</f>
        <v>8.257456505</v>
      </c>
      <c r="U6" s="18" t="s">
        <v>376</v>
      </c>
      <c r="V6" s="1">
        <v>0.4251612</v>
      </c>
      <c r="X6">
        <f>V6/W5</f>
        <v>10.72586783</v>
      </c>
    </row>
    <row r="7">
      <c r="A7" s="3" t="s">
        <v>18</v>
      </c>
      <c r="I7" s="8" t="s">
        <v>379</v>
      </c>
      <c r="J7" s="1">
        <v>0.21237438</v>
      </c>
      <c r="L7" s="10">
        <f>J7/K5</f>
        <v>6.139630476</v>
      </c>
      <c r="M7" s="14" t="s">
        <v>384</v>
      </c>
      <c r="N7" s="10">
        <v>0.253555</v>
      </c>
      <c r="P7" s="10">
        <f>0.253555/0.03456897407</f>
        <v>7.33475629</v>
      </c>
      <c r="Q7" s="17" t="s">
        <v>395</v>
      </c>
      <c r="R7" s="63">
        <v>0.249818227</v>
      </c>
      <c r="T7" s="10">
        <f>R7/S5</f>
        <v>7.323729405</v>
      </c>
      <c r="U7" s="7" t="s">
        <v>397</v>
      </c>
      <c r="V7" s="1">
        <v>0.295923997</v>
      </c>
      <c r="X7">
        <f>V7/W5</f>
        <v>7.465501741</v>
      </c>
    </row>
    <row r="8">
      <c r="A8" s="3" t="s">
        <v>20</v>
      </c>
      <c r="M8" s="17" t="s">
        <v>398</v>
      </c>
      <c r="N8" s="1">
        <v>0.254464</v>
      </c>
      <c r="P8" s="1">
        <f>0.254464/0.03456897407</f>
        <v>7.361051545</v>
      </c>
      <c r="Q8" s="7" t="s">
        <v>399</v>
      </c>
      <c r="R8" s="63">
        <v>0.23082516</v>
      </c>
      <c r="T8" s="10">
        <f>R8/S5</f>
        <v>6.766924224</v>
      </c>
      <c r="U8" s="12" t="s">
        <v>400</v>
      </c>
      <c r="V8" s="1">
        <v>0.27901622</v>
      </c>
      <c r="X8">
        <f>V8/W5</f>
        <v>7.038956277</v>
      </c>
    </row>
    <row r="9">
      <c r="A9" s="3" t="s">
        <v>22</v>
      </c>
      <c r="M9" s="12" t="s">
        <v>401</v>
      </c>
      <c r="N9" s="1">
        <v>0.242145</v>
      </c>
      <c r="P9" s="1">
        <f>0.242145/0.03456897407</f>
        <v>7.004691534</v>
      </c>
      <c r="Q9" s="8" t="s">
        <v>402</v>
      </c>
      <c r="R9" s="1">
        <v>0.22291581</v>
      </c>
      <c r="T9" s="10">
        <f>R9/S5</f>
        <v>6.535051874</v>
      </c>
    </row>
    <row r="10">
      <c r="A10" s="3" t="s">
        <v>112</v>
      </c>
    </row>
    <row r="12">
      <c r="A12" s="3"/>
    </row>
    <row r="13">
      <c r="A13" s="3" t="s">
        <v>24</v>
      </c>
      <c r="B13" s="24" t="s">
        <v>403</v>
      </c>
      <c r="E13" s="24" t="s">
        <v>404</v>
      </c>
      <c r="I13" s="24" t="s">
        <v>405</v>
      </c>
      <c r="Q13" s="73"/>
      <c r="U13" s="31"/>
    </row>
    <row r="14">
      <c r="A14" s="3" t="s">
        <v>109</v>
      </c>
      <c r="B14" s="24" t="s">
        <v>406</v>
      </c>
      <c r="C14" s="74"/>
      <c r="E14" s="24" t="s">
        <v>407</v>
      </c>
      <c r="F14" s="74"/>
      <c r="I14" s="24" t="s">
        <v>408</v>
      </c>
      <c r="J14" s="74"/>
      <c r="Q14" s="24" t="s">
        <v>409</v>
      </c>
      <c r="R14" s="74"/>
      <c r="U14" s="70"/>
    </row>
    <row r="16">
      <c r="A16" s="51" t="s">
        <v>410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</row>
  </sheetData>
  <mergeCells count="14">
    <mergeCell ref="M3:O3"/>
    <mergeCell ref="I3:K3"/>
    <mergeCell ref="Q3:S3"/>
    <mergeCell ref="S5:S9"/>
    <mergeCell ref="U3:W3"/>
    <mergeCell ref="W5:W8"/>
    <mergeCell ref="E13:F13"/>
    <mergeCell ref="B13:C13"/>
    <mergeCell ref="I13:J13"/>
    <mergeCell ref="B3:D3"/>
    <mergeCell ref="B5:D10"/>
    <mergeCell ref="E3:G3"/>
    <mergeCell ref="O5:O9"/>
    <mergeCell ref="K5:K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3" width="11.86"/>
    <col customWidth="1" min="4" max="4" width="10.71"/>
    <col customWidth="1" min="5" max="5" width="12.71"/>
    <col customWidth="1" min="6" max="8" width="12.0"/>
    <col customWidth="1" min="9" max="9" width="13.71"/>
    <col customWidth="1" min="10" max="10" width="11.86"/>
    <col customWidth="1" min="11" max="12" width="12.14"/>
    <col customWidth="1" min="13" max="13" width="15.86"/>
    <col customWidth="1" min="14" max="14" width="12.14"/>
    <col customWidth="1" min="15" max="15" width="13.57"/>
    <col customWidth="1" min="16" max="16" width="12.14"/>
    <col customWidth="1" min="17" max="17" width="13.0"/>
    <col customWidth="1" min="18" max="18" width="11.29"/>
    <col customWidth="1" min="19" max="20" width="12.57"/>
    <col customWidth="1" min="21" max="21" width="12.71"/>
    <col customWidth="1" min="22" max="22" width="11.43"/>
  </cols>
  <sheetData>
    <row r="1">
      <c r="A1" s="2"/>
      <c r="I1" s="1" t="s">
        <v>411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"/>
      <c r="N2" s="6"/>
      <c r="O2" s="6"/>
      <c r="P2" s="6"/>
      <c r="Q2" s="2"/>
      <c r="R2" s="2"/>
      <c r="S2" s="2"/>
      <c r="T2" s="2"/>
      <c r="U2" s="2"/>
      <c r="V2" s="2"/>
      <c r="W2" s="2"/>
    </row>
    <row r="3">
      <c r="A3" s="2"/>
      <c r="B3" s="2" t="s">
        <v>2</v>
      </c>
      <c r="E3" s="2" t="s">
        <v>3</v>
      </c>
      <c r="H3" s="2"/>
      <c r="I3" s="2" t="s">
        <v>4</v>
      </c>
      <c r="L3" s="2"/>
      <c r="M3" s="4" t="s">
        <v>8</v>
      </c>
      <c r="P3" s="6"/>
      <c r="Q3" s="2" t="s">
        <v>5</v>
      </c>
      <c r="T3" s="2"/>
      <c r="U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9</v>
      </c>
      <c r="J4" s="1" t="s">
        <v>10</v>
      </c>
      <c r="K4" s="1" t="s">
        <v>11</v>
      </c>
      <c r="L4" s="1" t="s">
        <v>12</v>
      </c>
      <c r="M4" s="6" t="s">
        <v>9</v>
      </c>
      <c r="N4" s="6" t="s">
        <v>10</v>
      </c>
      <c r="O4" s="6" t="s">
        <v>11</v>
      </c>
      <c r="P4" s="6" t="s">
        <v>12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9</v>
      </c>
      <c r="V4" s="1" t="s">
        <v>10</v>
      </c>
      <c r="W4" s="1" t="s">
        <v>11</v>
      </c>
      <c r="X4" s="1" t="s">
        <v>12</v>
      </c>
    </row>
    <row r="5">
      <c r="A5" s="3" t="s">
        <v>13</v>
      </c>
      <c r="B5" s="66" t="s">
        <v>333</v>
      </c>
      <c r="E5" s="24" t="s">
        <v>412</v>
      </c>
      <c r="F5" s="1">
        <v>0.492566</v>
      </c>
      <c r="G5" s="10">
        <f>0.0010115209/0.0108861</f>
        <v>0.09291857506</v>
      </c>
      <c r="H5" s="10">
        <f>F5/G5</f>
        <v>5.301049867</v>
      </c>
      <c r="I5" s="1" t="s">
        <v>413</v>
      </c>
      <c r="J5" s="1">
        <v>0.47485</v>
      </c>
      <c r="K5" s="10">
        <f>0.0015402896/0.0266427</f>
        <v>0.05781281927</v>
      </c>
      <c r="L5" s="10">
        <f>J5/K5</f>
        <v>8.213576262</v>
      </c>
      <c r="M5" s="75" t="s">
        <v>414</v>
      </c>
      <c r="N5" s="10">
        <v>0.893862</v>
      </c>
      <c r="O5" s="15">
        <f>0.002210021/0.0371632</f>
        <v>0.05946799522</v>
      </c>
      <c r="P5" s="10">
        <f>0.893862/0.05946799522</f>
        <v>15.03097585</v>
      </c>
      <c r="Q5" s="8" t="s">
        <v>415</v>
      </c>
      <c r="R5" s="1">
        <v>3.534713</v>
      </c>
      <c r="S5" s="10">
        <v>0.06077059</v>
      </c>
      <c r="T5" s="10">
        <f>R5/S5</f>
        <v>58.16486231</v>
      </c>
      <c r="U5" s="37" t="s">
        <v>416</v>
      </c>
      <c r="V5" s="1">
        <v>1.7418778</v>
      </c>
      <c r="W5" s="10">
        <f>0.0054003789/0.0802647</f>
        <v>0.06728211655</v>
      </c>
      <c r="X5">
        <f>V5/W5</f>
        <v>25.88916475</v>
      </c>
    </row>
    <row r="6">
      <c r="A6" s="3" t="s">
        <v>16</v>
      </c>
      <c r="E6" s="28" t="s">
        <v>417</v>
      </c>
      <c r="F6" s="1">
        <v>0.3238267</v>
      </c>
      <c r="H6" s="10">
        <f>F6/G5</f>
        <v>3.485058825</v>
      </c>
      <c r="I6" s="18" t="s">
        <v>418</v>
      </c>
      <c r="J6" s="1">
        <v>0.428421</v>
      </c>
      <c r="L6" s="10">
        <f>J6/K5</f>
        <v>7.410484481</v>
      </c>
      <c r="M6" s="14" t="s">
        <v>419</v>
      </c>
      <c r="N6" s="10">
        <v>0.726465</v>
      </c>
      <c r="P6" s="10">
        <f>0.726465/0.05946799522</f>
        <v>12.21606677</v>
      </c>
      <c r="Q6" s="18" t="s">
        <v>420</v>
      </c>
      <c r="R6" s="1">
        <v>3.0095935</v>
      </c>
      <c r="T6" s="10">
        <f>R6/S5</f>
        <v>49.52384862</v>
      </c>
      <c r="U6" s="21" t="s">
        <v>421</v>
      </c>
      <c r="V6" s="1">
        <v>1.29195399</v>
      </c>
      <c r="X6">
        <f>V6/W5</f>
        <v>19.20204144</v>
      </c>
    </row>
    <row r="7">
      <c r="A7" s="3" t="s">
        <v>18</v>
      </c>
      <c r="E7" s="21" t="s">
        <v>422</v>
      </c>
      <c r="F7" s="1">
        <v>0.2621669</v>
      </c>
      <c r="H7" s="10">
        <f>F7/G5</f>
        <v>2.821469225</v>
      </c>
      <c r="I7" s="28" t="s">
        <v>423</v>
      </c>
      <c r="J7" s="1">
        <v>0.41288232</v>
      </c>
      <c r="L7" s="10">
        <f>J7/K5</f>
        <v>7.141708798</v>
      </c>
      <c r="M7" s="44" t="s">
        <v>424</v>
      </c>
      <c r="N7" s="10">
        <v>0.619882</v>
      </c>
      <c r="P7" s="10">
        <f>0.619882/0.05946799522</f>
        <v>10.42379178</v>
      </c>
      <c r="Q7" s="61" t="s">
        <v>425</v>
      </c>
      <c r="R7" s="1">
        <v>2.87971189</v>
      </c>
      <c r="T7" s="10">
        <f>R7/S5</f>
        <v>47.38660411</v>
      </c>
      <c r="U7" s="37" t="s">
        <v>426</v>
      </c>
      <c r="V7" s="1">
        <v>1.24488473</v>
      </c>
      <c r="X7">
        <f>V7/W5</f>
        <v>18.50246089</v>
      </c>
    </row>
    <row r="8">
      <c r="A8" s="3" t="s">
        <v>20</v>
      </c>
      <c r="E8" s="12" t="s">
        <v>427</v>
      </c>
      <c r="F8" s="1">
        <v>0.22230022</v>
      </c>
      <c r="H8" s="10">
        <f>F8/G5</f>
        <v>2.392419598</v>
      </c>
      <c r="I8" s="7" t="s">
        <v>428</v>
      </c>
      <c r="J8" s="1">
        <v>0.41078</v>
      </c>
      <c r="L8" s="10">
        <f>J8/K5</f>
        <v>7.105344544</v>
      </c>
      <c r="M8" s="20" t="s">
        <v>429</v>
      </c>
      <c r="N8" s="10">
        <v>0.502992</v>
      </c>
      <c r="P8" s="10">
        <f>0.502992/0.05946799522</f>
        <v>8.458196684</v>
      </c>
      <c r="Q8" s="37" t="s">
        <v>430</v>
      </c>
      <c r="R8" s="1">
        <v>2.8399261</v>
      </c>
      <c r="T8" s="10">
        <f>R8/S5</f>
        <v>46.73191588</v>
      </c>
      <c r="U8" s="1" t="s">
        <v>431</v>
      </c>
      <c r="V8" s="1">
        <v>1.1463259</v>
      </c>
      <c r="X8">
        <f>V8/W5</f>
        <v>17.03760165</v>
      </c>
    </row>
    <row r="9">
      <c r="A9" s="3" t="s">
        <v>22</v>
      </c>
      <c r="E9" s="8" t="s">
        <v>432</v>
      </c>
      <c r="F9" s="1">
        <v>0.219838018</v>
      </c>
      <c r="H9" s="10">
        <f>F9/G5</f>
        <v>2.365921107</v>
      </c>
      <c r="I9" s="12" t="s">
        <v>433</v>
      </c>
      <c r="J9" s="1">
        <v>0.3985819</v>
      </c>
      <c r="L9" s="10">
        <f>J9/K5</f>
        <v>6.894351547</v>
      </c>
      <c r="M9" s="10" t="s">
        <v>434</v>
      </c>
      <c r="N9" s="10">
        <v>0.499009</v>
      </c>
      <c r="P9" s="10">
        <f>0.499009/0.05946799522</f>
        <v>8.391219481</v>
      </c>
      <c r="U9" s="61" t="s">
        <v>435</v>
      </c>
      <c r="V9" s="1">
        <v>0.92216503</v>
      </c>
      <c r="X9">
        <f>V9/W5</f>
        <v>13.70594561</v>
      </c>
    </row>
    <row r="10">
      <c r="A10" s="3" t="s">
        <v>112</v>
      </c>
      <c r="E10" s="7" t="s">
        <v>436</v>
      </c>
      <c r="F10" s="1">
        <v>0.1946921199</v>
      </c>
      <c r="H10" s="10">
        <f>F10/G5</f>
        <v>2.095298166</v>
      </c>
      <c r="I10" s="8" t="s">
        <v>437</v>
      </c>
      <c r="J10" s="1">
        <v>0.383118</v>
      </c>
      <c r="L10" s="10">
        <f>J10/K5</f>
        <v>6.626869349</v>
      </c>
      <c r="M10" s="13" t="s">
        <v>438</v>
      </c>
      <c r="N10" s="10">
        <v>0.387367</v>
      </c>
      <c r="P10" s="10">
        <f>0.387367/0.05946799522</f>
        <v>6.513873531</v>
      </c>
    </row>
    <row r="12">
      <c r="A12" s="3"/>
    </row>
    <row r="13">
      <c r="A13" s="3" t="s">
        <v>24</v>
      </c>
      <c r="B13" s="1" t="s">
        <v>439</v>
      </c>
      <c r="E13" s="31"/>
      <c r="I13" s="31"/>
      <c r="Q13" s="31"/>
      <c r="U13" s="31"/>
    </row>
    <row r="14">
      <c r="A14" s="3" t="s">
        <v>109</v>
      </c>
      <c r="B14" s="31"/>
      <c r="E14" s="31"/>
      <c r="I14" s="31"/>
      <c r="Q14" s="31"/>
      <c r="U14" s="31"/>
    </row>
    <row r="16">
      <c r="A16" s="33" t="s">
        <v>440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22">
      <c r="K22" s="10"/>
      <c r="L22" s="10"/>
      <c r="M22" s="10"/>
      <c r="N22" s="10"/>
      <c r="O22" s="10"/>
      <c r="P22" s="10"/>
    </row>
    <row r="23">
      <c r="L23" s="10"/>
      <c r="M23" s="10"/>
      <c r="N23" s="10"/>
      <c r="O23" s="10"/>
      <c r="P23" s="10"/>
    </row>
    <row r="24">
      <c r="L24" s="10"/>
      <c r="M24" s="10"/>
      <c r="N24" s="10"/>
      <c r="O24" s="10"/>
      <c r="P24" s="10"/>
    </row>
    <row r="25">
      <c r="L25" s="10"/>
      <c r="M25" s="10"/>
      <c r="N25" s="10"/>
      <c r="O25" s="10"/>
      <c r="P25" s="10"/>
    </row>
    <row r="26">
      <c r="L26" s="10"/>
      <c r="M26" s="10"/>
      <c r="N26" s="10"/>
      <c r="O26" s="10"/>
      <c r="P26" s="10"/>
    </row>
    <row r="27">
      <c r="L27" s="10"/>
      <c r="M27" s="10"/>
      <c r="N27" s="10"/>
      <c r="O27" s="10"/>
      <c r="P27" s="10"/>
    </row>
  </sheetData>
  <mergeCells count="14">
    <mergeCell ref="E3:G3"/>
    <mergeCell ref="I3:K3"/>
    <mergeCell ref="K22:K27"/>
    <mergeCell ref="K5:K10"/>
    <mergeCell ref="M3:O3"/>
    <mergeCell ref="O5:O10"/>
    <mergeCell ref="U3:W3"/>
    <mergeCell ref="W5:W9"/>
    <mergeCell ref="Q3:S3"/>
    <mergeCell ref="S5:S8"/>
    <mergeCell ref="B3:D3"/>
    <mergeCell ref="B5:D10"/>
    <mergeCell ref="G5:G10"/>
    <mergeCell ref="A16:W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P1" s="2"/>
      <c r="Q1" s="2"/>
    </row>
    <row r="3">
      <c r="A3" s="1"/>
      <c r="B3" s="2" t="s">
        <v>2</v>
      </c>
      <c r="E3" s="2"/>
      <c r="F3" s="2" t="s">
        <v>3</v>
      </c>
      <c r="I3" s="2"/>
      <c r="J3" s="2" t="s">
        <v>4</v>
      </c>
      <c r="M3" s="2"/>
      <c r="N3" s="2" t="s">
        <v>5</v>
      </c>
      <c r="Q3" s="2"/>
      <c r="R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9</v>
      </c>
      <c r="S4" s="1" t="s">
        <v>10</v>
      </c>
      <c r="T4" s="1" t="s">
        <v>11</v>
      </c>
      <c r="U4" s="1" t="s">
        <v>12</v>
      </c>
    </row>
    <row r="5">
      <c r="A5" s="1" t="s">
        <v>13</v>
      </c>
      <c r="B5" s="1" t="s">
        <v>14</v>
      </c>
      <c r="F5" s="1" t="s">
        <v>15</v>
      </c>
    </row>
    <row r="6">
      <c r="A6" s="1" t="s">
        <v>16</v>
      </c>
      <c r="B6" s="1" t="s">
        <v>17</v>
      </c>
    </row>
    <row r="7">
      <c r="A7" s="1" t="s">
        <v>18</v>
      </c>
      <c r="B7" s="1" t="s">
        <v>19</v>
      </c>
    </row>
    <row r="8">
      <c r="A8" s="1" t="s">
        <v>20</v>
      </c>
      <c r="B8" s="1" t="s">
        <v>21</v>
      </c>
    </row>
    <row r="9">
      <c r="A9" s="1" t="s">
        <v>22</v>
      </c>
      <c r="B9" s="1" t="s">
        <v>23</v>
      </c>
    </row>
    <row r="11">
      <c r="A11" s="1" t="s">
        <v>24</v>
      </c>
      <c r="B11" s="1" t="s">
        <v>25</v>
      </c>
      <c r="F11" s="1" t="s">
        <v>28</v>
      </c>
    </row>
    <row r="12">
      <c r="B12" s="1" t="s">
        <v>29</v>
      </c>
      <c r="C12" s="1" t="s">
        <v>30</v>
      </c>
      <c r="F12" s="1" t="s">
        <v>31</v>
      </c>
    </row>
  </sheetData>
  <mergeCells count="6">
    <mergeCell ref="R3:T3"/>
    <mergeCell ref="B3:D3"/>
    <mergeCell ref="F3:H3"/>
    <mergeCell ref="J3:L3"/>
    <mergeCell ref="B1:O1"/>
    <mergeCell ref="N3:P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8" max="18" width="15.43"/>
  </cols>
  <sheetData>
    <row r="1">
      <c r="A1" s="2"/>
      <c r="B1" s="2" t="s">
        <v>6</v>
      </c>
      <c r="T1" s="2"/>
      <c r="U1" s="2"/>
    </row>
    <row r="2">
      <c r="N2" s="3"/>
      <c r="O2" s="3"/>
      <c r="P2" s="3"/>
      <c r="Q2" s="3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4" t="s">
        <v>8</v>
      </c>
      <c r="Q3" s="6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9</v>
      </c>
      <c r="O4" s="6" t="s">
        <v>10</v>
      </c>
      <c r="P4" s="6" t="s">
        <v>11</v>
      </c>
      <c r="Q4" s="6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1" t="s">
        <v>13</v>
      </c>
      <c r="B5" s="8" t="s">
        <v>33</v>
      </c>
      <c r="C5" s="1">
        <v>0.1341</v>
      </c>
      <c r="D5" s="10">
        <v>0.023603487</v>
      </c>
      <c r="E5" s="10">
        <f>C5/D5</f>
        <v>5.681363944</v>
      </c>
      <c r="F5" s="7" t="s">
        <v>34</v>
      </c>
      <c r="G5" s="1">
        <v>1.436</v>
      </c>
      <c r="H5" s="10">
        <v>0.056249508</v>
      </c>
      <c r="I5" s="10">
        <f>G5/H5</f>
        <v>25.52911218</v>
      </c>
      <c r="J5" s="12" t="s">
        <v>36</v>
      </c>
      <c r="K5" s="1">
        <v>1.4479</v>
      </c>
      <c r="L5" s="10">
        <v>0.0596023365</v>
      </c>
      <c r="M5" s="10">
        <f>K5/L5</f>
        <v>24.29267181</v>
      </c>
      <c r="N5" s="13" t="s">
        <v>38</v>
      </c>
      <c r="O5" s="10">
        <v>1.311048</v>
      </c>
      <c r="P5" s="15">
        <f>0.001910208/0.0358651</f>
        <v>0.05326091381</v>
      </c>
      <c r="Q5" s="10">
        <f>1.311048/0.05326091381</f>
        <v>24.61557465</v>
      </c>
      <c r="R5" s="12" t="s">
        <v>40</v>
      </c>
      <c r="S5" s="1">
        <v>1.2057</v>
      </c>
      <c r="T5" s="10">
        <v>0.046202294</v>
      </c>
      <c r="U5" s="10">
        <f>S5/T5</f>
        <v>26.09610683</v>
      </c>
      <c r="V5" s="16" t="s">
        <v>42</v>
      </c>
      <c r="W5" s="1">
        <v>1.775</v>
      </c>
      <c r="X5" s="10">
        <v>0.0458028767</v>
      </c>
      <c r="Y5">
        <f>W5/X5</f>
        <v>38.75302444</v>
      </c>
    </row>
    <row r="6">
      <c r="A6" s="1" t="s">
        <v>16</v>
      </c>
      <c r="B6" s="18" t="s">
        <v>44</v>
      </c>
      <c r="C6" s="1">
        <v>0.1284</v>
      </c>
      <c r="E6" s="10">
        <f>C6/D5</f>
        <v>5.439874202</v>
      </c>
      <c r="F6" s="18" t="s">
        <v>47</v>
      </c>
      <c r="G6" s="1">
        <v>0.5809</v>
      </c>
      <c r="I6" s="10">
        <f>G6/H5</f>
        <v>10.32720144</v>
      </c>
      <c r="J6" s="7" t="s">
        <v>49</v>
      </c>
      <c r="K6" s="1">
        <v>1.0584</v>
      </c>
      <c r="M6" s="10">
        <f>K6/L5</f>
        <v>17.75769311</v>
      </c>
      <c r="N6" s="20" t="s">
        <v>51</v>
      </c>
      <c r="O6" s="10">
        <v>0.80005</v>
      </c>
      <c r="Q6" s="10">
        <f>0.80005/0.05326091381</f>
        <v>15.02133446</v>
      </c>
      <c r="R6" s="21" t="s">
        <v>54</v>
      </c>
      <c r="S6" s="1">
        <v>1.126</v>
      </c>
      <c r="U6" s="10">
        <f>S6/T5</f>
        <v>24.37108426</v>
      </c>
      <c r="V6" s="22" t="s">
        <v>59</v>
      </c>
      <c r="W6" s="1">
        <v>1.3054</v>
      </c>
      <c r="Y6">
        <f>W6/X5</f>
        <v>28.5003933</v>
      </c>
    </row>
    <row r="7">
      <c r="A7" s="1" t="s">
        <v>18</v>
      </c>
      <c r="B7" s="7" t="s">
        <v>62</v>
      </c>
      <c r="C7" s="1">
        <v>0.12634</v>
      </c>
      <c r="E7" s="10">
        <f>C7/D5</f>
        <v>5.352598961</v>
      </c>
      <c r="F7" s="12" t="s">
        <v>64</v>
      </c>
      <c r="G7" s="1">
        <v>0.5549</v>
      </c>
      <c r="I7" s="10">
        <f>G7/H5</f>
        <v>9.864975175</v>
      </c>
      <c r="J7" s="18" t="s">
        <v>67</v>
      </c>
      <c r="K7" s="1">
        <v>0.9606</v>
      </c>
      <c r="M7" s="10">
        <f>K7/L5</f>
        <v>16.11681784</v>
      </c>
      <c r="N7" s="19" t="s">
        <v>70</v>
      </c>
      <c r="O7" s="10">
        <v>0.719052</v>
      </c>
      <c r="Q7" s="10">
        <f>0.719052/0.05326091381</f>
        <v>13.50055695</v>
      </c>
      <c r="R7" s="22" t="s">
        <v>73</v>
      </c>
      <c r="S7" s="1">
        <v>1.045</v>
      </c>
      <c r="U7" s="10">
        <f>S7/T5</f>
        <v>22.61792456</v>
      </c>
      <c r="V7" s="22" t="s">
        <v>75</v>
      </c>
      <c r="W7" s="1">
        <v>1.288</v>
      </c>
      <c r="Y7">
        <f>W7/X5</f>
        <v>28.12050449</v>
      </c>
    </row>
    <row r="8">
      <c r="A8" s="1" t="s">
        <v>20</v>
      </c>
      <c r="B8" s="21" t="s">
        <v>78</v>
      </c>
      <c r="C8" s="1">
        <v>0.10756</v>
      </c>
      <c r="E8" s="10">
        <f>C8/D5</f>
        <v>4.556953809</v>
      </c>
      <c r="F8" s="8" t="s">
        <v>82</v>
      </c>
      <c r="G8" s="1">
        <v>0.46437</v>
      </c>
      <c r="I8" s="10">
        <f>G8/H5</f>
        <v>8.255538875</v>
      </c>
      <c r="J8" s="24" t="s">
        <v>84</v>
      </c>
      <c r="K8" s="1">
        <v>0.88608</v>
      </c>
      <c r="M8" s="10">
        <f>K8/L5</f>
        <v>14.86653128</v>
      </c>
      <c r="N8" s="23" t="s">
        <v>88</v>
      </c>
      <c r="O8" s="10">
        <v>0.658353</v>
      </c>
      <c r="Q8" s="10">
        <f>0.658353/0.05326091381</f>
        <v>12.3609032</v>
      </c>
      <c r="R8" s="7" t="s">
        <v>91</v>
      </c>
      <c r="S8" s="1">
        <v>0.875</v>
      </c>
      <c r="U8" s="10">
        <f>S8/T5</f>
        <v>18.93845358</v>
      </c>
      <c r="V8" s="26" t="s">
        <v>94</v>
      </c>
      <c r="W8" s="1">
        <v>1.221</v>
      </c>
      <c r="Y8">
        <f>W8/X5</f>
        <v>26.65771427</v>
      </c>
    </row>
    <row r="9">
      <c r="A9" s="1" t="s">
        <v>22</v>
      </c>
      <c r="R9" s="24" t="s">
        <v>100</v>
      </c>
      <c r="S9" s="1">
        <v>0.8071</v>
      </c>
      <c r="U9" s="10">
        <f>S9/T5</f>
        <v>17.46882958</v>
      </c>
      <c r="V9" s="30" t="s">
        <v>101</v>
      </c>
      <c r="W9" s="1">
        <v>1.0207</v>
      </c>
      <c r="Y9">
        <f>W9/X5</f>
        <v>22.2846265</v>
      </c>
    </row>
    <row r="10">
      <c r="A10" s="1" t="s">
        <v>112</v>
      </c>
      <c r="R10" s="32" t="s">
        <v>114</v>
      </c>
      <c r="S10" s="1">
        <v>0.754</v>
      </c>
      <c r="U10" s="10">
        <f>S10/T5</f>
        <v>16.319536</v>
      </c>
    </row>
    <row r="11">
      <c r="A11" s="1"/>
      <c r="R11" s="1"/>
      <c r="S11" s="1"/>
      <c r="T11" s="10"/>
      <c r="U11" s="10"/>
    </row>
    <row r="12">
      <c r="A12" s="1" t="s">
        <v>24</v>
      </c>
      <c r="B12" s="24" t="s">
        <v>123</v>
      </c>
      <c r="F12" s="24" t="s">
        <v>124</v>
      </c>
      <c r="J12" s="24" t="s">
        <v>126</v>
      </c>
      <c r="R12" s="31"/>
      <c r="V12" s="31"/>
    </row>
    <row r="13">
      <c r="A13" s="1" t="s">
        <v>109</v>
      </c>
      <c r="B13" s="24" t="s">
        <v>127</v>
      </c>
      <c r="F13" s="31"/>
      <c r="J13" s="31"/>
      <c r="R13" s="31"/>
      <c r="V13" s="31"/>
    </row>
    <row r="15">
      <c r="A15" s="34" t="s">
        <v>129</v>
      </c>
    </row>
  </sheetData>
  <mergeCells count="14">
    <mergeCell ref="F3:H3"/>
    <mergeCell ref="B3:D3"/>
    <mergeCell ref="H5:H8"/>
    <mergeCell ref="D5:D8"/>
    <mergeCell ref="T5:T10"/>
    <mergeCell ref="A15:X16"/>
    <mergeCell ref="X5:X9"/>
    <mergeCell ref="V3:X3"/>
    <mergeCell ref="R3:T3"/>
    <mergeCell ref="N3:P3"/>
    <mergeCell ref="J3:L3"/>
    <mergeCell ref="P5:P8"/>
    <mergeCell ref="L5:L8"/>
    <mergeCell ref="B1:S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2.71"/>
    <col customWidth="1" min="3" max="3" width="10.71"/>
    <col customWidth="1" min="4" max="5" width="12.57"/>
    <col customWidth="1" min="6" max="6" width="12.71"/>
    <col customWidth="1" min="7" max="7" width="10.86"/>
    <col customWidth="1" min="8" max="9" width="14.0"/>
    <col customWidth="1" min="10" max="10" width="13.86"/>
    <col customWidth="1" min="11" max="11" width="10.43"/>
    <col customWidth="1" min="12" max="13" width="12.14"/>
    <col customWidth="1" min="14" max="14" width="15.14"/>
    <col customWidth="1" min="15" max="15" width="12.14"/>
    <col customWidth="1" min="16" max="16" width="14.29"/>
    <col customWidth="1" min="17" max="17" width="12.14"/>
    <col customWidth="1" min="18" max="18" width="13.14"/>
    <col customWidth="1" min="19" max="19" width="10.71"/>
    <col customWidth="1" min="20" max="21" width="12.86"/>
    <col customWidth="1" min="22" max="22" width="14.57"/>
    <col customWidth="1" min="23" max="23" width="10.71"/>
  </cols>
  <sheetData>
    <row r="1">
      <c r="A1" s="2" t="s">
        <v>52</v>
      </c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2" t="s">
        <v>8</v>
      </c>
      <c r="Q3" s="2"/>
      <c r="R3" s="2" t="s">
        <v>26</v>
      </c>
      <c r="U3" s="2"/>
      <c r="V3" s="2" t="s">
        <v>27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1" t="s">
        <v>13</v>
      </c>
      <c r="B5" s="12" t="s">
        <v>55</v>
      </c>
      <c r="C5" s="1">
        <v>1.0339</v>
      </c>
      <c r="D5" s="10">
        <v>0.311115959</v>
      </c>
      <c r="E5" s="10">
        <f>C5/D5</f>
        <v>3.323198216</v>
      </c>
      <c r="F5" s="8" t="s">
        <v>58</v>
      </c>
      <c r="G5" s="1">
        <v>0.9765</v>
      </c>
      <c r="H5" s="10">
        <v>0.21071786</v>
      </c>
      <c r="I5" s="10">
        <f>G5/H5</f>
        <v>4.63415868</v>
      </c>
      <c r="J5" s="18" t="s">
        <v>60</v>
      </c>
      <c r="K5" s="1">
        <v>1.03678</v>
      </c>
      <c r="L5" s="10">
        <v>0.1674139517</v>
      </c>
      <c r="M5" s="10">
        <f>K5/L5</f>
        <v>6.192912774</v>
      </c>
      <c r="N5" s="14" t="s">
        <v>61</v>
      </c>
      <c r="O5" s="1">
        <v>1.10207</v>
      </c>
      <c r="P5" s="15">
        <f>0.005127638/0.0408521</f>
        <v>0.1255171215</v>
      </c>
      <c r="Q5" s="1">
        <f>1.10207/0.1255171215</f>
        <v>8.780236408</v>
      </c>
      <c r="R5" s="18" t="s">
        <v>66</v>
      </c>
      <c r="S5" s="1">
        <v>1.421</v>
      </c>
      <c r="T5" s="10">
        <v>0.088969028</v>
      </c>
      <c r="U5" s="10">
        <f>S5/T5</f>
        <v>15.97185034</v>
      </c>
      <c r="V5" s="18" t="s">
        <v>69</v>
      </c>
      <c r="W5" s="1">
        <v>0.975776</v>
      </c>
      <c r="X5" s="10">
        <v>0.0740514886</v>
      </c>
      <c r="Y5">
        <f>W5/X5</f>
        <v>13.17699372</v>
      </c>
    </row>
    <row r="6">
      <c r="A6" s="1" t="s">
        <v>16</v>
      </c>
      <c r="B6" s="1" t="s">
        <v>71</v>
      </c>
      <c r="C6" s="1">
        <v>0.7751</v>
      </c>
      <c r="E6" s="10">
        <f>C6/D5</f>
        <v>2.491354036</v>
      </c>
      <c r="F6" s="18" t="s">
        <v>74</v>
      </c>
      <c r="G6" s="1">
        <v>0.896</v>
      </c>
      <c r="I6" s="10">
        <f>G6/H5</f>
        <v>4.252131262</v>
      </c>
      <c r="J6" s="1" t="s">
        <v>77</v>
      </c>
      <c r="K6" s="1">
        <v>1.018</v>
      </c>
      <c r="M6" s="10">
        <f>K6/L5</f>
        <v>6.080735743</v>
      </c>
      <c r="N6" s="23" t="s">
        <v>81</v>
      </c>
      <c r="O6" s="1">
        <v>0.874762</v>
      </c>
      <c r="Q6" s="1">
        <f>0.874762/0.1255171215</f>
        <v>6.969264349</v>
      </c>
      <c r="R6" s="12" t="s">
        <v>85</v>
      </c>
      <c r="S6" s="1">
        <v>1.001</v>
      </c>
      <c r="U6" s="10">
        <f>S6/T5</f>
        <v>11.2511064</v>
      </c>
      <c r="V6" s="1" t="s">
        <v>87</v>
      </c>
      <c r="W6" s="1">
        <v>0.9017847</v>
      </c>
      <c r="Y6">
        <f>W6/X5</f>
        <v>12.17780651</v>
      </c>
    </row>
    <row r="7">
      <c r="A7" s="1" t="s">
        <v>18</v>
      </c>
      <c r="B7" s="8" t="s">
        <v>90</v>
      </c>
      <c r="C7" s="1">
        <v>0.7131</v>
      </c>
      <c r="E7" s="10">
        <f>C7/D5</f>
        <v>2.292071427</v>
      </c>
      <c r="F7" s="1" t="s">
        <v>93</v>
      </c>
      <c r="G7" s="1">
        <v>0.785</v>
      </c>
      <c r="I7" s="10">
        <f>G7/H5</f>
        <v>3.725360537</v>
      </c>
      <c r="J7" s="12" t="s">
        <v>95</v>
      </c>
      <c r="K7" s="1">
        <v>0.857</v>
      </c>
      <c r="M7" s="10">
        <f>K7/L5</f>
        <v>5.119047674</v>
      </c>
      <c r="N7" s="10" t="s">
        <v>96</v>
      </c>
      <c r="O7" s="1">
        <v>0.835401</v>
      </c>
      <c r="Q7" s="1">
        <f>0.835401/0.1255171215</f>
        <v>6.655673664</v>
      </c>
      <c r="R7" s="12" t="s">
        <v>97</v>
      </c>
      <c r="S7" s="1">
        <v>0.9222</v>
      </c>
      <c r="U7" s="10">
        <f>S7/T5</f>
        <v>10.36540491</v>
      </c>
      <c r="V7" s="8" t="s">
        <v>98</v>
      </c>
      <c r="W7" s="1">
        <v>0.877248115</v>
      </c>
      <c r="Y7">
        <f>W7/X5</f>
        <v>11.84646158</v>
      </c>
    </row>
    <row r="8">
      <c r="A8" s="1" t="s">
        <v>20</v>
      </c>
      <c r="B8" s="28" t="s">
        <v>99</v>
      </c>
      <c r="C8" s="1">
        <v>0.535</v>
      </c>
      <c r="E8" s="10">
        <f>C8/D5</f>
        <v>1.719616061</v>
      </c>
      <c r="F8" s="12" t="s">
        <v>102</v>
      </c>
      <c r="G8" s="1">
        <v>0.77489</v>
      </c>
      <c r="I8" s="10">
        <f>G8/H5</f>
        <v>3.677381689</v>
      </c>
      <c r="J8" s="1" t="s">
        <v>106</v>
      </c>
      <c r="K8" s="1">
        <v>0.83827</v>
      </c>
      <c r="M8" s="10">
        <f>K8/L5</f>
        <v>5.007169304</v>
      </c>
      <c r="R8" s="12" t="s">
        <v>107</v>
      </c>
      <c r="S8" s="1">
        <v>0.9069</v>
      </c>
      <c r="U8" s="10">
        <f>S8/T5</f>
        <v>10.19343496</v>
      </c>
      <c r="V8" s="12" t="s">
        <v>108</v>
      </c>
      <c r="W8" s="1">
        <v>0.77351395</v>
      </c>
      <c r="Y8">
        <f>W8/X5</f>
        <v>10.44562324</v>
      </c>
    </row>
    <row r="9">
      <c r="A9" s="1" t="s">
        <v>22</v>
      </c>
      <c r="B9" s="1" t="s">
        <v>79</v>
      </c>
      <c r="F9" s="1" t="s">
        <v>79</v>
      </c>
      <c r="J9" s="1" t="s">
        <v>79</v>
      </c>
      <c r="R9" s="8" t="s">
        <v>111</v>
      </c>
      <c r="S9" s="1">
        <v>0.889</v>
      </c>
      <c r="U9" s="10">
        <f>S9/T5</f>
        <v>9.992241345</v>
      </c>
      <c r="V9" s="28" t="s">
        <v>116</v>
      </c>
    </row>
    <row r="10">
      <c r="A10" s="1"/>
    </row>
    <row r="11">
      <c r="A11" s="1" t="s">
        <v>24</v>
      </c>
      <c r="B11" s="7" t="s">
        <v>117</v>
      </c>
      <c r="F11" s="7" t="s">
        <v>118</v>
      </c>
      <c r="J11" s="7" t="s">
        <v>119</v>
      </c>
      <c r="R11" s="7" t="s">
        <v>120</v>
      </c>
    </row>
    <row r="12">
      <c r="A12" s="1" t="s">
        <v>109</v>
      </c>
      <c r="B12" s="7" t="s">
        <v>121</v>
      </c>
      <c r="F12" s="7" t="s">
        <v>118</v>
      </c>
      <c r="J12" s="7" t="s">
        <v>122</v>
      </c>
      <c r="R12" s="7" t="s">
        <v>125</v>
      </c>
    </row>
    <row r="13">
      <c r="B13" s="1"/>
    </row>
    <row r="14">
      <c r="A14" s="33" t="s">
        <v>128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</sheetData>
  <mergeCells count="21">
    <mergeCell ref="R3:T3"/>
    <mergeCell ref="B3:D3"/>
    <mergeCell ref="F3:H3"/>
    <mergeCell ref="A1:AI1"/>
    <mergeCell ref="N3:P3"/>
    <mergeCell ref="V3:X3"/>
    <mergeCell ref="J3:L3"/>
    <mergeCell ref="J11:K11"/>
    <mergeCell ref="R11:S11"/>
    <mergeCell ref="R12:S12"/>
    <mergeCell ref="T5:T9"/>
    <mergeCell ref="X5:X8"/>
    <mergeCell ref="P5:P7"/>
    <mergeCell ref="J12:K12"/>
    <mergeCell ref="B11:C11"/>
    <mergeCell ref="D5:D8"/>
    <mergeCell ref="B12:C12"/>
    <mergeCell ref="L5:L8"/>
    <mergeCell ref="H5:H8"/>
    <mergeCell ref="F11:G11"/>
    <mergeCell ref="F12:G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8" max="18" width="16.0"/>
  </cols>
  <sheetData>
    <row r="1">
      <c r="A1" s="2"/>
      <c r="B1" s="2" t="s">
        <v>131</v>
      </c>
      <c r="T1" s="2"/>
      <c r="U1" s="2"/>
    </row>
    <row r="2">
      <c r="N2" s="3"/>
      <c r="O2" s="3"/>
      <c r="P2" s="3"/>
      <c r="Q2" s="3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4" t="s">
        <v>8</v>
      </c>
      <c r="Q3" s="6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9</v>
      </c>
      <c r="O4" s="6" t="s">
        <v>10</v>
      </c>
      <c r="P4" s="6" t="s">
        <v>11</v>
      </c>
      <c r="Q4" s="6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1" t="s">
        <v>13</v>
      </c>
      <c r="B5" s="8" t="s">
        <v>134</v>
      </c>
      <c r="C5" s="1">
        <v>0.75287</v>
      </c>
      <c r="D5" s="10">
        <v>0.091400334</v>
      </c>
      <c r="E5" s="10">
        <f>C5/D5</f>
        <v>8.237059615</v>
      </c>
      <c r="F5" s="8" t="s">
        <v>137</v>
      </c>
      <c r="G5" s="1">
        <v>0.38998</v>
      </c>
      <c r="H5" s="10">
        <v>0.0440848694</v>
      </c>
      <c r="I5" s="10">
        <f>G5/H5</f>
        <v>8.846118982</v>
      </c>
      <c r="J5" s="24" t="s">
        <v>141</v>
      </c>
      <c r="K5" s="1">
        <v>0.306744</v>
      </c>
      <c r="L5" s="10">
        <v>0.0355119975</v>
      </c>
      <c r="M5" s="10">
        <f>K5/L5</f>
        <v>8.637756859</v>
      </c>
      <c r="N5" s="36" t="s">
        <v>143</v>
      </c>
      <c r="O5" s="10">
        <v>0.284352</v>
      </c>
      <c r="P5" s="15">
        <f>0.001229096/0.0362533</f>
        <v>0.03390301021</v>
      </c>
      <c r="Q5" s="10">
        <f>0.284352/0.03390301021</f>
        <v>8.387219844</v>
      </c>
      <c r="R5" s="24" t="s">
        <v>152</v>
      </c>
      <c r="S5" s="1">
        <v>0.5428</v>
      </c>
      <c r="T5" s="10">
        <v>0.036746408</v>
      </c>
      <c r="U5" s="10">
        <f>S5/T5</f>
        <v>14.77151182</v>
      </c>
      <c r="V5" s="24" t="s">
        <v>156</v>
      </c>
      <c r="W5" s="1">
        <v>0.73634</v>
      </c>
      <c r="X5" s="10">
        <v>0.0403111499</v>
      </c>
      <c r="Y5">
        <f>W5/X5</f>
        <v>18.26641021</v>
      </c>
    </row>
    <row r="6">
      <c r="A6" s="1" t="s">
        <v>16</v>
      </c>
      <c r="B6" s="12" t="s">
        <v>160</v>
      </c>
      <c r="C6" s="1">
        <v>0.459611</v>
      </c>
      <c r="E6" s="10">
        <f>C6/D5</f>
        <v>5.028548364</v>
      </c>
      <c r="F6" s="7" t="s">
        <v>162</v>
      </c>
      <c r="G6" s="1">
        <v>0.3001988</v>
      </c>
      <c r="I6" s="10">
        <f>G6/H5</f>
        <v>6.80956537</v>
      </c>
      <c r="J6" s="8" t="s">
        <v>165</v>
      </c>
      <c r="K6" s="1">
        <v>0.25859</v>
      </c>
      <c r="M6" s="10">
        <f>K6/L5</f>
        <v>7.281764423</v>
      </c>
      <c r="N6" s="21" t="s">
        <v>168</v>
      </c>
      <c r="O6" s="10">
        <v>0.283165</v>
      </c>
      <c r="Q6" s="10">
        <f>0.283165/0.03390301021</f>
        <v>8.352208204</v>
      </c>
      <c r="R6" s="1" t="s">
        <v>174</v>
      </c>
      <c r="S6" s="1">
        <v>0.479943</v>
      </c>
      <c r="U6" s="10">
        <f>S6/T5</f>
        <v>13.06095007</v>
      </c>
      <c r="V6" s="41" t="s">
        <v>176</v>
      </c>
      <c r="W6" s="1">
        <v>0.610166</v>
      </c>
      <c r="Y6">
        <f>W6/X5</f>
        <v>15.13640771</v>
      </c>
    </row>
    <row r="7">
      <c r="A7" s="1" t="s">
        <v>18</v>
      </c>
      <c r="B7" s="1" t="s">
        <v>79</v>
      </c>
      <c r="F7" s="12" t="s">
        <v>186</v>
      </c>
      <c r="G7" s="1">
        <v>0.265918</v>
      </c>
      <c r="I7" s="10">
        <f>G7/H5</f>
        <v>6.03195617</v>
      </c>
      <c r="J7" s="45" t="s">
        <v>192</v>
      </c>
      <c r="M7" s="10"/>
      <c r="N7" s="45" t="s">
        <v>193</v>
      </c>
      <c r="O7" s="10">
        <v>0.279883</v>
      </c>
      <c r="Q7" s="10">
        <f>0.279883/0.03390301021</f>
        <v>8.25540264</v>
      </c>
      <c r="R7" s="7" t="s">
        <v>196</v>
      </c>
      <c r="S7" s="1">
        <v>0.3918389</v>
      </c>
      <c r="U7" s="10">
        <f>S7/T5</f>
        <v>10.66332524</v>
      </c>
      <c r="V7" s="36" t="s">
        <v>198</v>
      </c>
      <c r="W7" s="1">
        <v>0.596428</v>
      </c>
      <c r="Y7">
        <f>W7/X5</f>
        <v>14.7956087</v>
      </c>
    </row>
    <row r="8">
      <c r="A8" s="1" t="s">
        <v>20</v>
      </c>
      <c r="B8" s="1" t="s">
        <v>79</v>
      </c>
      <c r="F8" s="24" t="s">
        <v>201</v>
      </c>
      <c r="G8" s="1">
        <v>0.208586</v>
      </c>
      <c r="I8" s="10">
        <f>G8/H5</f>
        <v>4.731464624</v>
      </c>
      <c r="J8" s="7" t="s">
        <v>204</v>
      </c>
      <c r="M8" s="10"/>
      <c r="N8" s="14" t="s">
        <v>205</v>
      </c>
      <c r="O8" s="10">
        <v>0.255278</v>
      </c>
      <c r="Q8" s="10">
        <f>0.255278/0.03390301021</f>
        <v>7.529655875</v>
      </c>
      <c r="R8" s="1" t="s">
        <v>208</v>
      </c>
      <c r="S8" s="1">
        <v>0.369129</v>
      </c>
      <c r="U8" s="10">
        <f>S8/T5</f>
        <v>10.04530837</v>
      </c>
      <c r="V8" s="1" t="s">
        <v>79</v>
      </c>
    </row>
    <row r="9">
      <c r="A9" s="1" t="s">
        <v>22</v>
      </c>
      <c r="B9" s="1" t="s">
        <v>79</v>
      </c>
      <c r="F9" s="32" t="s">
        <v>210</v>
      </c>
      <c r="G9" s="1">
        <v>0.179839</v>
      </c>
      <c r="I9" s="10">
        <f>G9/H5</f>
        <v>4.079381485</v>
      </c>
      <c r="J9" s="1" t="s">
        <v>79</v>
      </c>
      <c r="R9" s="21" t="s">
        <v>214</v>
      </c>
      <c r="S9" s="1">
        <v>0.34913</v>
      </c>
      <c r="U9" s="10">
        <f>S9/T5</f>
        <v>9.501064703</v>
      </c>
      <c r="V9" s="1" t="s">
        <v>79</v>
      </c>
    </row>
    <row r="10">
      <c r="A10" s="1"/>
    </row>
    <row r="11">
      <c r="A11" s="1" t="s">
        <v>24</v>
      </c>
      <c r="B11" s="50" t="s">
        <v>216</v>
      </c>
      <c r="F11" s="50" t="s">
        <v>217</v>
      </c>
      <c r="J11" s="50" t="s">
        <v>218</v>
      </c>
      <c r="R11" s="31"/>
      <c r="V11" s="31"/>
    </row>
    <row r="12">
      <c r="A12" s="1" t="s">
        <v>109</v>
      </c>
      <c r="B12" s="8" t="s">
        <v>219</v>
      </c>
      <c r="F12" s="18" t="s">
        <v>220</v>
      </c>
      <c r="G12" s="48"/>
      <c r="J12" s="31"/>
      <c r="R12" s="31"/>
      <c r="V12" s="31"/>
    </row>
    <row r="17">
      <c r="A17" s="51" t="s">
        <v>221</v>
      </c>
      <c r="Y17" s="52"/>
      <c r="Z17" s="52"/>
      <c r="AA17" s="52"/>
      <c r="AB17" s="52"/>
      <c r="AC17" s="52"/>
      <c r="AD17" s="52"/>
      <c r="AE17" s="52"/>
      <c r="AF17" s="52"/>
      <c r="AG17" s="52"/>
      <c r="AH17" s="52"/>
    </row>
  </sheetData>
  <mergeCells count="17">
    <mergeCell ref="N3:P3"/>
    <mergeCell ref="P5:P8"/>
    <mergeCell ref="B3:D3"/>
    <mergeCell ref="F3:H3"/>
    <mergeCell ref="F11:G11"/>
    <mergeCell ref="J11:K11"/>
    <mergeCell ref="B11:C11"/>
    <mergeCell ref="A17:X17"/>
    <mergeCell ref="H5:H9"/>
    <mergeCell ref="D5:D6"/>
    <mergeCell ref="X5:X7"/>
    <mergeCell ref="T5:T9"/>
    <mergeCell ref="V3:X3"/>
    <mergeCell ref="R3:T3"/>
    <mergeCell ref="J3:L3"/>
    <mergeCell ref="B1:S1"/>
    <mergeCell ref="L5:L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4.14"/>
    <col customWidth="1" min="6" max="6" width="15.29"/>
    <col customWidth="1" min="18" max="18" width="17.0"/>
  </cols>
  <sheetData>
    <row r="1">
      <c r="A1" s="2"/>
      <c r="C1" s="2" t="s">
        <v>130</v>
      </c>
    </row>
    <row r="2">
      <c r="N2" s="3"/>
      <c r="O2" s="3"/>
      <c r="P2" s="3"/>
      <c r="Q2" s="3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4" t="s">
        <v>8</v>
      </c>
      <c r="Q3" s="6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9</v>
      </c>
      <c r="O4" s="6" t="s">
        <v>10</v>
      </c>
      <c r="P4" s="6" t="s">
        <v>11</v>
      </c>
      <c r="Q4" s="6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1" t="s">
        <v>13</v>
      </c>
      <c r="B5" s="7" t="s">
        <v>133</v>
      </c>
      <c r="C5" s="1">
        <v>0.14366</v>
      </c>
      <c r="D5" s="10">
        <v>0.0417417131</v>
      </c>
      <c r="E5" s="10">
        <f>C5/D5</f>
        <v>3.44164121</v>
      </c>
      <c r="F5" s="12" t="s">
        <v>135</v>
      </c>
      <c r="G5" s="1">
        <v>0.27062</v>
      </c>
      <c r="H5" s="11">
        <v>0.0330969044</v>
      </c>
      <c r="I5" s="11">
        <f>G5/H5</f>
        <v>8.176595513</v>
      </c>
      <c r="J5" s="18" t="s">
        <v>138</v>
      </c>
      <c r="K5" s="1">
        <v>0.19053</v>
      </c>
      <c r="L5" s="10">
        <v>0.0331783525</v>
      </c>
      <c r="M5" s="10">
        <f>K5/L5</f>
        <v>5.742599787</v>
      </c>
      <c r="N5" s="13" t="s">
        <v>140</v>
      </c>
      <c r="O5" s="10">
        <v>0.348957</v>
      </c>
      <c r="P5" s="35">
        <f>0.001243675/0.0352643</f>
        <v>0.03526725328</v>
      </c>
      <c r="Q5" s="10">
        <f>0.348957/0.03526725328</f>
        <v>9.89464638</v>
      </c>
      <c r="R5" s="7" t="s">
        <v>145</v>
      </c>
      <c r="S5" s="1">
        <v>0.28</v>
      </c>
      <c r="T5" s="11">
        <v>0.0334620163</v>
      </c>
      <c r="U5" s="11">
        <f>S5/T5</f>
        <v>8.367696599</v>
      </c>
      <c r="V5" s="7" t="s">
        <v>146</v>
      </c>
      <c r="W5" s="1">
        <v>0.43778</v>
      </c>
      <c r="X5" s="10">
        <v>0.1645608696</v>
      </c>
      <c r="Y5">
        <f>W5/X5</f>
        <v>2.660292213</v>
      </c>
    </row>
    <row r="6">
      <c r="A6" s="1" t="s">
        <v>16</v>
      </c>
      <c r="B6" s="24" t="s">
        <v>147</v>
      </c>
      <c r="C6" s="1">
        <v>0.0865</v>
      </c>
      <c r="E6" s="10">
        <f>C6/D5</f>
        <v>2.072267609</v>
      </c>
      <c r="F6" s="1" t="s">
        <v>79</v>
      </c>
      <c r="J6" s="12" t="s">
        <v>148</v>
      </c>
      <c r="K6" s="1">
        <v>0.179655</v>
      </c>
      <c r="M6" s="10">
        <f>K6/L5</f>
        <v>5.414825827</v>
      </c>
      <c r="N6" s="10"/>
      <c r="O6" s="10"/>
      <c r="P6" s="10"/>
      <c r="Q6" s="10"/>
      <c r="R6" s="12" t="s">
        <v>149</v>
      </c>
      <c r="S6" s="1">
        <v>0.22972</v>
      </c>
      <c r="U6">
        <f>S6/T5</f>
        <v>6.865097367</v>
      </c>
      <c r="V6" s="37" t="s">
        <v>151</v>
      </c>
      <c r="W6" s="1">
        <v>0.3187</v>
      </c>
      <c r="Y6">
        <f>W6/X5</f>
        <v>1.936669396</v>
      </c>
    </row>
    <row r="7">
      <c r="A7" s="1" t="s">
        <v>18</v>
      </c>
      <c r="B7" s="1" t="s">
        <v>79</v>
      </c>
      <c r="F7" s="1" t="s">
        <v>79</v>
      </c>
      <c r="J7" s="12" t="s">
        <v>153</v>
      </c>
      <c r="K7" s="1">
        <v>0.178309</v>
      </c>
      <c r="M7" s="10">
        <f>K7/L5</f>
        <v>5.374257206</v>
      </c>
      <c r="N7" s="10"/>
      <c r="O7" s="10"/>
      <c r="P7" s="10"/>
      <c r="Q7" s="10"/>
      <c r="R7" s="24" t="s">
        <v>155</v>
      </c>
      <c r="S7" s="1">
        <v>0.20855</v>
      </c>
      <c r="U7">
        <f>S7/T5</f>
        <v>6.232439735</v>
      </c>
      <c r="V7" s="1" t="s">
        <v>158</v>
      </c>
      <c r="W7" s="1">
        <v>0.28227</v>
      </c>
      <c r="Y7">
        <f>W7/X5</f>
        <v>1.715292346</v>
      </c>
    </row>
    <row r="8">
      <c r="A8" s="1" t="s">
        <v>20</v>
      </c>
      <c r="B8" s="1" t="s">
        <v>79</v>
      </c>
      <c r="F8" s="1" t="s">
        <v>79</v>
      </c>
      <c r="R8" s="37" t="s">
        <v>163</v>
      </c>
      <c r="S8" s="1">
        <v>0.19396</v>
      </c>
      <c r="U8">
        <f>S8/T5</f>
        <v>5.796422973</v>
      </c>
      <c r="V8" s="18" t="s">
        <v>166</v>
      </c>
      <c r="W8" s="1">
        <v>0.275</v>
      </c>
      <c r="Y8">
        <f>W8/X5</f>
        <v>1.671114164</v>
      </c>
    </row>
    <row r="9">
      <c r="A9" s="1" t="s">
        <v>22</v>
      </c>
      <c r="B9" s="1" t="s">
        <v>79</v>
      </c>
      <c r="F9" s="1" t="s">
        <v>79</v>
      </c>
      <c r="V9" s="1" t="s">
        <v>170</v>
      </c>
      <c r="W9" s="1">
        <v>0.27355</v>
      </c>
      <c r="Y9">
        <f>W9/X5</f>
        <v>1.662302835</v>
      </c>
    </row>
    <row r="10">
      <c r="A10" s="34" t="s">
        <v>172</v>
      </c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2">
      <c r="A12" s="1" t="s">
        <v>24</v>
      </c>
      <c r="B12" s="42" t="s">
        <v>178</v>
      </c>
      <c r="F12" s="8" t="s">
        <v>181</v>
      </c>
      <c r="J12" s="8" t="s">
        <v>182</v>
      </c>
      <c r="R12" s="8" t="s">
        <v>183</v>
      </c>
      <c r="V12" s="31"/>
    </row>
    <row r="13">
      <c r="A13" s="1" t="s">
        <v>24</v>
      </c>
      <c r="B13" s="43" t="s">
        <v>185</v>
      </c>
      <c r="F13" s="43" t="s">
        <v>188</v>
      </c>
      <c r="J13" s="43" t="s">
        <v>189</v>
      </c>
      <c r="R13" s="43" t="s">
        <v>190</v>
      </c>
      <c r="V13" s="31"/>
    </row>
  </sheetData>
  <mergeCells count="11">
    <mergeCell ref="F3:H3"/>
    <mergeCell ref="C1:J1"/>
    <mergeCell ref="B3:D3"/>
    <mergeCell ref="D5:D6"/>
    <mergeCell ref="J3:L3"/>
    <mergeCell ref="L5:L7"/>
    <mergeCell ref="X5:X9"/>
    <mergeCell ref="A10:X11"/>
    <mergeCell ref="V3:X3"/>
    <mergeCell ref="R3:T3"/>
    <mergeCell ref="N3:P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 t="s">
        <v>132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2" t="s">
        <v>8</v>
      </c>
      <c r="Q3" s="2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1" t="s">
        <v>13</v>
      </c>
      <c r="B5" s="8" t="s">
        <v>32</v>
      </c>
      <c r="C5" s="1">
        <v>1.02031</v>
      </c>
      <c r="D5" s="10">
        <v>0.147560318</v>
      </c>
      <c r="E5" s="10">
        <f>C5/D5</f>
        <v>6.914528335</v>
      </c>
      <c r="F5" s="8" t="s">
        <v>136</v>
      </c>
      <c r="G5" s="1">
        <v>1.56098</v>
      </c>
      <c r="H5" s="10">
        <v>0.1399871678</v>
      </c>
      <c r="I5" s="10">
        <f>G5/H5</f>
        <v>11.15087922</v>
      </c>
      <c r="J5" s="24" t="s">
        <v>139</v>
      </c>
      <c r="K5" s="1">
        <v>1.575</v>
      </c>
      <c r="L5" s="10">
        <v>0.1115608773</v>
      </c>
      <c r="M5" s="10">
        <f>K5/L5</f>
        <v>14.11785241</v>
      </c>
      <c r="N5" s="20" t="s">
        <v>142</v>
      </c>
      <c r="O5" s="1">
        <v>1.258226</v>
      </c>
      <c r="P5" s="15">
        <f>0.003182636/0.0368661</f>
        <v>0.08632960904</v>
      </c>
      <c r="Q5" s="1">
        <f>1.258226/0.08632960904</f>
        <v>14.57467506</v>
      </c>
      <c r="R5" s="37" t="s">
        <v>144</v>
      </c>
      <c r="S5" s="1">
        <v>1.80812</v>
      </c>
      <c r="T5" s="10">
        <v>0.0653828886</v>
      </c>
      <c r="U5" s="10">
        <f>S5/T5</f>
        <v>27.65433034</v>
      </c>
      <c r="V5" s="38" t="s">
        <v>150</v>
      </c>
      <c r="W5" s="1">
        <v>1.31249</v>
      </c>
      <c r="X5" s="10">
        <v>0.0585548018</v>
      </c>
      <c r="Y5" s="1">
        <f>1.31249/0.0585548018
</f>
        <v>22.41472876</v>
      </c>
    </row>
    <row r="6">
      <c r="A6" s="1" t="s">
        <v>16</v>
      </c>
      <c r="B6" s="12" t="s">
        <v>154</v>
      </c>
      <c r="C6" s="1">
        <v>0.573866</v>
      </c>
      <c r="E6" s="10">
        <f>C6/D5</f>
        <v>3.889026588</v>
      </c>
      <c r="F6" s="24" t="s">
        <v>157</v>
      </c>
      <c r="G6" s="1">
        <v>0.89989</v>
      </c>
      <c r="I6" s="10">
        <f>G6/H5</f>
        <v>6.42837493</v>
      </c>
      <c r="J6" s="8" t="s">
        <v>159</v>
      </c>
      <c r="K6" s="1">
        <v>1.10936</v>
      </c>
      <c r="M6" s="10">
        <f>K6/L5</f>
        <v>9.943987775</v>
      </c>
      <c r="N6" s="39" t="s">
        <v>161</v>
      </c>
      <c r="O6" s="1">
        <v>1.16044</v>
      </c>
      <c r="Q6" s="1">
        <f>1.16044/0.08632960904</f>
        <v>13.44196983</v>
      </c>
      <c r="R6" s="1" t="s">
        <v>164</v>
      </c>
      <c r="S6" s="1">
        <v>0.991436</v>
      </c>
      <c r="U6" s="10">
        <f>S6/T5</f>
        <v>15.16353929</v>
      </c>
      <c r="V6" s="37" t="s">
        <v>167</v>
      </c>
      <c r="W6" s="1">
        <v>1.18721</v>
      </c>
      <c r="Y6" s="1">
        <f>1.18721/0.0585548018
</f>
        <v>20.27519458</v>
      </c>
    </row>
    <row r="7">
      <c r="A7" s="1" t="s">
        <v>18</v>
      </c>
      <c r="B7" s="1" t="s">
        <v>169</v>
      </c>
      <c r="C7" s="1">
        <v>0.376457</v>
      </c>
      <c r="E7" s="10">
        <f>C7/D5</f>
        <v>2.551207568</v>
      </c>
      <c r="F7" s="1" t="s">
        <v>171</v>
      </c>
      <c r="G7" s="1">
        <v>0.586203</v>
      </c>
      <c r="I7" s="10">
        <f>G7/H5</f>
        <v>4.18754811</v>
      </c>
      <c r="J7" s="21" t="s">
        <v>173</v>
      </c>
      <c r="K7" s="1">
        <v>0.76668</v>
      </c>
      <c r="M7" s="10">
        <f>K7/L5</f>
        <v>6.87230164</v>
      </c>
      <c r="N7" s="14" t="s">
        <v>175</v>
      </c>
      <c r="O7" s="1">
        <v>0.759312</v>
      </c>
      <c r="Q7" s="1">
        <f>0.759312/0.08632960904</f>
        <v>8.795499116</v>
      </c>
      <c r="R7" s="21" t="s">
        <v>177</v>
      </c>
      <c r="S7" s="1">
        <v>0.776585</v>
      </c>
      <c r="U7" s="10">
        <f>S7/T5</f>
        <v>11.87749603</v>
      </c>
      <c r="V7" s="37" t="s">
        <v>179</v>
      </c>
      <c r="W7" s="1">
        <v>1.00519</v>
      </c>
      <c r="Y7" s="1">
        <f>1.00519/0.0585548018
</f>
        <v>17.16665362</v>
      </c>
    </row>
    <row r="8">
      <c r="A8" s="1" t="s">
        <v>20</v>
      </c>
      <c r="B8" s="24" t="s">
        <v>180</v>
      </c>
      <c r="C8" s="1">
        <v>0.23</v>
      </c>
      <c r="E8" s="10">
        <f>C8/D5</f>
        <v>1.558684632</v>
      </c>
      <c r="F8" s="7" t="s">
        <v>184</v>
      </c>
      <c r="G8" s="1">
        <v>0.501165</v>
      </c>
      <c r="I8" s="10">
        <f>G8/H5</f>
        <v>3.580078145</v>
      </c>
      <c r="J8" s="12" t="s">
        <v>187</v>
      </c>
      <c r="K8" s="1">
        <v>0.5468</v>
      </c>
      <c r="M8" s="10">
        <f>K8/L5</f>
        <v>4.901359807</v>
      </c>
      <c r="N8" s="44" t="s">
        <v>191</v>
      </c>
      <c r="O8" s="1">
        <v>0.647448</v>
      </c>
      <c r="Q8" s="1">
        <f>0.647448/0.08632960904</f>
        <v>7.49972121</v>
      </c>
      <c r="R8" s="24" t="s">
        <v>194</v>
      </c>
      <c r="S8" s="1">
        <v>0.791704</v>
      </c>
      <c r="U8" s="10">
        <f>S8/T5</f>
        <v>12.10873391</v>
      </c>
      <c r="V8" s="1" t="s">
        <v>195</v>
      </c>
      <c r="W8" s="1">
        <v>0.77542</v>
      </c>
      <c r="Y8" s="1">
        <f>0.77542/0.0585548018
</f>
        <v>13.24263726</v>
      </c>
    </row>
    <row r="9">
      <c r="A9" s="1" t="s">
        <v>22</v>
      </c>
      <c r="B9" s="1" t="s">
        <v>79</v>
      </c>
      <c r="F9" s="12" t="s">
        <v>197</v>
      </c>
      <c r="G9" s="1">
        <v>0.48754</v>
      </c>
      <c r="I9" s="10">
        <f>G9/H5</f>
        <v>3.482747795</v>
      </c>
      <c r="J9" s="7" t="s">
        <v>199</v>
      </c>
      <c r="K9" s="1">
        <v>0.542266</v>
      </c>
      <c r="M9" s="10">
        <f>K9/L5</f>
        <v>4.860718319</v>
      </c>
      <c r="N9" s="10"/>
      <c r="P9" s="10"/>
      <c r="Q9" s="10"/>
      <c r="R9" s="38" t="s">
        <v>200</v>
      </c>
      <c r="S9" s="1">
        <v>0.764656</v>
      </c>
      <c r="U9" s="10">
        <f>S9/T5</f>
        <v>11.69504769</v>
      </c>
      <c r="V9" s="1" t="s">
        <v>202</v>
      </c>
      <c r="W9" s="1">
        <v>0.738661</v>
      </c>
      <c r="Y9" s="1">
        <f>0.738661/0.0585548018
</f>
        <v>12.61486637</v>
      </c>
    </row>
    <row r="10">
      <c r="A10" s="1" t="s">
        <v>112</v>
      </c>
      <c r="B10" s="1" t="s">
        <v>79</v>
      </c>
      <c r="F10" s="1" t="s">
        <v>79</v>
      </c>
      <c r="J10" s="1" t="s">
        <v>203</v>
      </c>
      <c r="K10" s="1">
        <v>0.50742</v>
      </c>
      <c r="M10" s="10">
        <f>K10/L5</f>
        <v>4.548368678</v>
      </c>
      <c r="N10" s="10"/>
      <c r="O10" s="10"/>
      <c r="P10" s="10"/>
      <c r="Q10" s="10"/>
      <c r="R10" s="1" t="s">
        <v>79</v>
      </c>
      <c r="V10" s="1" t="s">
        <v>79</v>
      </c>
    </row>
    <row r="11">
      <c r="A11" s="1"/>
    </row>
    <row r="12">
      <c r="A12" s="1" t="s">
        <v>24</v>
      </c>
      <c r="B12" s="18" t="s">
        <v>206</v>
      </c>
      <c r="F12" s="46" t="s">
        <v>207</v>
      </c>
      <c r="J12" s="47" t="s">
        <v>209</v>
      </c>
      <c r="K12" s="48"/>
      <c r="R12" s="31"/>
      <c r="V12" s="31"/>
    </row>
    <row r="13">
      <c r="A13" s="1" t="s">
        <v>109</v>
      </c>
      <c r="B13" s="18" t="s">
        <v>211</v>
      </c>
      <c r="C13" s="48"/>
      <c r="F13" s="8" t="s">
        <v>212</v>
      </c>
      <c r="J13" s="8" t="s">
        <v>213</v>
      </c>
      <c r="R13" s="31"/>
      <c r="V13" s="31"/>
    </row>
    <row r="15">
      <c r="A15" s="49" t="s">
        <v>215</v>
      </c>
    </row>
  </sheetData>
  <mergeCells count="17">
    <mergeCell ref="F12:G12"/>
    <mergeCell ref="J13:K13"/>
    <mergeCell ref="F13:G13"/>
    <mergeCell ref="A15:X16"/>
    <mergeCell ref="B12:C12"/>
    <mergeCell ref="J3:L3"/>
    <mergeCell ref="N3:P3"/>
    <mergeCell ref="V3:X3"/>
    <mergeCell ref="T5:T9"/>
    <mergeCell ref="X5:X9"/>
    <mergeCell ref="B3:D3"/>
    <mergeCell ref="D5:D8"/>
    <mergeCell ref="R3:T3"/>
    <mergeCell ref="F3:H3"/>
    <mergeCell ref="H5:H9"/>
    <mergeCell ref="L5:L10"/>
    <mergeCell ref="P5:P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2.71"/>
    <col customWidth="1" min="3" max="3" width="10.71"/>
    <col customWidth="1" min="4" max="5" width="18.0"/>
    <col customWidth="1" min="6" max="6" width="14.0"/>
    <col customWidth="1" min="7" max="7" width="14.86"/>
    <col customWidth="1" min="8" max="9" width="18.29"/>
    <col customWidth="1" min="10" max="10" width="13.71"/>
  </cols>
  <sheetData>
    <row r="1">
      <c r="A1" s="2"/>
      <c r="B1" s="2" t="s">
        <v>222</v>
      </c>
      <c r="T1" s="2"/>
      <c r="U1" s="2"/>
    </row>
    <row r="2">
      <c r="N2" s="3"/>
      <c r="O2" s="3"/>
      <c r="P2" s="3"/>
      <c r="Q2" s="3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4" t="s">
        <v>8</v>
      </c>
      <c r="Q3" s="6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9</v>
      </c>
      <c r="O4" s="6" t="s">
        <v>10</v>
      </c>
      <c r="P4" s="6" t="s">
        <v>11</v>
      </c>
      <c r="Q4" s="6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1" t="s">
        <v>13</v>
      </c>
      <c r="B5" s="12" t="s">
        <v>223</v>
      </c>
      <c r="C5" s="1">
        <v>0.3721</v>
      </c>
      <c r="D5" s="10">
        <f>0.0003251327/0.00822</f>
        <v>0.03955385645</v>
      </c>
      <c r="E5" s="10">
        <f>C5/D5</f>
        <v>9.407426568</v>
      </c>
      <c r="F5" s="12" t="s">
        <v>224</v>
      </c>
      <c r="G5" s="1">
        <v>1.821</v>
      </c>
      <c r="H5" s="10">
        <f>0.0016144392/0.018246</f>
        <v>0.08848181519</v>
      </c>
      <c r="I5" s="10">
        <f>G5/H5</f>
        <v>20.58050003</v>
      </c>
      <c r="J5" s="12" t="s">
        <v>225</v>
      </c>
      <c r="K5" s="1">
        <v>1.531</v>
      </c>
      <c r="L5" s="10">
        <f>0.0020863974/0.025633</f>
        <v>0.08139497523</v>
      </c>
      <c r="M5" s="10">
        <f>K5/L5</f>
        <v>18.80951491</v>
      </c>
      <c r="N5" s="14" t="s">
        <v>226</v>
      </c>
      <c r="O5" s="10"/>
      <c r="P5" s="10"/>
      <c r="Q5" s="10"/>
      <c r="R5" s="18" t="s">
        <v>227</v>
      </c>
      <c r="S5" s="1">
        <v>1.2889</v>
      </c>
      <c r="T5" s="10">
        <f>0.0027308558/0.055987</f>
        <v>0.04877660528</v>
      </c>
      <c r="U5" s="10">
        <f>S5/T5</f>
        <v>26.42455317</v>
      </c>
      <c r="V5" s="24" t="s">
        <v>228</v>
      </c>
      <c r="W5" s="1">
        <v>1.7791</v>
      </c>
      <c r="X5" s="10">
        <f>0.0040540091/0.078181</f>
        <v>0.05185414743</v>
      </c>
      <c r="Y5">
        <f>W5/X5</f>
        <v>34.30969533</v>
      </c>
    </row>
    <row r="6">
      <c r="A6" s="1" t="s">
        <v>16</v>
      </c>
      <c r="B6" s="8" t="s">
        <v>230</v>
      </c>
      <c r="C6" s="1">
        <v>0.153</v>
      </c>
      <c r="E6" s="10">
        <f>C6/D5</f>
        <v>3.868143684</v>
      </c>
      <c r="F6" s="7" t="s">
        <v>231</v>
      </c>
      <c r="I6" s="10"/>
      <c r="J6" s="7" t="s">
        <v>232</v>
      </c>
      <c r="K6" s="1">
        <v>1.42697</v>
      </c>
      <c r="M6" s="10">
        <f>K6/L5</f>
        <v>17.53142618</v>
      </c>
      <c r="N6" s="13" t="s">
        <v>234</v>
      </c>
      <c r="O6" s="10"/>
      <c r="P6" s="10"/>
      <c r="Q6" s="10"/>
      <c r="R6" s="21" t="s">
        <v>235</v>
      </c>
      <c r="S6" s="1">
        <v>1.17365</v>
      </c>
      <c r="U6" s="10">
        <f>S6/T5</f>
        <v>24.06174011</v>
      </c>
      <c r="V6" s="18" t="s">
        <v>236</v>
      </c>
      <c r="W6" s="1">
        <v>1.0886</v>
      </c>
      <c r="Y6">
        <f>W6/X5</f>
        <v>20.99349915</v>
      </c>
    </row>
    <row r="7">
      <c r="A7" s="1" t="s">
        <v>18</v>
      </c>
      <c r="B7" s="7" t="s">
        <v>238</v>
      </c>
      <c r="C7" s="1">
        <v>0.129</v>
      </c>
      <c r="E7" s="10">
        <f>C7/D5</f>
        <v>3.261376047</v>
      </c>
      <c r="F7" s="8" t="s">
        <v>240</v>
      </c>
      <c r="I7" s="10"/>
      <c r="J7" s="53" t="s">
        <v>241</v>
      </c>
      <c r="K7" s="1">
        <v>0.9121</v>
      </c>
      <c r="M7" s="10">
        <f>K7/L5</f>
        <v>11.20585144</v>
      </c>
      <c r="N7" s="19" t="s">
        <v>245</v>
      </c>
      <c r="O7" s="10"/>
      <c r="P7" s="10"/>
      <c r="Q7" s="10"/>
      <c r="R7" s="8" t="s">
        <v>246</v>
      </c>
      <c r="S7" s="1">
        <v>0.8496</v>
      </c>
      <c r="U7" s="10">
        <f>S7/T5</f>
        <v>17.41818634</v>
      </c>
      <c r="V7" s="21" t="s">
        <v>249</v>
      </c>
      <c r="W7" s="1">
        <v>0.9827</v>
      </c>
      <c r="Y7">
        <f>W7/X5</f>
        <v>18.95123242</v>
      </c>
    </row>
    <row r="8">
      <c r="A8" s="1" t="s">
        <v>20</v>
      </c>
      <c r="B8" s="1" t="s">
        <v>79</v>
      </c>
      <c r="F8" s="1" t="s">
        <v>79</v>
      </c>
      <c r="J8" s="1" t="s">
        <v>79</v>
      </c>
      <c r="N8" s="18" t="s">
        <v>252</v>
      </c>
      <c r="R8" s="24" t="s">
        <v>253</v>
      </c>
      <c r="S8" s="1">
        <v>0.81118</v>
      </c>
      <c r="U8" s="10">
        <f>S8/T5</f>
        <v>16.63051365</v>
      </c>
      <c r="V8" s="54" t="s">
        <v>256</v>
      </c>
      <c r="W8" s="1">
        <v>0.75183</v>
      </c>
      <c r="Y8">
        <f>W8/X5</f>
        <v>14.49893668</v>
      </c>
    </row>
    <row r="9">
      <c r="A9" s="1" t="s">
        <v>22</v>
      </c>
      <c r="B9" s="1" t="s">
        <v>79</v>
      </c>
      <c r="F9" s="1" t="s">
        <v>79</v>
      </c>
      <c r="J9" s="1" t="s">
        <v>79</v>
      </c>
      <c r="R9" s="12" t="s">
        <v>261</v>
      </c>
      <c r="S9" s="1">
        <v>0.6198</v>
      </c>
      <c r="U9" s="10">
        <f>S9/T5</f>
        <v>12.70691136</v>
      </c>
      <c r="V9" s="1" t="s">
        <v>264</v>
      </c>
      <c r="W9" s="1">
        <v>0.7255</v>
      </c>
      <c r="Y9">
        <f>W9/X5</f>
        <v>13.9911663</v>
      </c>
    </row>
    <row r="10">
      <c r="A10" s="1" t="s">
        <v>112</v>
      </c>
      <c r="B10" s="1" t="s">
        <v>79</v>
      </c>
      <c r="F10" s="1" t="s">
        <v>79</v>
      </c>
      <c r="J10" s="1" t="s">
        <v>79</v>
      </c>
      <c r="R10" s="1" t="s">
        <v>79</v>
      </c>
      <c r="V10" s="1" t="s">
        <v>268</v>
      </c>
      <c r="W10" s="1">
        <v>0.62195</v>
      </c>
      <c r="Y10">
        <f>W10/X5</f>
        <v>11.99421899</v>
      </c>
    </row>
    <row r="11">
      <c r="A11" s="1"/>
      <c r="X11" s="10"/>
      <c r="Y11" s="1"/>
    </row>
    <row r="12">
      <c r="A12" s="1" t="s">
        <v>24</v>
      </c>
      <c r="B12" s="55" t="s">
        <v>274</v>
      </c>
      <c r="C12" s="55"/>
      <c r="D12" s="56" t="s">
        <v>278</v>
      </c>
      <c r="E12" s="56"/>
      <c r="F12" s="37" t="s">
        <v>279</v>
      </c>
      <c r="G12" s="57"/>
      <c r="H12" s="32" t="s">
        <v>283</v>
      </c>
      <c r="I12" s="32"/>
      <c r="J12" s="31"/>
      <c r="R12" s="31"/>
      <c r="V12" s="31"/>
    </row>
    <row r="13">
      <c r="A13" s="1" t="s">
        <v>109</v>
      </c>
      <c r="B13" s="37" t="s">
        <v>285</v>
      </c>
      <c r="C13" s="57"/>
      <c r="D13" s="59" t="s">
        <v>286</v>
      </c>
      <c r="E13" s="59"/>
      <c r="F13" s="31"/>
      <c r="G13" s="60"/>
      <c r="J13" s="41" t="s">
        <v>293</v>
      </c>
      <c r="K13" s="41"/>
      <c r="R13" s="31"/>
      <c r="V13" s="31"/>
    </row>
    <row r="15">
      <c r="A15" s="61" t="s">
        <v>294</v>
      </c>
      <c r="Y15" s="62"/>
      <c r="Z15" s="62"/>
      <c r="AA15" s="62"/>
      <c r="AB15" s="62"/>
      <c r="AC15" s="62"/>
      <c r="AD15" s="62"/>
      <c r="AE15" s="62"/>
      <c r="AF15" s="62"/>
      <c r="AG15" s="62"/>
      <c r="AH15" s="62"/>
    </row>
    <row r="20">
      <c r="A20" s="63"/>
    </row>
  </sheetData>
  <mergeCells count="23">
    <mergeCell ref="J3:L3"/>
    <mergeCell ref="R3:T3"/>
    <mergeCell ref="B1:S1"/>
    <mergeCell ref="N3:P3"/>
    <mergeCell ref="F3:H3"/>
    <mergeCell ref="B3:D3"/>
    <mergeCell ref="H5:H7"/>
    <mergeCell ref="D5:D7"/>
    <mergeCell ref="A15:X16"/>
    <mergeCell ref="Y15:Y16"/>
    <mergeCell ref="Z15:Z16"/>
    <mergeCell ref="AA15:AA16"/>
    <mergeCell ref="AB15:AB16"/>
    <mergeCell ref="AC15:AC16"/>
    <mergeCell ref="V3:X3"/>
    <mergeCell ref="X5:X10"/>
    <mergeCell ref="AD15:AD16"/>
    <mergeCell ref="AF15:AF16"/>
    <mergeCell ref="AE15:AE16"/>
    <mergeCell ref="AG15:AG16"/>
    <mergeCell ref="AH15:AH16"/>
    <mergeCell ref="L5:L7"/>
    <mergeCell ref="T5:T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 t="s">
        <v>229</v>
      </c>
      <c r="T1" s="2"/>
      <c r="U1" s="2"/>
    </row>
    <row r="2">
      <c r="N2" s="3"/>
      <c r="O2" s="3"/>
      <c r="P2" s="3"/>
      <c r="Q2" s="3"/>
    </row>
    <row r="3">
      <c r="A3" s="2"/>
      <c r="B3" s="2" t="s">
        <v>2</v>
      </c>
      <c r="E3" s="2"/>
      <c r="F3" s="2" t="s">
        <v>3</v>
      </c>
      <c r="I3" s="2"/>
      <c r="J3" s="2" t="s">
        <v>4</v>
      </c>
      <c r="M3" s="2"/>
      <c r="N3" s="4" t="s">
        <v>8</v>
      </c>
      <c r="Q3" s="6"/>
      <c r="R3" s="2" t="s">
        <v>5</v>
      </c>
      <c r="U3" s="2"/>
      <c r="V3" s="2" t="s">
        <v>7</v>
      </c>
    </row>
    <row r="4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9</v>
      </c>
      <c r="O4" s="6" t="s">
        <v>10</v>
      </c>
      <c r="P4" s="6" t="s">
        <v>11</v>
      </c>
      <c r="Q4" s="6" t="s">
        <v>12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9</v>
      </c>
      <c r="W4" s="1" t="s">
        <v>10</v>
      </c>
      <c r="X4" s="1" t="s">
        <v>11</v>
      </c>
      <c r="Y4" s="1" t="s">
        <v>12</v>
      </c>
    </row>
    <row r="5">
      <c r="A5" s="3" t="s">
        <v>13</v>
      </c>
      <c r="B5" s="8" t="s">
        <v>233</v>
      </c>
      <c r="C5" s="1">
        <v>0.098898</v>
      </c>
      <c r="D5" s="15">
        <f>0.000210935/0.0084521</f>
        <v>0.02495651968</v>
      </c>
      <c r="E5" s="1">
        <f>0.098898/0.02495651968
</f>
        <v>3.962812174</v>
      </c>
      <c r="F5" s="18" t="s">
        <v>239</v>
      </c>
      <c r="G5" s="1">
        <v>0.4788322</v>
      </c>
      <c r="H5" s="10">
        <v>0.040784346</v>
      </c>
      <c r="I5" s="10">
        <f>G5/H5</f>
        <v>11.74058792</v>
      </c>
      <c r="J5" s="18" t="s">
        <v>242</v>
      </c>
      <c r="K5" s="1">
        <v>0.828941</v>
      </c>
      <c r="L5" s="10">
        <v>0.0489384639</v>
      </c>
      <c r="M5" s="10">
        <f>K5/L5</f>
        <v>16.93843521</v>
      </c>
      <c r="N5" s="23" t="s">
        <v>243</v>
      </c>
      <c r="O5" s="10">
        <v>1.058888</v>
      </c>
      <c r="P5" s="35">
        <f>0.001622519/0.0363298</f>
        <v>0.0446608294</v>
      </c>
      <c r="Q5" s="10">
        <f>1.058888/0.0446608294</f>
        <v>23.70954625</v>
      </c>
      <c r="R5" s="18" t="s">
        <v>247</v>
      </c>
      <c r="S5" s="1">
        <v>0.7993412</v>
      </c>
      <c r="T5" s="10">
        <v>0.0401840495</v>
      </c>
      <c r="U5" s="10">
        <f>S5/T5</f>
        <v>19.89200217</v>
      </c>
      <c r="V5" s="18" t="s">
        <v>250</v>
      </c>
      <c r="W5" s="1">
        <v>0.646888</v>
      </c>
      <c r="X5" s="10">
        <v>0.0420252163</v>
      </c>
      <c r="Y5">
        <f>W5/X5</f>
        <v>15.39285355</v>
      </c>
    </row>
    <row r="6">
      <c r="A6" s="3" t="s">
        <v>16</v>
      </c>
      <c r="B6" s="18" t="s">
        <v>254</v>
      </c>
      <c r="C6" s="1">
        <v>0.081612</v>
      </c>
      <c r="E6" s="1">
        <f>0.081612/0.02495651968
</f>
        <v>3.270167517</v>
      </c>
      <c r="F6" s="8" t="s">
        <v>257</v>
      </c>
      <c r="G6" s="1">
        <v>0.259237</v>
      </c>
      <c r="I6" s="10">
        <f>G6/H5</f>
        <v>6.356286797</v>
      </c>
      <c r="J6" s="8" t="s">
        <v>258</v>
      </c>
      <c r="K6" s="1">
        <v>0.3129856</v>
      </c>
      <c r="M6" s="10">
        <f>K6/L5</f>
        <v>6.395492933</v>
      </c>
      <c r="N6" s="10"/>
      <c r="O6" s="10"/>
      <c r="P6" s="10"/>
      <c r="Q6" s="10"/>
      <c r="R6" s="1" t="s">
        <v>259</v>
      </c>
      <c r="S6" s="1">
        <v>0.4589871</v>
      </c>
      <c r="U6" s="10">
        <f>S6/T5</f>
        <v>11.42212161</v>
      </c>
      <c r="V6" s="7" t="s">
        <v>260</v>
      </c>
      <c r="W6" s="1">
        <v>0.519583</v>
      </c>
      <c r="Y6">
        <f>W6/X5</f>
        <v>12.36360085</v>
      </c>
    </row>
    <row r="7">
      <c r="A7" s="3" t="s">
        <v>18</v>
      </c>
      <c r="B7" s="1" t="s">
        <v>263</v>
      </c>
      <c r="C7" s="1">
        <v>0.07559</v>
      </c>
      <c r="E7" s="1">
        <f>0.07559/0.02495651968
</f>
        <v>3.028867846</v>
      </c>
      <c r="F7" s="12" t="s">
        <v>266</v>
      </c>
      <c r="G7" s="1">
        <v>0.175751</v>
      </c>
      <c r="I7" s="10">
        <f>G7/H5</f>
        <v>4.309275917</v>
      </c>
      <c r="J7" s="30" t="s">
        <v>267</v>
      </c>
      <c r="K7" s="1">
        <v>0.224094</v>
      </c>
      <c r="M7" s="10">
        <f>K7/L5</f>
        <v>4.579097547</v>
      </c>
      <c r="N7" s="10"/>
      <c r="O7" s="10"/>
      <c r="P7" s="10"/>
      <c r="Q7" s="10"/>
      <c r="R7" s="1"/>
      <c r="S7" s="1"/>
      <c r="V7" s="1" t="s">
        <v>270</v>
      </c>
      <c r="W7" s="1">
        <v>0.499841</v>
      </c>
      <c r="Y7">
        <f>W7/X5</f>
        <v>11.89383527</v>
      </c>
    </row>
    <row r="8">
      <c r="A8" s="3" t="s">
        <v>20</v>
      </c>
      <c r="B8" s="7" t="s">
        <v>272</v>
      </c>
      <c r="C8" s="1">
        <v>0.052064</v>
      </c>
      <c r="E8" s="1">
        <f>0.052064/0.02495651968
</f>
        <v>2.086188325</v>
      </c>
      <c r="V8" s="1" t="s">
        <v>275</v>
      </c>
      <c r="W8" s="1">
        <v>0.390728</v>
      </c>
      <c r="Y8">
        <f>W8/X5</f>
        <v>9.297465531</v>
      </c>
    </row>
    <row r="9">
      <c r="A9" s="3" t="s">
        <v>22</v>
      </c>
      <c r="V9" s="1" t="s">
        <v>277</v>
      </c>
      <c r="W9" s="1">
        <v>0.380082</v>
      </c>
      <c r="Y9">
        <f>W9/X5</f>
        <v>9.044141434</v>
      </c>
    </row>
    <row r="10">
      <c r="A10" s="3" t="s">
        <v>112</v>
      </c>
    </row>
    <row r="11">
      <c r="A11" s="3"/>
    </row>
    <row r="12">
      <c r="A12" s="3" t="s">
        <v>24</v>
      </c>
      <c r="B12" s="37" t="s">
        <v>281</v>
      </c>
      <c r="F12" s="58" t="s">
        <v>282</v>
      </c>
      <c r="J12" s="37" t="s">
        <v>287</v>
      </c>
      <c r="R12" s="31"/>
      <c r="V12" s="31"/>
    </row>
    <row r="13">
      <c r="A13" s="3" t="s">
        <v>109</v>
      </c>
      <c r="B13" s="7" t="s">
        <v>288</v>
      </c>
      <c r="C13" s="57"/>
      <c r="F13" s="37" t="s">
        <v>289</v>
      </c>
      <c r="J13" s="37" t="s">
        <v>290</v>
      </c>
      <c r="R13" s="31"/>
      <c r="V13" s="31"/>
    </row>
    <row r="16">
      <c r="A16" s="33" t="s">
        <v>291</v>
      </c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</sheetData>
  <mergeCells count="13">
    <mergeCell ref="B3:D3"/>
    <mergeCell ref="D5:D8"/>
    <mergeCell ref="J3:L3"/>
    <mergeCell ref="L5:L7"/>
    <mergeCell ref="F3:H3"/>
    <mergeCell ref="H5:H7"/>
    <mergeCell ref="N3:P3"/>
    <mergeCell ref="R3:T3"/>
    <mergeCell ref="T5:T6"/>
    <mergeCell ref="V3:X3"/>
    <mergeCell ref="X5:X9"/>
    <mergeCell ref="A16:X16"/>
    <mergeCell ref="B1:S1"/>
  </mergeCells>
  <drawing r:id="rId1"/>
</worksheet>
</file>